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harts/chart1.xml" ContentType="application/vnd.openxmlformats-officedocument.drawingml.chart+xml"/>
  <Override PartName="/xl/drawings/drawing5.xml" ContentType="application/vnd.openxmlformats-officedocument.drawingml.chartshapes+xml"/>
  <Override PartName="/xl/drawings/drawing6.xml" ContentType="application/vnd.openxmlformats-officedocument.drawing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CONTABILIDADE\Volnei\"/>
    </mc:Choice>
  </mc:AlternateContent>
  <bookViews>
    <workbookView xWindow="0" yWindow="0" windowWidth="20490" windowHeight="7620"/>
  </bookViews>
  <sheets>
    <sheet name="RREO" sheetId="46" r:id="rId1"/>
    <sheet name="RGF" sheetId="47" r:id="rId2"/>
    <sheet name="BalOrç" sheetId="34" r:id="rId3"/>
    <sheet name="Funç" sheetId="36" r:id="rId4"/>
    <sheet name="Result" sheetId="49" r:id="rId5"/>
    <sheet name="FAPS" sheetId="37" r:id="rId6"/>
    <sheet name="Restos" sheetId="39" r:id="rId7"/>
    <sheet name="MDE" sheetId="50" r:id="rId8"/>
    <sheet name="Saúde" sheetId="53" r:id="rId9"/>
    <sheet name="RecDesp_Capital" sheetId="51" r:id="rId10"/>
    <sheet name="Alienação" sheetId="52" r:id="rId11"/>
    <sheet name="Demon_PPP" sheetId="54" r:id="rId12"/>
    <sheet name="Dívida" sheetId="55" r:id="rId13"/>
    <sheet name="RCL" sheetId="1" r:id="rId14"/>
    <sheet name="DCLP" sheetId="2" r:id="rId15"/>
    <sheet name="DCLP_RCL" sheetId="9" r:id="rId16"/>
    <sheet name="AcompFAPS" sheetId="3" r:id="rId17"/>
    <sheet name="Cronogra" sheetId="7" r:id="rId18"/>
    <sheet name="Cruz" sheetId="8" r:id="rId19"/>
    <sheet name="Exec_Orç" sheetId="4" r:id="rId20"/>
    <sheet name="Míni" sheetId="6" r:id="rId21"/>
    <sheet name="DespSEDUC" sheetId="5" r:id="rId22"/>
    <sheet name="Emp" sheetId="11" r:id="rId23"/>
    <sheet name="Liquid" sheetId="10" r:id="rId24"/>
    <sheet name="Pgtos" sheetId="12" r:id="rId25"/>
  </sheets>
  <externalReferences>
    <externalReference r:id="rId26"/>
    <externalReference r:id="rId27"/>
  </externalReferences>
  <calcPr calcId="162913"/>
</workbook>
</file>

<file path=xl/calcChain.xml><?xml version="1.0" encoding="utf-8"?>
<calcChain xmlns="http://schemas.openxmlformats.org/spreadsheetml/2006/main">
  <c r="G27" i="4" l="1"/>
  <c r="F53" i="55"/>
  <c r="J58" i="7" l="1"/>
  <c r="J57" i="7"/>
  <c r="N8" i="4" l="1"/>
  <c r="L8" i="4"/>
  <c r="G86" i="7"/>
  <c r="G87" i="7" s="1"/>
  <c r="H86" i="7"/>
  <c r="H87" i="7" s="1"/>
  <c r="O19" i="4"/>
  <c r="P20" i="4" s="1"/>
  <c r="D18" i="4"/>
  <c r="D17" i="4"/>
  <c r="D16" i="4"/>
  <c r="D15" i="4"/>
  <c r="V15" i="4" s="1"/>
  <c r="D14" i="4"/>
  <c r="D13" i="4"/>
  <c r="D12" i="4"/>
  <c r="D11" i="4"/>
  <c r="D10" i="4"/>
  <c r="D9" i="4"/>
  <c r="D8" i="4"/>
  <c r="D7" i="4"/>
  <c r="D6" i="4"/>
  <c r="D5" i="4"/>
  <c r="D4" i="4"/>
  <c r="I14" i="8"/>
  <c r="I22" i="8"/>
  <c r="I23" i="8"/>
  <c r="I26" i="8"/>
  <c r="I24" i="8"/>
  <c r="I21" i="8"/>
  <c r="I20" i="8"/>
  <c r="I19" i="8"/>
  <c r="I18" i="8"/>
  <c r="I17" i="8"/>
  <c r="I16" i="8"/>
  <c r="I15" i="8"/>
  <c r="I13" i="8"/>
  <c r="I12" i="8"/>
  <c r="I11" i="8"/>
  <c r="X39" i="7"/>
  <c r="X38" i="7"/>
  <c r="X36" i="7"/>
  <c r="X35" i="7"/>
  <c r="X34" i="7"/>
  <c r="X33" i="7"/>
  <c r="X32" i="7"/>
  <c r="X31" i="7"/>
  <c r="X30" i="7"/>
  <c r="X29" i="7"/>
  <c r="X28" i="7"/>
  <c r="X27" i="7"/>
  <c r="X26" i="7"/>
  <c r="X25" i="7"/>
  <c r="X24" i="7"/>
  <c r="H46" i="7"/>
  <c r="W39" i="7"/>
  <c r="W38" i="7"/>
  <c r="W36" i="7"/>
  <c r="W35" i="7"/>
  <c r="W34" i="7"/>
  <c r="W33" i="7"/>
  <c r="W32" i="7"/>
  <c r="W31" i="7"/>
  <c r="W30" i="7"/>
  <c r="W29" i="7"/>
  <c r="W28" i="7"/>
  <c r="W27" i="7"/>
  <c r="W26" i="7"/>
  <c r="W25" i="7"/>
  <c r="L42" i="7"/>
  <c r="H45" i="7"/>
  <c r="H26" i="8"/>
  <c r="H25" i="8"/>
  <c r="H16" i="8"/>
  <c r="H53" i="3"/>
  <c r="H44" i="3" l="1"/>
  <c r="I49" i="3"/>
  <c r="I43" i="3"/>
  <c r="I40" i="3"/>
  <c r="H49" i="3"/>
  <c r="H43" i="3"/>
  <c r="H41" i="3"/>
  <c r="G43" i="55" l="1"/>
  <c r="E42" i="55"/>
  <c r="G42" i="55"/>
  <c r="F42" i="55"/>
  <c r="C21" i="47"/>
  <c r="D13" i="2"/>
  <c r="D12" i="2"/>
  <c r="D11" i="2"/>
  <c r="D8" i="2"/>
  <c r="D7" i="2"/>
  <c r="F7" i="2"/>
  <c r="G7" i="2"/>
  <c r="I7" i="2"/>
  <c r="J7" i="2"/>
  <c r="K7" i="2"/>
  <c r="N7" i="2"/>
  <c r="O7" i="2"/>
  <c r="F8" i="2"/>
  <c r="I8" i="2"/>
  <c r="J8" i="2"/>
  <c r="K8" i="2"/>
  <c r="L8" i="2"/>
  <c r="M8" i="2"/>
  <c r="N8" i="2"/>
  <c r="O8" i="2"/>
  <c r="F11" i="2"/>
  <c r="G11" i="2"/>
  <c r="H11" i="2"/>
  <c r="H10" i="2" s="1"/>
  <c r="I11" i="2"/>
  <c r="J11" i="2"/>
  <c r="J10" i="2" s="1"/>
  <c r="K11" i="2"/>
  <c r="L11" i="2"/>
  <c r="M11" i="2"/>
  <c r="N11" i="2"/>
  <c r="O11" i="2"/>
  <c r="F12" i="2"/>
  <c r="G12" i="2"/>
  <c r="I12" i="2"/>
  <c r="J12" i="2"/>
  <c r="K12" i="2"/>
  <c r="L12" i="2"/>
  <c r="M12" i="2"/>
  <c r="N12" i="2"/>
  <c r="O12" i="2"/>
  <c r="F13" i="2"/>
  <c r="I13" i="2"/>
  <c r="J13" i="2"/>
  <c r="L13" i="2"/>
  <c r="M13" i="2"/>
  <c r="N13" i="2"/>
  <c r="O13" i="2"/>
  <c r="E14" i="2"/>
  <c r="E10" i="2" s="1"/>
  <c r="F15" i="2"/>
  <c r="I15" i="2"/>
  <c r="J15" i="2"/>
  <c r="K15" i="2"/>
  <c r="L15" i="2"/>
  <c r="M15" i="2"/>
  <c r="N15" i="2"/>
  <c r="O15" i="2"/>
  <c r="K16" i="2"/>
  <c r="L16" i="2"/>
  <c r="E17" i="2"/>
  <c r="G17" i="2"/>
  <c r="J17" i="2"/>
  <c r="K17" i="2"/>
  <c r="L17" i="2"/>
  <c r="M17" i="2"/>
  <c r="N17" i="2"/>
  <c r="O17" i="2"/>
  <c r="O27" i="2"/>
  <c r="N27" i="2"/>
  <c r="M27" i="2"/>
  <c r="L27" i="2"/>
  <c r="K27" i="2"/>
  <c r="J27" i="2"/>
  <c r="I27" i="2"/>
  <c r="H27" i="2"/>
  <c r="G27" i="2"/>
  <c r="F27" i="2"/>
  <c r="E27" i="2"/>
  <c r="O24" i="2"/>
  <c r="N24" i="2"/>
  <c r="M24" i="2"/>
  <c r="L24" i="2"/>
  <c r="K24" i="2"/>
  <c r="J24" i="2"/>
  <c r="I24" i="2"/>
  <c r="H24" i="2"/>
  <c r="G24" i="2"/>
  <c r="F24" i="2"/>
  <c r="E24" i="2"/>
  <c r="O21" i="2"/>
  <c r="N21" i="2"/>
  <c r="M21" i="2"/>
  <c r="L21" i="2"/>
  <c r="K21" i="2"/>
  <c r="J21" i="2"/>
  <c r="I21" i="2"/>
  <c r="H21" i="2"/>
  <c r="G21" i="2"/>
  <c r="F21" i="2"/>
  <c r="E21" i="2"/>
  <c r="G27" i="46"/>
  <c r="G28" i="46"/>
  <c r="G29" i="46"/>
  <c r="D24" i="1"/>
  <c r="D20" i="1"/>
  <c r="D22" i="1"/>
  <c r="D19" i="1"/>
  <c r="D18" i="1"/>
  <c r="D14" i="1"/>
  <c r="D9" i="1"/>
  <c r="D12" i="1"/>
  <c r="D11" i="1"/>
  <c r="D6" i="1"/>
  <c r="E9" i="1"/>
  <c r="F9" i="1"/>
  <c r="G9" i="1"/>
  <c r="H9" i="1"/>
  <c r="I9" i="1"/>
  <c r="J9" i="1"/>
  <c r="K9" i="1"/>
  <c r="L9" i="1"/>
  <c r="M9" i="1"/>
  <c r="N9" i="1"/>
  <c r="O9" i="1"/>
  <c r="E11" i="1"/>
  <c r="F11" i="1"/>
  <c r="G11" i="1"/>
  <c r="H11" i="1"/>
  <c r="I11" i="1"/>
  <c r="J11" i="1"/>
  <c r="K11" i="1"/>
  <c r="L11" i="1"/>
  <c r="M11" i="1"/>
  <c r="N11" i="1"/>
  <c r="O11" i="1"/>
  <c r="G12" i="1"/>
  <c r="H12" i="1"/>
  <c r="I12" i="1"/>
  <c r="K12" i="1"/>
  <c r="L12" i="1"/>
  <c r="N12" i="1"/>
  <c r="F13" i="1"/>
  <c r="B13" i="1" s="1"/>
  <c r="K13" i="1"/>
  <c r="L13" i="1"/>
  <c r="M13" i="1"/>
  <c r="N13" i="1"/>
  <c r="O13" i="1"/>
  <c r="E14" i="1"/>
  <c r="F14" i="1"/>
  <c r="G14" i="1"/>
  <c r="H14" i="1"/>
  <c r="I14" i="1"/>
  <c r="K14" i="1"/>
  <c r="L14" i="1"/>
  <c r="M14" i="1"/>
  <c r="N14" i="1"/>
  <c r="O14" i="1"/>
  <c r="E18" i="1"/>
  <c r="F18" i="1"/>
  <c r="G18" i="1"/>
  <c r="H18" i="1"/>
  <c r="I18" i="1"/>
  <c r="J18" i="1"/>
  <c r="K18" i="1"/>
  <c r="L18" i="1"/>
  <c r="M18" i="1"/>
  <c r="N18" i="1"/>
  <c r="O18" i="1"/>
  <c r="E19" i="1"/>
  <c r="F19" i="1"/>
  <c r="G19" i="1"/>
  <c r="H19" i="1"/>
  <c r="I19" i="1"/>
  <c r="J19" i="1"/>
  <c r="J17" i="1" s="1"/>
  <c r="K19" i="1"/>
  <c r="L19" i="1"/>
  <c r="M19" i="1"/>
  <c r="N19" i="1"/>
  <c r="N17" i="1" s="1"/>
  <c r="O19" i="1"/>
  <c r="E20" i="1"/>
  <c r="H20" i="1"/>
  <c r="G21" i="1"/>
  <c r="G20" i="1" s="1"/>
  <c r="F23" i="1"/>
  <c r="I23" i="1"/>
  <c r="I20" i="1" s="1"/>
  <c r="J23" i="1"/>
  <c r="J20" i="1" s="1"/>
  <c r="K23" i="1"/>
  <c r="K20" i="1" s="1"/>
  <c r="L23" i="1"/>
  <c r="L20" i="1" s="1"/>
  <c r="M23" i="1"/>
  <c r="M20" i="1" s="1"/>
  <c r="N23" i="1"/>
  <c r="N20" i="1" s="1"/>
  <c r="O23" i="1"/>
  <c r="O20" i="1" s="1"/>
  <c r="F24" i="1"/>
  <c r="G24" i="1"/>
  <c r="F26" i="1"/>
  <c r="G26" i="1"/>
  <c r="F5" i="1"/>
  <c r="I5" i="1"/>
  <c r="J5" i="1"/>
  <c r="K5" i="1"/>
  <c r="L5" i="1"/>
  <c r="M5" i="1"/>
  <c r="N5" i="1"/>
  <c r="O5" i="1"/>
  <c r="E6" i="1"/>
  <c r="F6" i="1"/>
  <c r="H6" i="1"/>
  <c r="I6" i="1"/>
  <c r="J6" i="1"/>
  <c r="K6" i="1"/>
  <c r="L6" i="1"/>
  <c r="M6" i="1"/>
  <c r="N6" i="1"/>
  <c r="O6" i="1"/>
  <c r="K32" i="6"/>
  <c r="J24" i="6"/>
  <c r="J34" i="6"/>
  <c r="I34" i="6"/>
  <c r="D18" i="6"/>
  <c r="D17" i="6"/>
  <c r="D16" i="6"/>
  <c r="D15" i="6"/>
  <c r="D12" i="6"/>
  <c r="D33" i="6"/>
  <c r="B33" i="6"/>
  <c r="C33" i="6"/>
  <c r="D19" i="6"/>
  <c r="D11" i="6"/>
  <c r="D10" i="6"/>
  <c r="D9" i="6"/>
  <c r="D8" i="6"/>
  <c r="G50" i="46"/>
  <c r="G49" i="46"/>
  <c r="F17" i="1" l="1"/>
  <c r="M17" i="1"/>
  <c r="I17" i="1"/>
  <c r="E17" i="1"/>
  <c r="M10" i="2"/>
  <c r="I10" i="2"/>
  <c r="L10" i="2"/>
  <c r="F20" i="1"/>
  <c r="L17" i="1"/>
  <c r="H17" i="1"/>
  <c r="O17" i="1"/>
  <c r="K17" i="1"/>
  <c r="G17" i="1"/>
  <c r="O10" i="2"/>
  <c r="K10" i="2"/>
  <c r="G10" i="2"/>
  <c r="N10" i="2"/>
  <c r="F10" i="2"/>
  <c r="D17" i="2"/>
  <c r="C13" i="2"/>
  <c r="D10" i="2"/>
  <c r="C11" i="2"/>
  <c r="O8" i="1"/>
  <c r="E8" i="1"/>
  <c r="F8" i="1"/>
  <c r="G8" i="1"/>
  <c r="H8" i="1"/>
  <c r="I8" i="1"/>
  <c r="J8" i="1"/>
  <c r="K8" i="1"/>
  <c r="L8" i="1"/>
  <c r="M8" i="1"/>
  <c r="N8" i="1"/>
  <c r="D8" i="1"/>
  <c r="D7" i="1" s="1"/>
  <c r="D17" i="1"/>
  <c r="C14" i="1"/>
  <c r="E7" i="1"/>
  <c r="E25" i="1" s="1"/>
  <c r="E27" i="1" s="1"/>
  <c r="E4" i="1"/>
  <c r="C9" i="1"/>
  <c r="G7" i="1"/>
  <c r="O7" i="1"/>
  <c r="O25" i="1" s="1"/>
  <c r="O27" i="1" s="1"/>
  <c r="C14" i="2"/>
  <c r="D27" i="2"/>
  <c r="C26" i="2"/>
  <c r="C25" i="2"/>
  <c r="D24" i="2"/>
  <c r="D21" i="2"/>
  <c r="C23" i="2"/>
  <c r="C22" i="2"/>
  <c r="C20" i="2"/>
  <c r="C19" i="2"/>
  <c r="C9" i="2"/>
  <c r="C24" i="1"/>
  <c r="C15" i="1"/>
  <c r="C16" i="1"/>
  <c r="C13" i="1"/>
  <c r="C19" i="1"/>
  <c r="C12" i="1"/>
  <c r="C28" i="1"/>
  <c r="C18" i="1"/>
  <c r="C26" i="1"/>
  <c r="C22" i="1"/>
  <c r="C21" i="1"/>
  <c r="C11" i="1"/>
  <c r="F4" i="1"/>
  <c r="M4" i="1"/>
  <c r="L4" i="1"/>
  <c r="K4" i="1"/>
  <c r="J4" i="1"/>
  <c r="H4" i="1"/>
  <c r="O4" i="1"/>
  <c r="I4" i="1"/>
  <c r="N4" i="1"/>
  <c r="C21" i="2" l="1"/>
  <c r="C24" i="2"/>
  <c r="C27" i="2"/>
  <c r="E29" i="1"/>
  <c r="E30" i="1" s="1"/>
  <c r="O29" i="1"/>
  <c r="O30" i="1" s="1"/>
  <c r="C17" i="2"/>
  <c r="C8" i="2"/>
  <c r="C7" i="2"/>
  <c r="M7" i="1"/>
  <c r="M25" i="1" s="1"/>
  <c r="M27" i="1" s="1"/>
  <c r="M29" i="1" s="1"/>
  <c r="M30" i="1" s="1"/>
  <c r="K7" i="1"/>
  <c r="I7" i="1"/>
  <c r="I25" i="1" s="1"/>
  <c r="I27" i="1" s="1"/>
  <c r="I29" i="1" s="1"/>
  <c r="I30" i="1" s="1"/>
  <c r="C12" i="2"/>
  <c r="C17" i="1"/>
  <c r="C8" i="1"/>
  <c r="N7" i="1"/>
  <c r="J7" i="1"/>
  <c r="H7" i="1"/>
  <c r="H25" i="1" s="1"/>
  <c r="H27" i="1" s="1"/>
  <c r="H29" i="1" s="1"/>
  <c r="H30" i="1" s="1"/>
  <c r="L7" i="1"/>
  <c r="F7" i="1"/>
  <c r="C15" i="2"/>
  <c r="C23" i="1"/>
  <c r="C20" i="1" s="1"/>
  <c r="C5" i="1"/>
  <c r="C6" i="1"/>
  <c r="G4" i="1"/>
  <c r="G25" i="1" s="1"/>
  <c r="G27" i="1" s="1"/>
  <c r="D4" i="1"/>
  <c r="D25" i="1" s="1"/>
  <c r="C10" i="2" l="1"/>
  <c r="L25" i="1"/>
  <c r="L27" i="1" s="1"/>
  <c r="L29" i="1" s="1"/>
  <c r="L30" i="1" s="1"/>
  <c r="N25" i="1"/>
  <c r="N27" i="1" s="1"/>
  <c r="N29" i="1" s="1"/>
  <c r="N30" i="1" s="1"/>
  <c r="F25" i="1"/>
  <c r="F27" i="1" s="1"/>
  <c r="F29" i="1" s="1"/>
  <c r="F30" i="1" s="1"/>
  <c r="J25" i="1"/>
  <c r="J27" i="1" s="1"/>
  <c r="J29" i="1" s="1"/>
  <c r="J30" i="1" s="1"/>
  <c r="K25" i="1"/>
  <c r="K27" i="1" s="1"/>
  <c r="K29" i="1" s="1"/>
  <c r="K30" i="1" s="1"/>
  <c r="D27" i="1"/>
  <c r="D29" i="1" s="1"/>
  <c r="D30" i="1" s="1"/>
  <c r="O6" i="9"/>
  <c r="M6" i="9"/>
  <c r="I6" i="9"/>
  <c r="H6" i="9"/>
  <c r="E6" i="9"/>
  <c r="C7" i="1"/>
  <c r="C4" i="1"/>
  <c r="G29" i="1"/>
  <c r="G30" i="1" s="1"/>
  <c r="J6" i="9" l="1"/>
  <c r="N6" i="9"/>
  <c r="K6" i="9"/>
  <c r="F6" i="9"/>
  <c r="L6" i="9"/>
  <c r="C25" i="1"/>
  <c r="C27" i="1" s="1"/>
  <c r="D6" i="9"/>
  <c r="G6" i="9"/>
  <c r="C29" i="1" l="1"/>
  <c r="C20" i="6"/>
  <c r="F52" i="3"/>
  <c r="F53" i="3" s="1"/>
  <c r="G49" i="3"/>
  <c r="G44" i="3"/>
  <c r="F44" i="3"/>
  <c r="F41" i="3"/>
  <c r="E41" i="3"/>
  <c r="D41" i="3"/>
  <c r="G43" i="3"/>
  <c r="G41" i="3"/>
  <c r="G40" i="3"/>
  <c r="P40" i="3" s="1"/>
  <c r="Q40" i="3" s="1"/>
  <c r="F49" i="3"/>
  <c r="F43" i="3"/>
  <c r="L57" i="7"/>
  <c r="J32" i="6"/>
  <c r="I32" i="6"/>
  <c r="E20" i="47"/>
  <c r="G24" i="4"/>
  <c r="I15" i="4"/>
  <c r="J15" i="4"/>
  <c r="J12" i="4"/>
  <c r="I11" i="4"/>
  <c r="I10" i="4"/>
  <c r="I9" i="4"/>
  <c r="J5" i="4"/>
  <c r="F86" i="7"/>
  <c r="F87" i="7" s="1"/>
  <c r="E86" i="7"/>
  <c r="E87" i="7" s="1"/>
  <c r="D44" i="7"/>
  <c r="U4" i="4"/>
  <c r="V35" i="7"/>
  <c r="V36" i="7"/>
  <c r="V38" i="7"/>
  <c r="V34" i="7"/>
  <c r="V33" i="7"/>
  <c r="V31" i="7"/>
  <c r="V30" i="7"/>
  <c r="V29" i="7"/>
  <c r="V28" i="7"/>
  <c r="V27" i="7"/>
  <c r="V26" i="7"/>
  <c r="V25" i="7"/>
  <c r="V24" i="7"/>
  <c r="U39" i="7"/>
  <c r="U38" i="7"/>
  <c r="U36" i="7"/>
  <c r="U35" i="7"/>
  <c r="U34" i="7"/>
  <c r="U33" i="7"/>
  <c r="U32" i="7"/>
  <c r="U29" i="7"/>
  <c r="U28" i="7"/>
  <c r="U27" i="7"/>
  <c r="U26" i="7"/>
  <c r="U25" i="7"/>
  <c r="U24" i="7"/>
  <c r="H43" i="7"/>
  <c r="P41" i="3" l="1"/>
  <c r="Q41" i="3" s="1"/>
  <c r="C6" i="9"/>
  <c r="E63" i="55"/>
  <c r="C6" i="2"/>
  <c r="C18" i="2" s="1"/>
  <c r="D6" i="2"/>
  <c r="C35" i="47"/>
  <c r="C23" i="47"/>
  <c r="C22" i="47"/>
  <c r="B24" i="5"/>
  <c r="C28" i="2" l="1"/>
  <c r="D18" i="2"/>
  <c r="D28" i="2" s="1"/>
  <c r="D20" i="6"/>
  <c r="G23" i="4"/>
  <c r="G22" i="4"/>
  <c r="I22" i="4" l="1"/>
  <c r="D29" i="2"/>
  <c r="L15" i="4"/>
  <c r="N15" i="4" s="1"/>
  <c r="H15" i="4"/>
  <c r="H14" i="4"/>
  <c r="H13" i="4"/>
  <c r="H12" i="4"/>
  <c r="H11" i="4"/>
  <c r="H10" i="4"/>
  <c r="H9" i="4"/>
  <c r="H8" i="4"/>
  <c r="H7" i="4"/>
  <c r="D86" i="7"/>
  <c r="D87" i="7" s="1"/>
  <c r="B86" i="7"/>
  <c r="B87" i="7" s="1"/>
  <c r="X85" i="7"/>
  <c r="S61" i="7"/>
  <c r="S59" i="7"/>
  <c r="S58" i="7"/>
  <c r="L23" i="7"/>
  <c r="T39" i="7"/>
  <c r="T38" i="7"/>
  <c r="T36" i="7"/>
  <c r="T35" i="7"/>
  <c r="T34" i="7"/>
  <c r="T33" i="7"/>
  <c r="T32" i="7"/>
  <c r="T31" i="7"/>
  <c r="T30" i="7"/>
  <c r="T29" i="7"/>
  <c r="T28" i="7"/>
  <c r="T27" i="7"/>
  <c r="T26" i="7"/>
  <c r="T24" i="7"/>
  <c r="P49" i="3"/>
  <c r="D53" i="3"/>
  <c r="E53" i="3"/>
  <c r="E44" i="3"/>
  <c r="E49" i="3"/>
  <c r="D45" i="3"/>
  <c r="D47" i="3" s="1"/>
  <c r="D49" i="3"/>
  <c r="D54" i="3" s="1"/>
  <c r="D56" i="3" s="1"/>
  <c r="D30" i="2" l="1"/>
  <c r="D5" i="9" s="1"/>
  <c r="M15" i="4"/>
  <c r="L22" i="7"/>
  <c r="H41" i="7"/>
  <c r="L6" i="7"/>
  <c r="L5" i="7"/>
  <c r="D41" i="7"/>
  <c r="S39" i="7"/>
  <c r="S36" i="7"/>
  <c r="S35" i="7"/>
  <c r="S34" i="7"/>
  <c r="S33" i="7"/>
  <c r="S32" i="7"/>
  <c r="S31" i="7"/>
  <c r="S30" i="7"/>
  <c r="S29" i="7"/>
  <c r="S28" i="7"/>
  <c r="S27" i="7"/>
  <c r="S26" i="7"/>
  <c r="S25" i="7"/>
  <c r="S24" i="7"/>
  <c r="T4" i="7"/>
  <c r="U4" i="7"/>
  <c r="V4" i="7"/>
  <c r="W4" i="7"/>
  <c r="X4" i="7"/>
  <c r="Y4" i="7"/>
  <c r="Z4" i="7"/>
  <c r="AA4" i="7"/>
  <c r="AB4" i="7"/>
  <c r="AC4" i="7"/>
  <c r="AD4" i="7"/>
  <c r="S4" i="7"/>
  <c r="J33" i="7"/>
  <c r="J31" i="7"/>
  <c r="J30" i="7"/>
  <c r="J29" i="7"/>
  <c r="J27" i="7"/>
  <c r="J26" i="7"/>
  <c r="J23" i="7"/>
  <c r="J22" i="7" s="1"/>
  <c r="H33" i="7"/>
  <c r="H30" i="7"/>
  <c r="H28" i="7"/>
  <c r="L28" i="7" s="1"/>
  <c r="H25" i="7"/>
  <c r="F32" i="7"/>
  <c r="L32" i="7" s="1"/>
  <c r="F30" i="7"/>
  <c r="F29" i="7"/>
  <c r="F27" i="7"/>
  <c r="L27" i="7" s="1"/>
  <c r="F26" i="7"/>
  <c r="F25" i="7"/>
  <c r="L25" i="7" s="1"/>
  <c r="F23" i="7"/>
  <c r="F22" i="7"/>
  <c r="D33" i="7"/>
  <c r="L33" i="7" s="1"/>
  <c r="D31" i="7"/>
  <c r="L31" i="7" s="1"/>
  <c r="D30" i="7"/>
  <c r="D26" i="7"/>
  <c r="L26" i="7" s="1"/>
  <c r="D24" i="7"/>
  <c r="L24" i="7" s="1"/>
  <c r="J43" i="7" s="1"/>
  <c r="B29" i="7"/>
  <c r="B28" i="7"/>
  <c r="B23" i="7"/>
  <c r="J16" i="7"/>
  <c r="J15" i="7"/>
  <c r="J14" i="7"/>
  <c r="J13" i="7"/>
  <c r="J12" i="7"/>
  <c r="J11" i="7"/>
  <c r="J10" i="7"/>
  <c r="J9" i="7"/>
  <c r="J7" i="7"/>
  <c r="J6" i="7"/>
  <c r="J5" i="7" s="1"/>
  <c r="H16" i="7"/>
  <c r="H13" i="7"/>
  <c r="H12" i="7"/>
  <c r="H11" i="7"/>
  <c r="H8" i="7"/>
  <c r="H7" i="7"/>
  <c r="F15" i="7"/>
  <c r="F13" i="7"/>
  <c r="F12" i="7"/>
  <c r="L12" i="7" s="1"/>
  <c r="F11" i="7"/>
  <c r="L11" i="7" s="1"/>
  <c r="F10" i="7"/>
  <c r="F9" i="7"/>
  <c r="F8" i="7"/>
  <c r="F6" i="7"/>
  <c r="F17" i="7" s="1"/>
  <c r="D16" i="7"/>
  <c r="L16" i="7" s="1"/>
  <c r="D14" i="7"/>
  <c r="L14" i="7" s="1"/>
  <c r="D13" i="7"/>
  <c r="D10" i="7"/>
  <c r="L10" i="7" s="1"/>
  <c r="D9" i="7"/>
  <c r="D8" i="7"/>
  <c r="L8" i="7" s="1"/>
  <c r="D6" i="7"/>
  <c r="B14" i="7"/>
  <c r="B13" i="7"/>
  <c r="B10" i="7"/>
  <c r="B9" i="7"/>
  <c r="B6" i="7"/>
  <c r="B17" i="7" s="1"/>
  <c r="D37" i="3"/>
  <c r="O36" i="3"/>
  <c r="N36" i="3"/>
  <c r="M36" i="3"/>
  <c r="L36" i="3"/>
  <c r="K36" i="3"/>
  <c r="K37" i="3" s="1"/>
  <c r="I36" i="3"/>
  <c r="J37" i="3" s="1"/>
  <c r="H36" i="3"/>
  <c r="G36" i="3"/>
  <c r="F36" i="3"/>
  <c r="E36" i="3"/>
  <c r="E37" i="3" s="1"/>
  <c r="O35" i="3"/>
  <c r="N35" i="3"/>
  <c r="M35" i="3"/>
  <c r="L35" i="3"/>
  <c r="K35" i="3"/>
  <c r="J35" i="3"/>
  <c r="I35" i="3"/>
  <c r="G35" i="3"/>
  <c r="F35" i="3"/>
  <c r="E35" i="3"/>
  <c r="D35" i="3"/>
  <c r="H32" i="3"/>
  <c r="H33" i="3" s="1"/>
  <c r="O31" i="3"/>
  <c r="N31" i="3"/>
  <c r="L31" i="3"/>
  <c r="J31" i="3"/>
  <c r="I31" i="3"/>
  <c r="E31" i="3"/>
  <c r="D31" i="3"/>
  <c r="O30" i="3"/>
  <c r="N30" i="3"/>
  <c r="M30" i="3"/>
  <c r="M32" i="3" s="1"/>
  <c r="L30" i="3"/>
  <c r="L32" i="3" s="1"/>
  <c r="K30" i="3"/>
  <c r="K32" i="3" s="1"/>
  <c r="J30" i="3"/>
  <c r="I30" i="3"/>
  <c r="G30" i="3"/>
  <c r="G32" i="3" s="1"/>
  <c r="F30" i="3"/>
  <c r="F32" i="3" s="1"/>
  <c r="E30" i="3"/>
  <c r="D30" i="3"/>
  <c r="O29" i="3"/>
  <c r="M29" i="3"/>
  <c r="K29" i="3"/>
  <c r="J29" i="3"/>
  <c r="G29" i="3"/>
  <c r="F29" i="3"/>
  <c r="E29" i="3"/>
  <c r="D29" i="3"/>
  <c r="O28" i="3"/>
  <c r="M28" i="3"/>
  <c r="L28" i="3"/>
  <c r="K28" i="3"/>
  <c r="J28" i="3"/>
  <c r="G28" i="3"/>
  <c r="F28" i="3"/>
  <c r="E28" i="3"/>
  <c r="D28" i="3"/>
  <c r="L34" i="1"/>
  <c r="N34" i="1" s="1"/>
  <c r="F11" i="8" l="1"/>
  <c r="N35" i="1"/>
  <c r="D17" i="7"/>
  <c r="L9" i="7"/>
  <c r="L13" i="7"/>
  <c r="L15" i="7"/>
  <c r="L30" i="7"/>
  <c r="L29" i="7"/>
  <c r="H17" i="7"/>
  <c r="L7" i="7"/>
  <c r="F37" i="3"/>
  <c r="H37" i="3"/>
  <c r="E32" i="3"/>
  <c r="P28" i="3"/>
  <c r="Q28" i="3" s="1"/>
  <c r="J32" i="3"/>
  <c r="J33" i="3" s="1"/>
  <c r="N32" i="3"/>
  <c r="N33" i="3" s="1"/>
  <c r="P31" i="3"/>
  <c r="Q31" i="3" s="1"/>
  <c r="M37" i="3"/>
  <c r="E33" i="3"/>
  <c r="P35" i="3"/>
  <c r="G33" i="3"/>
  <c r="L33" i="3"/>
  <c r="P29" i="3"/>
  <c r="Q29" i="3" s="1"/>
  <c r="P30" i="3"/>
  <c r="Q30" i="3" s="1"/>
  <c r="F33" i="3"/>
  <c r="I32" i="3"/>
  <c r="I33" i="3" s="1"/>
  <c r="K33" i="3"/>
  <c r="M33" i="3"/>
  <c r="O32" i="3"/>
  <c r="O33" i="3" s="1"/>
  <c r="G37" i="3"/>
  <c r="L37" i="3"/>
  <c r="N37" i="3"/>
  <c r="Q35" i="3"/>
  <c r="D32" i="3"/>
  <c r="I37" i="3"/>
  <c r="O37" i="3"/>
  <c r="F10" i="5"/>
  <c r="P37" i="3" l="1"/>
  <c r="Q37" i="3" s="1"/>
  <c r="D33" i="3"/>
  <c r="P32" i="3"/>
  <c r="O107" i="7"/>
  <c r="N107" i="7"/>
  <c r="O108" i="7" s="1"/>
  <c r="M107" i="7"/>
  <c r="AC40" i="7"/>
  <c r="N108" i="7" l="1"/>
  <c r="P33" i="3"/>
  <c r="E34" i="3"/>
  <c r="F34" i="3" s="1"/>
  <c r="G34" i="3" s="1"/>
  <c r="H34" i="3" s="1"/>
  <c r="I34" i="3" s="1"/>
  <c r="J34" i="3" s="1"/>
  <c r="K34" i="3" s="1"/>
  <c r="L34" i="3" s="1"/>
  <c r="M34" i="3" s="1"/>
  <c r="N34" i="3" s="1"/>
  <c r="O34" i="3" s="1"/>
  <c r="AC41" i="7"/>
  <c r="E36" i="47"/>
  <c r="I12" i="6"/>
  <c r="J12" i="6" l="1"/>
  <c r="O54" i="3"/>
  <c r="O53" i="3"/>
  <c r="G26" i="6" l="1"/>
  <c r="L107" i="7"/>
  <c r="M108" i="7" s="1"/>
  <c r="N53" i="3"/>
  <c r="E32" i="5"/>
  <c r="K26" i="5"/>
  <c r="B3" i="5"/>
  <c r="G25" i="6"/>
  <c r="G24" i="6"/>
  <c r="C4" i="4"/>
  <c r="C5" i="4"/>
  <c r="C6" i="4"/>
  <c r="C7" i="4"/>
  <c r="C8" i="4"/>
  <c r="C9" i="4"/>
  <c r="C10" i="4"/>
  <c r="C11" i="4"/>
  <c r="C12" i="4"/>
  <c r="C13" i="4"/>
  <c r="C14" i="4"/>
  <c r="C15" i="4"/>
  <c r="C16" i="4"/>
  <c r="J107" i="7" l="1"/>
  <c r="H107" i="7"/>
  <c r="K107" i="7"/>
  <c r="P24" i="3"/>
  <c r="P55" i="3"/>
  <c r="K53" i="3"/>
  <c r="L53" i="3" l="1"/>
  <c r="K108" i="7"/>
  <c r="J108" i="7"/>
  <c r="K54" i="3"/>
  <c r="K56" i="3" s="1"/>
  <c r="B26" i="5"/>
  <c r="J26" i="5"/>
  <c r="I26" i="5"/>
  <c r="H26" i="5"/>
  <c r="D22" i="6" l="1"/>
  <c r="P19" i="4" l="1"/>
  <c r="P21" i="4" s="1"/>
  <c r="P1" i="4"/>
  <c r="I53" i="3"/>
  <c r="G22" i="6" l="1"/>
  <c r="F107" i="7"/>
  <c r="V4" i="4"/>
  <c r="J19" i="4"/>
  <c r="J20" i="4" s="1"/>
  <c r="L58" i="7" l="1"/>
  <c r="L59" i="7" s="1"/>
  <c r="E107" i="7"/>
  <c r="F108" i="7" s="1"/>
  <c r="G107" i="7"/>
  <c r="D107" i="7"/>
  <c r="E108" i="7" l="1"/>
  <c r="G108" i="7"/>
  <c r="G54" i="3"/>
  <c r="G56" i="3" s="1"/>
  <c r="F6" i="2"/>
  <c r="I6" i="2"/>
  <c r="G6" i="2"/>
  <c r="J6" i="2"/>
  <c r="K6" i="2"/>
  <c r="L6" i="2"/>
  <c r="M6" i="2"/>
  <c r="N6" i="2"/>
  <c r="O6" i="2"/>
  <c r="E6" i="2"/>
  <c r="H6" i="2"/>
  <c r="B15" i="5"/>
  <c r="B40" i="5"/>
  <c r="E15" i="5"/>
  <c r="D15" i="5"/>
  <c r="C15" i="5"/>
  <c r="I18" i="6"/>
  <c r="J18" i="6" s="1"/>
  <c r="I17" i="6"/>
  <c r="J17" i="6" s="1"/>
  <c r="I16" i="6"/>
  <c r="J16" i="6" s="1"/>
  <c r="I15" i="6"/>
  <c r="B34" i="7"/>
  <c r="H34" i="7"/>
  <c r="J15" i="6" l="1"/>
  <c r="I19" i="6"/>
  <c r="E18" i="2"/>
  <c r="E28" i="2" s="1"/>
  <c r="E29" i="2" s="1"/>
  <c r="N18" i="2"/>
  <c r="N28" i="2" s="1"/>
  <c r="N30" i="2" s="1"/>
  <c r="N5" i="9" s="1"/>
  <c r="L18" i="2"/>
  <c r="L28" i="2" s="1"/>
  <c r="L30" i="2" s="1"/>
  <c r="L5" i="9" s="1"/>
  <c r="J18" i="2"/>
  <c r="J28" i="2" s="1"/>
  <c r="J30" i="2" s="1"/>
  <c r="J5" i="9" s="1"/>
  <c r="I18" i="2"/>
  <c r="I28" i="2" s="1"/>
  <c r="I30" i="2" s="1"/>
  <c r="I5" i="9" s="1"/>
  <c r="H18" i="2"/>
  <c r="H28" i="2" s="1"/>
  <c r="H29" i="2" s="1"/>
  <c r="O18" i="2"/>
  <c r="O28" i="2" s="1"/>
  <c r="O30" i="2" s="1"/>
  <c r="O5" i="9" s="1"/>
  <c r="M18" i="2"/>
  <c r="M28" i="2" s="1"/>
  <c r="M30" i="2" s="1"/>
  <c r="M5" i="9" s="1"/>
  <c r="K18" i="2"/>
  <c r="K28" i="2" s="1"/>
  <c r="K30" i="2" s="1"/>
  <c r="K5" i="9" s="1"/>
  <c r="G18" i="2"/>
  <c r="G28" i="2" s="1"/>
  <c r="G29" i="2" s="1"/>
  <c r="F18" i="2"/>
  <c r="F28" i="2" s="1"/>
  <c r="F29" i="2" s="1"/>
  <c r="E9" i="7"/>
  <c r="D34" i="7"/>
  <c r="E33" i="7" s="1"/>
  <c r="F34" i="7"/>
  <c r="G34" i="7" s="1"/>
  <c r="I20" i="6"/>
  <c r="J35" i="6" s="1"/>
  <c r="C34" i="7"/>
  <c r="C30" i="7"/>
  <c r="C29" i="7"/>
  <c r="C33" i="7"/>
  <c r="C32" i="7"/>
  <c r="C31" i="7"/>
  <c r="C26" i="7"/>
  <c r="C23" i="7"/>
  <c r="C22" i="7"/>
  <c r="C28" i="7"/>
  <c r="C27" i="7"/>
  <c r="C24" i="7"/>
  <c r="E34" i="7"/>
  <c r="E32" i="7"/>
  <c r="E29" i="7"/>
  <c r="E30" i="7"/>
  <c r="E24" i="7"/>
  <c r="E25" i="7"/>
  <c r="G33" i="7"/>
  <c r="G27" i="7"/>
  <c r="G32" i="7"/>
  <c r="G28" i="7"/>
  <c r="G22" i="7"/>
  <c r="G30" i="7"/>
  <c r="E23" i="7"/>
  <c r="G24" i="7"/>
  <c r="C25" i="7"/>
  <c r="G17" i="7"/>
  <c r="G16" i="7"/>
  <c r="G13" i="7"/>
  <c r="G7" i="7"/>
  <c r="G15" i="7"/>
  <c r="G11" i="7"/>
  <c r="G14" i="7"/>
  <c r="G12" i="7"/>
  <c r="G8" i="7"/>
  <c r="G5" i="7"/>
  <c r="C17" i="7"/>
  <c r="C16" i="7"/>
  <c r="C15" i="7"/>
  <c r="C11" i="7"/>
  <c r="C10" i="7"/>
  <c r="C8" i="7"/>
  <c r="C6" i="7"/>
  <c r="C14" i="7"/>
  <c r="C13" i="7"/>
  <c r="C12" i="7"/>
  <c r="C7" i="7"/>
  <c r="C5" i="7"/>
  <c r="E12" i="7"/>
  <c r="E5" i="7"/>
  <c r="E15" i="7"/>
  <c r="E13" i="7"/>
  <c r="E8" i="7"/>
  <c r="G10" i="7"/>
  <c r="C9" i="7"/>
  <c r="G9" i="7"/>
  <c r="E10" i="7"/>
  <c r="G6" i="7"/>
  <c r="G23" i="7" l="1"/>
  <c r="G25" i="7"/>
  <c r="G29" i="7"/>
  <c r="G26" i="7"/>
  <c r="G31" i="7"/>
  <c r="E6" i="7"/>
  <c r="E11" i="7"/>
  <c r="E14" i="7"/>
  <c r="E16" i="7"/>
  <c r="E7" i="7"/>
  <c r="E17" i="7"/>
  <c r="E22" i="7"/>
  <c r="E26" i="7"/>
  <c r="E27" i="7"/>
  <c r="E28" i="7"/>
  <c r="E31" i="7"/>
  <c r="G23" i="6"/>
  <c r="G27" i="6" s="1"/>
  <c r="G28" i="6" s="1"/>
  <c r="J17" i="7"/>
  <c r="T4" i="4"/>
  <c r="V6" i="4"/>
  <c r="V5" i="4"/>
  <c r="K19" i="4"/>
  <c r="K20" i="4" s="1"/>
  <c r="L6" i="4"/>
  <c r="N6" i="4" s="1"/>
  <c r="I19" i="4"/>
  <c r="I20" i="4" s="1"/>
  <c r="I32" i="4"/>
  <c r="B107" i="7"/>
  <c r="D108" i="7" s="1"/>
  <c r="B130" i="7"/>
  <c r="A90" i="7"/>
  <c r="A91" i="7"/>
  <c r="A92" i="7"/>
  <c r="A93" i="7"/>
  <c r="A94" i="7"/>
  <c r="A95" i="7"/>
  <c r="A96" i="7"/>
  <c r="A97" i="7"/>
  <c r="A98" i="7"/>
  <c r="A99" i="7"/>
  <c r="A100" i="7"/>
  <c r="A101" i="7"/>
  <c r="A102" i="7"/>
  <c r="A103" i="7"/>
  <c r="A104" i="7"/>
  <c r="A105" i="7"/>
  <c r="A89" i="7"/>
  <c r="A130" i="7"/>
  <c r="C130" i="7"/>
  <c r="D130" i="7"/>
  <c r="E130" i="7"/>
  <c r="F130" i="7"/>
  <c r="G130" i="7"/>
  <c r="H130" i="7"/>
  <c r="J130" i="7"/>
  <c r="K130" i="7"/>
  <c r="L130" i="7"/>
  <c r="M130" i="7"/>
  <c r="N130" i="7"/>
  <c r="O130" i="7"/>
  <c r="D131" i="7"/>
  <c r="T72" i="7"/>
  <c r="S72" i="7"/>
  <c r="U72" i="7"/>
  <c r="V72" i="7"/>
  <c r="W72" i="7"/>
  <c r="X72" i="7"/>
  <c r="Y72" i="7"/>
  <c r="Z72" i="7"/>
  <c r="AA72" i="7"/>
  <c r="AB72" i="7"/>
  <c r="H53" i="7"/>
  <c r="H54" i="7" s="1"/>
  <c r="D53" i="7"/>
  <c r="D54" i="7" s="1"/>
  <c r="P44" i="3"/>
  <c r="Q44" i="3" s="1"/>
  <c r="E54" i="3"/>
  <c r="E56" i="3" s="1"/>
  <c r="P43" i="3"/>
  <c r="Q43" i="3" s="1"/>
  <c r="G53" i="3"/>
  <c r="P53" i="3" s="1"/>
  <c r="Q53" i="3" s="1"/>
  <c r="M53" i="3"/>
  <c r="O56" i="3"/>
  <c r="N54" i="3"/>
  <c r="N56" i="3" s="1"/>
  <c r="M54" i="3"/>
  <c r="M56" i="3" s="1"/>
  <c r="L54" i="3"/>
  <c r="L56" i="3" s="1"/>
  <c r="H54" i="3"/>
  <c r="H56" i="3" s="1"/>
  <c r="F54" i="3"/>
  <c r="F56" i="3" s="1"/>
  <c r="M45" i="3"/>
  <c r="M47" i="3" s="1"/>
  <c r="J45" i="3"/>
  <c r="J47" i="3" s="1"/>
  <c r="G45" i="3"/>
  <c r="G47" i="3" s="1"/>
  <c r="F45" i="3"/>
  <c r="F47" i="3" s="1"/>
  <c r="E45" i="3"/>
  <c r="E47" i="3" s="1"/>
  <c r="L45" i="3"/>
  <c r="L47" i="3" s="1"/>
  <c r="O45" i="3"/>
  <c r="O47" i="3" s="1"/>
  <c r="N45" i="3"/>
  <c r="N47" i="3" s="1"/>
  <c r="K45" i="3"/>
  <c r="K47" i="3" s="1"/>
  <c r="H45" i="3"/>
  <c r="H47" i="3" s="1"/>
  <c r="K131" i="7" l="1"/>
  <c r="A107" i="7"/>
  <c r="J59" i="7"/>
  <c r="O131" i="7"/>
  <c r="F131" i="7"/>
  <c r="B108" i="7"/>
  <c r="C107" i="7"/>
  <c r="G29" i="6"/>
  <c r="N131" i="7"/>
  <c r="L131" i="7"/>
  <c r="J131" i="7"/>
  <c r="G131" i="7"/>
  <c r="E131" i="7"/>
  <c r="M131" i="7"/>
  <c r="H131" i="7"/>
  <c r="B131" i="7"/>
  <c r="P42" i="3"/>
  <c r="Q42" i="3" s="1"/>
  <c r="J54" i="3"/>
  <c r="J56" i="3" s="1"/>
  <c r="I54" i="3"/>
  <c r="I56" i="3" s="1"/>
  <c r="I45" i="3"/>
  <c r="I47" i="3" s="1"/>
  <c r="P47" i="3" s="1"/>
  <c r="P56" i="3" l="1"/>
  <c r="P45" i="3"/>
  <c r="P54" i="3"/>
  <c r="P51" i="3"/>
  <c r="E48" i="3"/>
  <c r="F48" i="3" s="1"/>
  <c r="G48" i="3" s="1"/>
  <c r="H48" i="3" s="1"/>
  <c r="I48" i="3" s="1"/>
  <c r="J48" i="3" s="1"/>
  <c r="K48" i="3" s="1"/>
  <c r="L48" i="3" s="1"/>
  <c r="M48" i="3" s="1"/>
  <c r="N48" i="3" s="1"/>
  <c r="O48" i="3" s="1"/>
  <c r="X4" i="4"/>
  <c r="X5" i="4"/>
  <c r="X6" i="4"/>
  <c r="X7" i="4"/>
  <c r="X8" i="4"/>
  <c r="X9" i="4"/>
  <c r="X10" i="4"/>
  <c r="X11" i="4"/>
  <c r="X12" i="4"/>
  <c r="X13" i="4"/>
  <c r="X14" i="4"/>
  <c r="X15" i="4"/>
  <c r="X16" i="4"/>
  <c r="X17" i="4"/>
  <c r="X18" i="4"/>
  <c r="V12" i="4"/>
  <c r="V13" i="4"/>
  <c r="V14" i="4"/>
  <c r="V16" i="4"/>
  <c r="V17" i="4"/>
  <c r="V18" i="4"/>
  <c r="V10" i="4"/>
  <c r="V11" i="4"/>
  <c r="V9" i="4"/>
  <c r="U5" i="4"/>
  <c r="U6" i="4"/>
  <c r="U7" i="4"/>
  <c r="U8" i="4"/>
  <c r="U9" i="4"/>
  <c r="U10" i="4"/>
  <c r="U11" i="4"/>
  <c r="U12" i="4"/>
  <c r="U13" i="4"/>
  <c r="U14" i="4"/>
  <c r="U15" i="4"/>
  <c r="U16" i="4"/>
  <c r="U17" i="4"/>
  <c r="U18" i="4"/>
  <c r="T5" i="4"/>
  <c r="T6" i="4"/>
  <c r="T7" i="4"/>
  <c r="T8" i="4"/>
  <c r="T9" i="4"/>
  <c r="T10" i="4"/>
  <c r="T11" i="4"/>
  <c r="T12" i="4"/>
  <c r="T13" i="4"/>
  <c r="T14" i="4"/>
  <c r="T15" i="4"/>
  <c r="T16" i="4"/>
  <c r="T17" i="4"/>
  <c r="T18" i="4"/>
  <c r="R19" i="4"/>
  <c r="R20" i="4" s="1"/>
  <c r="Q19" i="4"/>
  <c r="Q20" i="4" s="1"/>
  <c r="S19" i="4"/>
  <c r="S20" i="4" s="1"/>
  <c r="K15" i="5"/>
  <c r="J15" i="5"/>
  <c r="J17" i="5" s="1"/>
  <c r="I15" i="5"/>
  <c r="H15" i="5"/>
  <c r="AC72" i="7" l="1"/>
  <c r="X19" i="4"/>
  <c r="U19" i="4"/>
  <c r="T19" i="4"/>
  <c r="L17" i="4"/>
  <c r="N17" i="4" s="1"/>
  <c r="U20" i="4" l="1"/>
  <c r="T20" i="4"/>
  <c r="J36" i="6"/>
  <c r="E34" i="6" s="1"/>
  <c r="K26" i="6"/>
  <c r="J32" i="4" l="1"/>
  <c r="L5" i="4"/>
  <c r="N5" i="4" s="1"/>
  <c r="V8" i="4"/>
  <c r="V7" i="4"/>
  <c r="V19" i="4" l="1"/>
  <c r="E22" i="3"/>
  <c r="E25" i="3" s="1"/>
  <c r="O20" i="3"/>
  <c r="O10" i="3"/>
  <c r="O16" i="3"/>
  <c r="O22" i="3" s="1"/>
  <c r="O25" i="3" s="1"/>
  <c r="O9" i="3"/>
  <c r="O11" i="3" s="1"/>
  <c r="O8" i="3"/>
  <c r="O7" i="3"/>
  <c r="G8" i="6"/>
  <c r="H8" i="6" s="1"/>
  <c r="E8" i="6"/>
  <c r="F8" i="6" s="1"/>
  <c r="L4" i="4"/>
  <c r="J33" i="4"/>
  <c r="K33" i="4"/>
  <c r="J34" i="4"/>
  <c r="K34" i="4"/>
  <c r="I34" i="4"/>
  <c r="I33" i="4"/>
  <c r="K32" i="4"/>
  <c r="L11" i="4"/>
  <c r="N11" i="4" s="1"/>
  <c r="D26" i="5"/>
  <c r="D28" i="5" s="1"/>
  <c r="F25" i="5"/>
  <c r="L25" i="5"/>
  <c r="C26" i="5"/>
  <c r="E26" i="5"/>
  <c r="L13" i="5"/>
  <c r="K35" i="4" l="1"/>
  <c r="J35" i="4"/>
  <c r="I35" i="4"/>
  <c r="J36" i="8"/>
  <c r="C52" i="7"/>
  <c r="O13" i="3"/>
  <c r="C32" i="4"/>
  <c r="N20" i="3" l="1"/>
  <c r="N16" i="3" l="1"/>
  <c r="N22" i="3" s="1"/>
  <c r="N25" i="3" s="1"/>
  <c r="N10" i="3"/>
  <c r="N9" i="3"/>
  <c r="N8" i="3"/>
  <c r="N7" i="3"/>
  <c r="N11" i="3" l="1"/>
  <c r="N13" i="3" s="1"/>
  <c r="F24" i="5"/>
  <c r="L12" i="4" l="1"/>
  <c r="N12" i="4" s="1"/>
  <c r="L16" i="4"/>
  <c r="N16" i="4" s="1"/>
  <c r="J22" i="6"/>
  <c r="M16" i="3" l="1"/>
  <c r="M22" i="3" s="1"/>
  <c r="M25" i="3" s="1"/>
  <c r="M11" i="3"/>
  <c r="M13" i="3" s="1"/>
  <c r="B28" i="6" l="1"/>
  <c r="H27" i="8"/>
  <c r="AE24" i="7"/>
  <c r="L19" i="3"/>
  <c r="M20" i="3" s="1"/>
  <c r="L10" i="3"/>
  <c r="L11" i="3" s="1"/>
  <c r="L13" i="3" s="1"/>
  <c r="L16" i="3"/>
  <c r="L22" i="3" l="1"/>
  <c r="L25" i="3" s="1"/>
  <c r="L20" i="3"/>
  <c r="H29" i="8"/>
  <c r="D34" i="4"/>
  <c r="D33" i="4"/>
  <c r="D32" i="4"/>
  <c r="D19" i="4"/>
  <c r="D20" i="4" s="1"/>
  <c r="D35" i="4" l="1"/>
  <c r="K16" i="3"/>
  <c r="K22" i="3" s="1"/>
  <c r="K25" i="3" s="1"/>
  <c r="K9" i="3"/>
  <c r="K11" i="3" s="1"/>
  <c r="K13" i="3" s="1"/>
  <c r="L7" i="4" l="1"/>
  <c r="N7" i="4" s="1"/>
  <c r="L9" i="4"/>
  <c r="N9" i="4" s="1"/>
  <c r="L10" i="4"/>
  <c r="N10" i="4" s="1"/>
  <c r="L13" i="4"/>
  <c r="N13" i="4" s="1"/>
  <c r="L14" i="4"/>
  <c r="N14" i="4" s="1"/>
  <c r="L18" i="4"/>
  <c r="M17" i="4"/>
  <c r="C34" i="4"/>
  <c r="H19" i="4"/>
  <c r="C18" i="4"/>
  <c r="C17" i="4"/>
  <c r="J19" i="3"/>
  <c r="I19" i="3"/>
  <c r="I20" i="3" s="1"/>
  <c r="J16" i="3"/>
  <c r="G11" i="3"/>
  <c r="I10" i="3"/>
  <c r="P10" i="3" s="1"/>
  <c r="Q10" i="3" s="1"/>
  <c r="J11" i="3"/>
  <c r="J13" i="3" s="1"/>
  <c r="J22" i="3" l="1"/>
  <c r="J25" i="3" s="1"/>
  <c r="I23" i="4"/>
  <c r="H20" i="4"/>
  <c r="M18" i="4"/>
  <c r="L34" i="4"/>
  <c r="L19" i="4"/>
  <c r="L20" i="4" s="1"/>
  <c r="L32" i="4"/>
  <c r="J20" i="3"/>
  <c r="K20" i="3"/>
  <c r="L33" i="4"/>
  <c r="M7" i="4"/>
  <c r="M14" i="4"/>
  <c r="M12" i="4"/>
  <c r="M10" i="4"/>
  <c r="M9" i="4"/>
  <c r="M6" i="4"/>
  <c r="M5" i="4"/>
  <c r="M13" i="4"/>
  <c r="M11" i="4"/>
  <c r="M16" i="4"/>
  <c r="M8" i="4"/>
  <c r="M4" i="4"/>
  <c r="L35" i="4" l="1"/>
  <c r="M19" i="4"/>
  <c r="H20" i="3"/>
  <c r="I16" i="3"/>
  <c r="I22" i="3" s="1"/>
  <c r="I25" i="3" s="1"/>
  <c r="I11" i="3"/>
  <c r="C33" i="4"/>
  <c r="I13" i="3" l="1"/>
  <c r="F32" i="4"/>
  <c r="G20" i="3"/>
  <c r="H8" i="3"/>
  <c r="H7" i="3"/>
  <c r="P7" i="3" s="1"/>
  <c r="H16" i="3"/>
  <c r="H22" i="3" s="1"/>
  <c r="H25" i="3" s="1"/>
  <c r="H9" i="3"/>
  <c r="P9" i="3" s="1"/>
  <c r="Q9" i="3" s="1"/>
  <c r="AD119" i="7"/>
  <c r="AC119" i="7"/>
  <c r="AB119" i="7"/>
  <c r="AA119" i="7"/>
  <c r="Z119" i="7"/>
  <c r="Y119" i="7"/>
  <c r="X119" i="7"/>
  <c r="W119" i="7"/>
  <c r="T119" i="7"/>
  <c r="S119" i="7"/>
  <c r="AE94" i="7"/>
  <c r="AD94" i="7"/>
  <c r="AC94" i="7"/>
  <c r="AB94" i="7"/>
  <c r="AA94" i="7"/>
  <c r="Z94" i="7"/>
  <c r="Y94" i="7"/>
  <c r="X94" i="7"/>
  <c r="W94" i="7"/>
  <c r="V94" i="7"/>
  <c r="U94" i="7"/>
  <c r="T94" i="7"/>
  <c r="S94" i="7"/>
  <c r="AD89" i="7"/>
  <c r="AC89" i="7"/>
  <c r="AB89" i="7"/>
  <c r="AA89" i="7"/>
  <c r="Z89" i="7"/>
  <c r="Y89" i="7"/>
  <c r="X89" i="7"/>
  <c r="W89" i="7"/>
  <c r="T89" i="7"/>
  <c r="S89" i="7"/>
  <c r="R89" i="7"/>
  <c r="Q89" i="7"/>
  <c r="R81" i="7"/>
  <c r="Q81" i="7"/>
  <c r="AE78" i="7"/>
  <c r="AD78" i="7"/>
  <c r="AC78" i="7"/>
  <c r="AB78" i="7"/>
  <c r="AA78" i="7"/>
  <c r="Z78" i="7"/>
  <c r="Y78" i="7"/>
  <c r="X78" i="7"/>
  <c r="W78" i="7"/>
  <c r="V78" i="7"/>
  <c r="U78" i="7"/>
  <c r="T78" i="7"/>
  <c r="S78" i="7"/>
  <c r="AE63" i="7"/>
  <c r="AE62" i="7"/>
  <c r="AE61" i="7"/>
  <c r="AD60" i="7"/>
  <c r="AC60" i="7"/>
  <c r="AB60" i="7"/>
  <c r="AA60" i="7"/>
  <c r="Z60" i="7"/>
  <c r="Y60" i="7"/>
  <c r="X60" i="7"/>
  <c r="W60" i="7"/>
  <c r="V60" i="7"/>
  <c r="U60" i="7"/>
  <c r="T60" i="7"/>
  <c r="S60" i="7"/>
  <c r="AE59" i="7"/>
  <c r="AE58" i="7"/>
  <c r="AE57" i="7"/>
  <c r="AD56" i="7"/>
  <c r="AD71" i="7" s="1"/>
  <c r="AC56" i="7"/>
  <c r="AC71" i="7" s="1"/>
  <c r="AB56" i="7"/>
  <c r="AB71" i="7" s="1"/>
  <c r="AB73" i="7" s="1"/>
  <c r="AA56" i="7"/>
  <c r="AA71" i="7" s="1"/>
  <c r="Z56" i="7"/>
  <c r="Z71" i="7" s="1"/>
  <c r="Z73" i="7" s="1"/>
  <c r="Y56" i="7"/>
  <c r="Y71" i="7" s="1"/>
  <c r="Y73" i="7" s="1"/>
  <c r="X56" i="7"/>
  <c r="X71" i="7" s="1"/>
  <c r="X73" i="7" s="1"/>
  <c r="W56" i="7"/>
  <c r="V56" i="7"/>
  <c r="V71" i="7" s="1"/>
  <c r="V73" i="7" s="1"/>
  <c r="U56" i="7"/>
  <c r="U71" i="7" s="1"/>
  <c r="U73" i="7" s="1"/>
  <c r="T56" i="7"/>
  <c r="T71" i="7" s="1"/>
  <c r="T73" i="7" s="1"/>
  <c r="S56" i="7"/>
  <c r="S71" i="7" s="1"/>
  <c r="S73" i="7" s="1"/>
  <c r="L52" i="7"/>
  <c r="L51" i="7"/>
  <c r="L50" i="7"/>
  <c r="L49" i="7"/>
  <c r="L48" i="7"/>
  <c r="L47" i="7"/>
  <c r="L46" i="7"/>
  <c r="L45" i="7"/>
  <c r="L44" i="7"/>
  <c r="J42" i="7"/>
  <c r="F42" i="7"/>
  <c r="L41" i="7"/>
  <c r="J41" i="7"/>
  <c r="F41" i="7"/>
  <c r="AD40" i="7"/>
  <c r="AD87" i="7" s="1"/>
  <c r="AC87" i="7"/>
  <c r="AB40" i="7"/>
  <c r="AA40" i="7"/>
  <c r="AA87" i="7" s="1"/>
  <c r="Z40" i="7"/>
  <c r="Z87" i="7" s="1"/>
  <c r="Y40" i="7"/>
  <c r="Y87" i="7" s="1"/>
  <c r="X40" i="7"/>
  <c r="W40" i="7"/>
  <c r="W87" i="7" s="1"/>
  <c r="T40" i="7"/>
  <c r="T87" i="7" s="1"/>
  <c r="S40" i="7"/>
  <c r="S87" i="7" s="1"/>
  <c r="AE39" i="7"/>
  <c r="AE38" i="7"/>
  <c r="AE37" i="7"/>
  <c r="G24" i="8" s="1"/>
  <c r="AE36" i="7"/>
  <c r="AE35" i="7"/>
  <c r="AE34" i="7"/>
  <c r="V89" i="7"/>
  <c r="U89" i="7"/>
  <c r="J52" i="7"/>
  <c r="V119" i="7"/>
  <c r="U119" i="7"/>
  <c r="AE31" i="7"/>
  <c r="AE30" i="7"/>
  <c r="AE29" i="7"/>
  <c r="AE28" i="7"/>
  <c r="U40" i="7"/>
  <c r="AE26" i="7"/>
  <c r="AE25" i="7"/>
  <c r="V40" i="7"/>
  <c r="N22" i="7"/>
  <c r="J34" i="7"/>
  <c r="J36" i="7" s="1"/>
  <c r="O21" i="7"/>
  <c r="N21" i="7"/>
  <c r="L21" i="7"/>
  <c r="J21" i="7"/>
  <c r="H21" i="7"/>
  <c r="F21" i="7"/>
  <c r="D21" i="7"/>
  <c r="B21" i="7"/>
  <c r="F52" i="7"/>
  <c r="N6" i="7"/>
  <c r="N5" i="7"/>
  <c r="O5" i="7" s="1"/>
  <c r="AE4" i="7"/>
  <c r="I36" i="6"/>
  <c r="I37" i="6" s="1"/>
  <c r="L34" i="6"/>
  <c r="L33" i="6"/>
  <c r="E33" i="6"/>
  <c r="K37" i="6"/>
  <c r="K38" i="6" s="1"/>
  <c r="D32" i="6"/>
  <c r="C32" i="6"/>
  <c r="B32" i="6"/>
  <c r="D31" i="6"/>
  <c r="C31" i="6"/>
  <c r="B31" i="6"/>
  <c r="K27" i="6"/>
  <c r="J25" i="6"/>
  <c r="L25" i="6" s="1"/>
  <c r="L24" i="6"/>
  <c r="L23" i="6"/>
  <c r="K15" i="6"/>
  <c r="L15" i="6" s="1"/>
  <c r="G15" i="6"/>
  <c r="H15" i="6" s="1"/>
  <c r="E15" i="6"/>
  <c r="F15" i="6" s="1"/>
  <c r="K14" i="6"/>
  <c r="L14" i="6" s="1"/>
  <c r="G14" i="6"/>
  <c r="H14" i="6" s="1"/>
  <c r="E14" i="6"/>
  <c r="F14" i="6" s="1"/>
  <c r="K13" i="6"/>
  <c r="L13" i="6" s="1"/>
  <c r="G13" i="6"/>
  <c r="H13" i="6" s="1"/>
  <c r="E13" i="6"/>
  <c r="F13" i="6" s="1"/>
  <c r="K12" i="6"/>
  <c r="L12" i="6" s="1"/>
  <c r="G12" i="6"/>
  <c r="H12" i="6" s="1"/>
  <c r="E12" i="6"/>
  <c r="F12" i="6" s="1"/>
  <c r="K11" i="6"/>
  <c r="L11" i="6" s="1"/>
  <c r="G11" i="6"/>
  <c r="H11" i="6" s="1"/>
  <c r="E11" i="6"/>
  <c r="F11" i="6" s="1"/>
  <c r="K10" i="6"/>
  <c r="L10" i="6" s="1"/>
  <c r="G10" i="6"/>
  <c r="H10" i="6" s="1"/>
  <c r="E10" i="6"/>
  <c r="F10" i="6" s="1"/>
  <c r="K8" i="6"/>
  <c r="L8" i="6" s="1"/>
  <c r="D30" i="6"/>
  <c r="B37" i="5"/>
  <c r="C34" i="5" s="1"/>
  <c r="E36" i="5"/>
  <c r="E35" i="5"/>
  <c r="C35" i="5"/>
  <c r="E34" i="5"/>
  <c r="E33" i="5"/>
  <c r="C33" i="5"/>
  <c r="K33" i="5"/>
  <c r="J33" i="5"/>
  <c r="I33" i="5"/>
  <c r="L24" i="5"/>
  <c r="L23" i="5"/>
  <c r="F23" i="5"/>
  <c r="L22" i="5"/>
  <c r="F22" i="5"/>
  <c r="L21" i="5"/>
  <c r="F21" i="5"/>
  <c r="L20" i="5"/>
  <c r="F20" i="5"/>
  <c r="L19" i="5"/>
  <c r="F19" i="5"/>
  <c r="C41" i="5"/>
  <c r="L14" i="5"/>
  <c r="F14" i="5"/>
  <c r="F13" i="5"/>
  <c r="L12" i="5"/>
  <c r="F12" i="5"/>
  <c r="L11" i="5"/>
  <c r="F11" i="5"/>
  <c r="L10" i="5"/>
  <c r="F33" i="4"/>
  <c r="G33" i="4" s="1"/>
  <c r="F34" i="4"/>
  <c r="G22" i="3"/>
  <c r="G25" i="3" s="1"/>
  <c r="F20" i="3"/>
  <c r="E20" i="3"/>
  <c r="F16" i="3"/>
  <c r="F22" i="3" s="1"/>
  <c r="F25" i="3" s="1"/>
  <c r="D16" i="3"/>
  <c r="G13" i="3"/>
  <c r="F11" i="3"/>
  <c r="E11" i="3"/>
  <c r="E13" i="3" s="1"/>
  <c r="D11" i="3"/>
  <c r="F8" i="3"/>
  <c r="P8" i="3" s="1"/>
  <c r="Q8" i="3" s="1"/>
  <c r="E4" i="2"/>
  <c r="E3" i="9" s="1"/>
  <c r="F4" i="2"/>
  <c r="F3" i="9" s="1"/>
  <c r="G4" i="2"/>
  <c r="G3" i="9" s="1"/>
  <c r="H4" i="2"/>
  <c r="H3" i="9" s="1"/>
  <c r="I4" i="2"/>
  <c r="I3" i="9" s="1"/>
  <c r="J4" i="2"/>
  <c r="J3" i="9" s="1"/>
  <c r="K4" i="2"/>
  <c r="K3" i="9" s="1"/>
  <c r="L4" i="2"/>
  <c r="L3" i="9" s="1"/>
  <c r="M4" i="2"/>
  <c r="M3" i="9" s="1"/>
  <c r="N4" i="2"/>
  <c r="N3" i="9" s="1"/>
  <c r="O4" i="2"/>
  <c r="O3" i="9" s="1"/>
  <c r="D4" i="2"/>
  <c r="D3" i="9" s="1"/>
  <c r="C36" i="5" l="1"/>
  <c r="AE56" i="7"/>
  <c r="I79" i="8" s="1"/>
  <c r="P16" i="3"/>
  <c r="P18" i="3" s="1"/>
  <c r="O18" i="3" s="1"/>
  <c r="P20" i="3"/>
  <c r="Q20" i="3" s="1"/>
  <c r="AB87" i="7"/>
  <c r="AB41" i="7"/>
  <c r="W71" i="7"/>
  <c r="W73" i="7" s="1"/>
  <c r="AD126" i="7"/>
  <c r="L26" i="5"/>
  <c r="F26" i="5"/>
  <c r="Z126" i="7"/>
  <c r="X87" i="7"/>
  <c r="X120" i="7" s="1"/>
  <c r="X41" i="7"/>
  <c r="K34" i="7"/>
  <c r="G34" i="4"/>
  <c r="M34" i="4"/>
  <c r="M33" i="4"/>
  <c r="M32" i="4"/>
  <c r="G32" i="4"/>
  <c r="G35" i="4" s="1"/>
  <c r="K22" i="7"/>
  <c r="L108" i="7"/>
  <c r="K26" i="7"/>
  <c r="N9" i="7"/>
  <c r="O9" i="7" s="1"/>
  <c r="Q16" i="3"/>
  <c r="K32" i="5"/>
  <c r="K34" i="5" s="1"/>
  <c r="I32" i="5"/>
  <c r="I34" i="5" s="1"/>
  <c r="E37" i="5"/>
  <c r="K17" i="5" s="1"/>
  <c r="D17" i="5"/>
  <c r="J32" i="5"/>
  <c r="J34" i="5" s="1"/>
  <c r="D13" i="3"/>
  <c r="D22" i="3"/>
  <c r="Q7" i="3"/>
  <c r="H108" i="7"/>
  <c r="AD99" i="7"/>
  <c r="G41" i="5"/>
  <c r="G22" i="8"/>
  <c r="E15" i="4" s="1"/>
  <c r="G23" i="8"/>
  <c r="E16" i="4" s="1"/>
  <c r="G26" i="8"/>
  <c r="E18" i="4" s="1"/>
  <c r="W18" i="4" s="1"/>
  <c r="Y18" i="4" s="1"/>
  <c r="G25" i="8"/>
  <c r="E17" i="4" s="1"/>
  <c r="W17" i="4" s="1"/>
  <c r="Y17" i="4" s="1"/>
  <c r="G21" i="8"/>
  <c r="E14" i="4" s="1"/>
  <c r="G18" i="8"/>
  <c r="E11" i="4" s="1"/>
  <c r="G17" i="8"/>
  <c r="E10" i="4" s="1"/>
  <c r="G16" i="8"/>
  <c r="E9" i="4" s="1"/>
  <c r="G15" i="8"/>
  <c r="E8" i="4" s="1"/>
  <c r="G13" i="8"/>
  <c r="E6" i="4" s="1"/>
  <c r="G12" i="8"/>
  <c r="E5" i="4" s="1"/>
  <c r="AA73" i="7"/>
  <c r="J26" i="6"/>
  <c r="J27" i="6" s="1"/>
  <c r="Z99" i="7"/>
  <c r="L15" i="5"/>
  <c r="F15" i="5"/>
  <c r="L22" i="6"/>
  <c r="L26" i="6" s="1"/>
  <c r="L27" i="6" s="1"/>
  <c r="F13" i="3"/>
  <c r="H11" i="3"/>
  <c r="H13" i="3" s="1"/>
  <c r="C19" i="4"/>
  <c r="I38" i="6"/>
  <c r="E32" i="6"/>
  <c r="E31" i="6"/>
  <c r="I27" i="8"/>
  <c r="I28" i="8" s="1"/>
  <c r="B36" i="7"/>
  <c r="F45" i="7"/>
  <c r="J49" i="7"/>
  <c r="N7" i="7"/>
  <c r="O7" i="7" s="1"/>
  <c r="N30" i="7"/>
  <c r="O30" i="7" s="1"/>
  <c r="V87" i="7"/>
  <c r="V120" i="7" s="1"/>
  <c r="V41" i="7"/>
  <c r="V126" i="7"/>
  <c r="V99" i="7"/>
  <c r="AE60" i="7"/>
  <c r="O6" i="7"/>
  <c r="N8" i="7"/>
  <c r="N12" i="7"/>
  <c r="O12" i="7" s="1"/>
  <c r="N16" i="7"/>
  <c r="O16" i="7" s="1"/>
  <c r="I14" i="7"/>
  <c r="K23" i="7"/>
  <c r="N23" i="7"/>
  <c r="O23" i="7" s="1"/>
  <c r="N24" i="7"/>
  <c r="O24" i="7" s="1"/>
  <c r="N25" i="7"/>
  <c r="N26" i="7"/>
  <c r="K27" i="7"/>
  <c r="K28" i="7"/>
  <c r="K29" i="7"/>
  <c r="K30" i="7"/>
  <c r="K31" i="7"/>
  <c r="N32" i="7"/>
  <c r="O32" i="7" s="1"/>
  <c r="AE32" i="7"/>
  <c r="N33" i="7"/>
  <c r="O33" i="7" s="1"/>
  <c r="AE33" i="7"/>
  <c r="F43" i="7"/>
  <c r="T120" i="7"/>
  <c r="Z120" i="7"/>
  <c r="AB120" i="7"/>
  <c r="AD120" i="7"/>
  <c r="U87" i="7"/>
  <c r="U90" i="7" s="1"/>
  <c r="U41" i="7"/>
  <c r="I8" i="7"/>
  <c r="N10" i="7"/>
  <c r="O22" i="7"/>
  <c r="K24" i="7"/>
  <c r="K25" i="7"/>
  <c r="AE27" i="7"/>
  <c r="N31" i="7"/>
  <c r="K32" i="7"/>
  <c r="K33" i="7"/>
  <c r="T90" i="7"/>
  <c r="Z90" i="7"/>
  <c r="AB90" i="7"/>
  <c r="AD90" i="7"/>
  <c r="T41" i="7"/>
  <c r="Z41" i="7"/>
  <c r="AD41" i="7"/>
  <c r="L43" i="7"/>
  <c r="L53" i="7" s="1"/>
  <c r="S64" i="7"/>
  <c r="S65" i="7" s="1"/>
  <c r="U64" i="7"/>
  <c r="U65" i="7" s="1"/>
  <c r="W64" i="7"/>
  <c r="W65" i="7" s="1"/>
  <c r="Y64" i="7"/>
  <c r="Y65" i="7" s="1"/>
  <c r="AA64" i="7"/>
  <c r="AA65" i="7" s="1"/>
  <c r="AC64" i="7"/>
  <c r="AC65" i="7" s="1"/>
  <c r="S90" i="7"/>
  <c r="W90" i="7"/>
  <c r="Y90" i="7"/>
  <c r="AA90" i="7"/>
  <c r="AC90" i="7"/>
  <c r="T99" i="7"/>
  <c r="X99" i="7"/>
  <c r="AB99" i="7"/>
  <c r="S120" i="7"/>
  <c r="W120" i="7"/>
  <c r="Y120" i="7"/>
  <c r="AA120" i="7"/>
  <c r="AC120" i="7"/>
  <c r="T126" i="7"/>
  <c r="X126" i="7"/>
  <c r="AB126" i="7"/>
  <c r="S41" i="7"/>
  <c r="W41" i="7"/>
  <c r="Y41" i="7"/>
  <c r="AA41" i="7"/>
  <c r="F44" i="7"/>
  <c r="T64" i="7"/>
  <c r="T65" i="7" s="1"/>
  <c r="V64" i="7"/>
  <c r="V65" i="7" s="1"/>
  <c r="X64" i="7"/>
  <c r="X65" i="7" s="1"/>
  <c r="Z64" i="7"/>
  <c r="Z65" i="7" s="1"/>
  <c r="AB64" i="7"/>
  <c r="AB65" i="7" s="1"/>
  <c r="AD64" i="7"/>
  <c r="AD65" i="7" s="1"/>
  <c r="AE119" i="7"/>
  <c r="W122" i="7" s="1"/>
  <c r="E9" i="6"/>
  <c r="F9" i="6" s="1"/>
  <c r="G9" i="6"/>
  <c r="H9" i="6" s="1"/>
  <c r="K9" i="6"/>
  <c r="L9" i="6" s="1"/>
  <c r="E16" i="6"/>
  <c r="F16" i="6" s="1"/>
  <c r="G16" i="6"/>
  <c r="H16" i="6" s="1"/>
  <c r="K16" i="6"/>
  <c r="L16" i="6" s="1"/>
  <c r="E17" i="6"/>
  <c r="F17" i="6" s="1"/>
  <c r="G17" i="6"/>
  <c r="H17" i="6" s="1"/>
  <c r="K17" i="6"/>
  <c r="L17" i="6" s="1"/>
  <c r="E18" i="6"/>
  <c r="F18" i="6" s="1"/>
  <c r="G18" i="6"/>
  <c r="H18" i="6" s="1"/>
  <c r="K18" i="6"/>
  <c r="L18" i="6" s="1"/>
  <c r="C28" i="6"/>
  <c r="B29" i="6"/>
  <c r="D29" i="6"/>
  <c r="C30" i="6"/>
  <c r="D28" i="6"/>
  <c r="C29" i="6"/>
  <c r="B30" i="6"/>
  <c r="L32" i="6"/>
  <c r="C32" i="5"/>
  <c r="F35" i="4"/>
  <c r="C35" i="4"/>
  <c r="F19" i="4"/>
  <c r="F20" i="4" s="1"/>
  <c r="E14" i="3"/>
  <c r="L36" i="4" l="1"/>
  <c r="V90" i="7"/>
  <c r="AE71" i="7"/>
  <c r="D21" i="6"/>
  <c r="C40" i="5"/>
  <c r="C42" i="5" s="1"/>
  <c r="E17" i="5"/>
  <c r="H40" i="5" s="1"/>
  <c r="J55" i="7"/>
  <c r="D25" i="3"/>
  <c r="P25" i="3" s="1"/>
  <c r="P22" i="3"/>
  <c r="H41" i="5"/>
  <c r="X90" i="7"/>
  <c r="S85" i="7"/>
  <c r="I22" i="7"/>
  <c r="I23" i="7"/>
  <c r="I24" i="7"/>
  <c r="I25" i="7"/>
  <c r="I26" i="7"/>
  <c r="I29" i="7"/>
  <c r="I30" i="7"/>
  <c r="I31" i="7"/>
  <c r="I32" i="7"/>
  <c r="I33" i="7"/>
  <c r="I27" i="7"/>
  <c r="I28" i="7"/>
  <c r="J44" i="7"/>
  <c r="M35" i="4"/>
  <c r="I13" i="7"/>
  <c r="O31" i="7"/>
  <c r="N13" i="7"/>
  <c r="O13" i="7" s="1"/>
  <c r="G6" i="4"/>
  <c r="W6" i="4"/>
  <c r="Y6" i="4" s="1"/>
  <c r="G9" i="4"/>
  <c r="W9" i="4"/>
  <c r="Y9" i="4" s="1"/>
  <c r="G11" i="4"/>
  <c r="W11" i="4"/>
  <c r="Y11" i="4" s="1"/>
  <c r="G16" i="4"/>
  <c r="W16" i="4"/>
  <c r="Y16" i="4" s="1"/>
  <c r="G5" i="4"/>
  <c r="W5" i="4"/>
  <c r="Y5" i="4" s="1"/>
  <c r="G8" i="4"/>
  <c r="W8" i="4"/>
  <c r="Y8" i="4" s="1"/>
  <c r="G10" i="4"/>
  <c r="W10" i="4"/>
  <c r="Y10" i="4" s="1"/>
  <c r="G14" i="4"/>
  <c r="W14" i="4"/>
  <c r="Y14" i="4" s="1"/>
  <c r="G15" i="4"/>
  <c r="W15" i="4"/>
  <c r="Y15" i="4" s="1"/>
  <c r="D33" i="5"/>
  <c r="F33" i="5" s="1"/>
  <c r="D32" i="5"/>
  <c r="F32" i="5" s="1"/>
  <c r="P13" i="3"/>
  <c r="P11" i="3"/>
  <c r="G11" i="8"/>
  <c r="E34" i="4"/>
  <c r="H34" i="4" s="1"/>
  <c r="G18" i="4"/>
  <c r="F14" i="3"/>
  <c r="G14" i="3" s="1"/>
  <c r="H14" i="3" s="1"/>
  <c r="I14" i="3" s="1"/>
  <c r="J14" i="3" s="1"/>
  <c r="K14" i="3" s="1"/>
  <c r="L14" i="3" s="1"/>
  <c r="M14" i="3" s="1"/>
  <c r="N14" i="3" s="1"/>
  <c r="O14" i="3" s="1"/>
  <c r="C20" i="4"/>
  <c r="L36" i="6"/>
  <c r="C43" i="7"/>
  <c r="C44" i="7"/>
  <c r="E33" i="4"/>
  <c r="H33" i="4" s="1"/>
  <c r="G17" i="4"/>
  <c r="G20" i="8"/>
  <c r="G19" i="8"/>
  <c r="G14" i="8"/>
  <c r="AE40" i="7"/>
  <c r="AE41" i="7" s="1"/>
  <c r="D36" i="5"/>
  <c r="F36" i="5" s="1"/>
  <c r="D34" i="5"/>
  <c r="F34" i="5" s="1"/>
  <c r="D35" i="5"/>
  <c r="F35" i="5" s="1"/>
  <c r="AC122" i="7"/>
  <c r="X122" i="7"/>
  <c r="Y122" i="7"/>
  <c r="AB122" i="7"/>
  <c r="M7" i="9"/>
  <c r="K7" i="9"/>
  <c r="J7" i="9"/>
  <c r="L7" i="9"/>
  <c r="N7" i="9"/>
  <c r="I7" i="9"/>
  <c r="O7" i="9"/>
  <c r="I52" i="7"/>
  <c r="I51" i="7"/>
  <c r="I50" i="7"/>
  <c r="I49" i="7"/>
  <c r="I48" i="7"/>
  <c r="I47" i="7"/>
  <c r="I46" i="7"/>
  <c r="I45" i="7"/>
  <c r="G53" i="7"/>
  <c r="I43" i="7"/>
  <c r="I42" i="7"/>
  <c r="I41" i="7"/>
  <c r="J48" i="7"/>
  <c r="J47" i="7"/>
  <c r="J46" i="7"/>
  <c r="F50" i="7"/>
  <c r="F47" i="7"/>
  <c r="J18" i="7"/>
  <c r="K17" i="7"/>
  <c r="K16" i="7"/>
  <c r="K15" i="7"/>
  <c r="K14" i="7"/>
  <c r="K11" i="7"/>
  <c r="K10" i="7"/>
  <c r="K9" i="7"/>
  <c r="K7" i="7"/>
  <c r="K5" i="7"/>
  <c r="F36" i="7"/>
  <c r="F18" i="7"/>
  <c r="AE122" i="7"/>
  <c r="C51" i="7"/>
  <c r="C50" i="7"/>
  <c r="C49" i="7"/>
  <c r="C48" i="7"/>
  <c r="C47" i="7"/>
  <c r="C46" i="7"/>
  <c r="C45" i="7"/>
  <c r="C42" i="7"/>
  <c r="C41" i="7"/>
  <c r="J50" i="7"/>
  <c r="F51" i="7"/>
  <c r="F46" i="7"/>
  <c r="O10" i="7"/>
  <c r="AE64" i="7"/>
  <c r="AE66" i="7" s="1"/>
  <c r="I34" i="7"/>
  <c r="AE89" i="7"/>
  <c r="J51" i="7"/>
  <c r="J45" i="7"/>
  <c r="H36" i="7"/>
  <c r="I17" i="7"/>
  <c r="I12" i="7"/>
  <c r="I7" i="7"/>
  <c r="I5" i="7"/>
  <c r="H18" i="7"/>
  <c r="I16" i="7"/>
  <c r="I15" i="7"/>
  <c r="I11" i="7"/>
  <c r="I10" i="7"/>
  <c r="I9" i="7"/>
  <c r="D36" i="7"/>
  <c r="D18" i="7"/>
  <c r="F49" i="7"/>
  <c r="F48" i="7"/>
  <c r="AE126" i="7"/>
  <c r="U120" i="7"/>
  <c r="N29" i="7"/>
  <c r="O29" i="7" s="1"/>
  <c r="N28" i="7"/>
  <c r="O28" i="7" s="1"/>
  <c r="N14" i="7"/>
  <c r="O14" i="7" s="1"/>
  <c r="K8" i="7"/>
  <c r="K6" i="7"/>
  <c r="I44" i="7"/>
  <c r="AD122" i="7"/>
  <c r="Z122" i="7"/>
  <c r="T122" i="7"/>
  <c r="AE99" i="7"/>
  <c r="AA122" i="7"/>
  <c r="S122" i="7"/>
  <c r="K12" i="7"/>
  <c r="V122" i="7"/>
  <c r="U122" i="7"/>
  <c r="L34" i="7"/>
  <c r="N27" i="7"/>
  <c r="O26" i="7"/>
  <c r="N15" i="7"/>
  <c r="O15" i="7" s="1"/>
  <c r="N11" i="7"/>
  <c r="I6" i="7"/>
  <c r="L17" i="7"/>
  <c r="O25" i="7"/>
  <c r="K13" i="7"/>
  <c r="O8" i="7"/>
  <c r="J20" i="6"/>
  <c r="H20" i="6"/>
  <c r="E20" i="6"/>
  <c r="L20" i="6"/>
  <c r="F20" i="6"/>
  <c r="K20" i="6"/>
  <c r="G20" i="6"/>
  <c r="C37" i="5"/>
  <c r="G40" i="5"/>
  <c r="G42" i="5" s="1"/>
  <c r="H35" i="8" l="1"/>
  <c r="C35" i="8" s="1"/>
  <c r="L36" i="7"/>
  <c r="L19" i="7"/>
  <c r="H42" i="5"/>
  <c r="M28" i="7"/>
  <c r="N34" i="7"/>
  <c r="M11" i="7"/>
  <c r="AE67" i="7"/>
  <c r="U85" i="7" s="1"/>
  <c r="T85" i="7" s="1"/>
  <c r="N17" i="7"/>
  <c r="F37" i="5"/>
  <c r="AC73" i="7"/>
  <c r="AE65" i="7"/>
  <c r="E4" i="4"/>
  <c r="G4" i="4" s="1"/>
  <c r="J11" i="8"/>
  <c r="G27" i="8"/>
  <c r="H34" i="8" s="1"/>
  <c r="E7" i="4"/>
  <c r="E12" i="4"/>
  <c r="E13" i="4"/>
  <c r="F53" i="7"/>
  <c r="AF60" i="7"/>
  <c r="J53" i="7"/>
  <c r="AF24" i="7"/>
  <c r="C53" i="7"/>
  <c r="AF33" i="7"/>
  <c r="AF32" i="7"/>
  <c r="AF27" i="7"/>
  <c r="S95" i="7"/>
  <c r="AA95" i="7"/>
  <c r="V95" i="7"/>
  <c r="X95" i="7"/>
  <c r="AB95" i="7"/>
  <c r="Y95" i="7"/>
  <c r="U95" i="7"/>
  <c r="W95" i="7"/>
  <c r="T95" i="7"/>
  <c r="Z95" i="7"/>
  <c r="AD95" i="7"/>
  <c r="AC95" i="7"/>
  <c r="V85" i="7"/>
  <c r="Y85" i="7" s="1"/>
  <c r="AF62" i="7"/>
  <c r="AF58" i="7"/>
  <c r="AF61" i="7"/>
  <c r="AF59" i="7"/>
  <c r="AF57" i="7"/>
  <c r="AF63" i="7"/>
  <c r="M10" i="7"/>
  <c r="M31" i="7"/>
  <c r="O27" i="7"/>
  <c r="O34" i="7" s="1"/>
  <c r="I53" i="7"/>
  <c r="M17" i="7"/>
  <c r="M5" i="7"/>
  <c r="L18" i="7"/>
  <c r="M6" i="7"/>
  <c r="M7" i="7"/>
  <c r="M9" i="7"/>
  <c r="M16" i="7"/>
  <c r="M34" i="7"/>
  <c r="M23" i="7"/>
  <c r="M22" i="7"/>
  <c r="M30" i="7"/>
  <c r="M24" i="7"/>
  <c r="M33" i="7"/>
  <c r="AE87" i="7"/>
  <c r="AE120" i="7" s="1"/>
  <c r="AF40" i="7"/>
  <c r="AF31" i="7"/>
  <c r="AF28" i="7"/>
  <c r="AF29" i="7"/>
  <c r="AF30" i="7"/>
  <c r="AF39" i="7"/>
  <c r="AF34" i="7"/>
  <c r="AF36" i="7"/>
  <c r="AF25" i="7"/>
  <c r="AF26" i="7"/>
  <c r="AF38" i="7"/>
  <c r="AF35" i="7"/>
  <c r="AF37" i="7"/>
  <c r="M25" i="7"/>
  <c r="M8" i="7"/>
  <c r="M12" i="7"/>
  <c r="M13" i="7"/>
  <c r="M26" i="7"/>
  <c r="M32" i="7"/>
  <c r="AF56" i="7"/>
  <c r="M15" i="7"/>
  <c r="O11" i="7"/>
  <c r="O17" i="7" s="1"/>
  <c r="M14" i="7"/>
  <c r="M27" i="7"/>
  <c r="M29" i="7"/>
  <c r="D37" i="5"/>
  <c r="E38" i="5" s="1"/>
  <c r="Z18" i="7" l="1"/>
  <c r="Z16" i="7"/>
  <c r="Z14" i="7"/>
  <c r="Z12" i="7"/>
  <c r="Z10" i="7"/>
  <c r="Z8" i="7"/>
  <c r="Z6" i="7"/>
  <c r="Z19" i="7"/>
  <c r="Z17" i="7"/>
  <c r="Z15" i="7"/>
  <c r="Z13" i="7"/>
  <c r="Z11" i="7"/>
  <c r="Z9" i="7"/>
  <c r="Z7" i="7"/>
  <c r="Z5" i="7"/>
  <c r="W18" i="7"/>
  <c r="W16" i="7"/>
  <c r="W14" i="7"/>
  <c r="W12" i="7"/>
  <c r="W10" i="7"/>
  <c r="W8" i="7"/>
  <c r="W6" i="7"/>
  <c r="W19" i="7"/>
  <c r="W17" i="7"/>
  <c r="W15" i="7"/>
  <c r="W13" i="7"/>
  <c r="W81" i="7" s="1"/>
  <c r="W11" i="7"/>
  <c r="W9" i="7"/>
  <c r="W7" i="7"/>
  <c r="W5" i="7"/>
  <c r="T19" i="7"/>
  <c r="T17" i="7"/>
  <c r="T15" i="7"/>
  <c r="T13" i="7"/>
  <c r="T81" i="7" s="1"/>
  <c r="T11" i="7"/>
  <c r="T6" i="7"/>
  <c r="T10" i="7"/>
  <c r="T8" i="7"/>
  <c r="T18" i="7"/>
  <c r="T16" i="7"/>
  <c r="T14" i="7"/>
  <c r="T12" i="7"/>
  <c r="T7" i="7"/>
  <c r="T5" i="7"/>
  <c r="T9" i="7"/>
  <c r="S18" i="7"/>
  <c r="S16" i="7"/>
  <c r="S14" i="7"/>
  <c r="S12" i="7"/>
  <c r="S10" i="7"/>
  <c r="S8" i="7"/>
  <c r="S5" i="7"/>
  <c r="S6" i="7"/>
  <c r="S19" i="7"/>
  <c r="S17" i="7"/>
  <c r="S15" i="7"/>
  <c r="S13" i="7"/>
  <c r="S11" i="7"/>
  <c r="S9" i="7"/>
  <c r="S7" i="7"/>
  <c r="AB13" i="7"/>
  <c r="AB81" i="7" s="1"/>
  <c r="AB18" i="7"/>
  <c r="AB16" i="7"/>
  <c r="AB14" i="7"/>
  <c r="AB10" i="7"/>
  <c r="AB8" i="7"/>
  <c r="AB6" i="7"/>
  <c r="AB12" i="7"/>
  <c r="AB19" i="7"/>
  <c r="AB17" i="7"/>
  <c r="AB15" i="7"/>
  <c r="AB11" i="7"/>
  <c r="AB9" i="7"/>
  <c r="AB7" i="7"/>
  <c r="AB5" i="7"/>
  <c r="AC8" i="7"/>
  <c r="AC18" i="7"/>
  <c r="AC16" i="7"/>
  <c r="AC14" i="7"/>
  <c r="AC12" i="7"/>
  <c r="AC10" i="7"/>
  <c r="AC6" i="7"/>
  <c r="AC7" i="7"/>
  <c r="AC19" i="7"/>
  <c r="AC17" i="7"/>
  <c r="AC15" i="7"/>
  <c r="AC13" i="7"/>
  <c r="AC81" i="7" s="1"/>
  <c r="AC11" i="7"/>
  <c r="AC9" i="7"/>
  <c r="AC5" i="7"/>
  <c r="AA18" i="7"/>
  <c r="AA16" i="7"/>
  <c r="AA14" i="7"/>
  <c r="AA12" i="7"/>
  <c r="AA10" i="7"/>
  <c r="AA8" i="7"/>
  <c r="AA6" i="7"/>
  <c r="AA19" i="7"/>
  <c r="AA17" i="7"/>
  <c r="AA15" i="7"/>
  <c r="AA13" i="7"/>
  <c r="AA11" i="7"/>
  <c r="AA9" i="7"/>
  <c r="AA7" i="7"/>
  <c r="AA5" i="7"/>
  <c r="V19" i="7"/>
  <c r="V17" i="7"/>
  <c r="V15" i="7"/>
  <c r="V13" i="7"/>
  <c r="V81" i="7" s="1"/>
  <c r="V11" i="7"/>
  <c r="V9" i="7"/>
  <c r="V7" i="7"/>
  <c r="V5" i="7"/>
  <c r="V18" i="7"/>
  <c r="V16" i="7"/>
  <c r="V14" i="7"/>
  <c r="V12" i="7"/>
  <c r="V10" i="7"/>
  <c r="V8" i="7"/>
  <c r="V6" i="7"/>
  <c r="AD19" i="7"/>
  <c r="AD17" i="7"/>
  <c r="AD15" i="7"/>
  <c r="AD13" i="7"/>
  <c r="AD81" i="7" s="1"/>
  <c r="AD11" i="7"/>
  <c r="AD9" i="7"/>
  <c r="AD7" i="7"/>
  <c r="AD5" i="7"/>
  <c r="AD18" i="7"/>
  <c r="AD16" i="7"/>
  <c r="AD14" i="7"/>
  <c r="AD12" i="7"/>
  <c r="AD10" i="7"/>
  <c r="AD8" i="7"/>
  <c r="AD6" i="7"/>
  <c r="U18" i="7"/>
  <c r="U16" i="7"/>
  <c r="U14" i="7"/>
  <c r="U12" i="7"/>
  <c r="U10" i="7"/>
  <c r="U8" i="7"/>
  <c r="U6" i="7"/>
  <c r="U19" i="7"/>
  <c r="U17" i="7"/>
  <c r="U15" i="7"/>
  <c r="U13" i="7"/>
  <c r="U81" i="7" s="1"/>
  <c r="U11" i="7"/>
  <c r="U9" i="7"/>
  <c r="U7" i="7"/>
  <c r="U5" i="7"/>
  <c r="X19" i="7"/>
  <c r="X17" i="7"/>
  <c r="X15" i="7"/>
  <c r="X13" i="7"/>
  <c r="X81" i="7" s="1"/>
  <c r="X11" i="7"/>
  <c r="X9" i="7"/>
  <c r="X7" i="7"/>
  <c r="X5" i="7"/>
  <c r="X18" i="7"/>
  <c r="X16" i="7"/>
  <c r="X14" i="7"/>
  <c r="X12" i="7"/>
  <c r="X10" i="7"/>
  <c r="X8" i="7"/>
  <c r="X6" i="7"/>
  <c r="Y18" i="7"/>
  <c r="Y16" i="7"/>
  <c r="Y14" i="7"/>
  <c r="Y12" i="7"/>
  <c r="Y10" i="7"/>
  <c r="Y8" i="7"/>
  <c r="Y6" i="7"/>
  <c r="Y19" i="7"/>
  <c r="Y17" i="7"/>
  <c r="Y15" i="7"/>
  <c r="Y13" i="7"/>
  <c r="Y81" i="7" s="1"/>
  <c r="Y102" i="7" s="1"/>
  <c r="Y11" i="7"/>
  <c r="Y9" i="7"/>
  <c r="Y7" i="7"/>
  <c r="Y5" i="7"/>
  <c r="AF64" i="7"/>
  <c r="N36" i="7"/>
  <c r="Y110" i="7"/>
  <c r="N18" i="7"/>
  <c r="Z81" i="7"/>
  <c r="AA81" i="7"/>
  <c r="G13" i="4"/>
  <c r="W13" i="4"/>
  <c r="Y13" i="4" s="1"/>
  <c r="G12" i="4"/>
  <c r="W12" i="4"/>
  <c r="Y12" i="4" s="1"/>
  <c r="G7" i="4"/>
  <c r="W7" i="4"/>
  <c r="Y7" i="4" s="1"/>
  <c r="W4" i="4"/>
  <c r="F38" i="5"/>
  <c r="C34" i="8"/>
  <c r="K11" i="8"/>
  <c r="L19" i="8"/>
  <c r="E32" i="4"/>
  <c r="H32" i="4" s="1"/>
  <c r="H35" i="4" s="1"/>
  <c r="L25" i="8"/>
  <c r="L16" i="8"/>
  <c r="L22" i="8"/>
  <c r="L11" i="8"/>
  <c r="L20" i="8"/>
  <c r="L21" i="8"/>
  <c r="L12" i="8"/>
  <c r="L23" i="8"/>
  <c r="L24" i="8"/>
  <c r="L13" i="8"/>
  <c r="L26" i="8"/>
  <c r="L18" i="8"/>
  <c r="L15" i="8"/>
  <c r="L17" i="8"/>
  <c r="L14" i="8"/>
  <c r="G29" i="8"/>
  <c r="E19" i="4"/>
  <c r="E20" i="4" s="1"/>
  <c r="H29" i="6"/>
  <c r="W85" i="7"/>
  <c r="D38" i="5"/>
  <c r="J37" i="6"/>
  <c r="J38" i="6" s="1"/>
  <c r="L35" i="6"/>
  <c r="L37" i="6" s="1"/>
  <c r="L38" i="6" s="1"/>
  <c r="O36" i="7"/>
  <c r="O18" i="7"/>
  <c r="AE90" i="7"/>
  <c r="F14" i="8" l="1"/>
  <c r="F22" i="8"/>
  <c r="J22" i="8" s="1"/>
  <c r="K22" i="8" s="1"/>
  <c r="F12" i="8"/>
  <c r="F21" i="8"/>
  <c r="F16" i="8"/>
  <c r="F24" i="8"/>
  <c r="F15" i="8"/>
  <c r="F23" i="8"/>
  <c r="J23" i="8" s="1"/>
  <c r="K23" i="8" s="1"/>
  <c r="F18" i="8"/>
  <c r="F26" i="8"/>
  <c r="F17" i="8"/>
  <c r="F25" i="8"/>
  <c r="J25" i="8" s="1"/>
  <c r="K25" i="8" s="1"/>
  <c r="F20" i="8"/>
  <c r="F13" i="8"/>
  <c r="F19" i="8"/>
  <c r="J16" i="8"/>
  <c r="K16" i="8" s="1"/>
  <c r="J20" i="8"/>
  <c r="K20" i="8" s="1"/>
  <c r="J19" i="8"/>
  <c r="K19" i="8" s="1"/>
  <c r="J14" i="8"/>
  <c r="K14" i="8" s="1"/>
  <c r="J26" i="8"/>
  <c r="K26" i="8" s="1"/>
  <c r="J17" i="8"/>
  <c r="K17" i="8" s="1"/>
  <c r="Y20" i="7"/>
  <c r="S20" i="7"/>
  <c r="AA20" i="7"/>
  <c r="AB20" i="7"/>
  <c r="Z20" i="7"/>
  <c r="Y115" i="7"/>
  <c r="J13" i="8"/>
  <c r="K13" i="8" s="1"/>
  <c r="J15" i="8"/>
  <c r="K15" i="8" s="1"/>
  <c r="J21" i="8"/>
  <c r="K21" i="8" s="1"/>
  <c r="J18" i="8"/>
  <c r="K18" i="8" s="1"/>
  <c r="J24" i="8"/>
  <c r="K24" i="8" s="1"/>
  <c r="W19" i="4"/>
  <c r="I78" i="8" s="1"/>
  <c r="AD72" i="7"/>
  <c r="Y79" i="7"/>
  <c r="Y82" i="7" s="1"/>
  <c r="G19" i="4"/>
  <c r="G20" i="4" s="1"/>
  <c r="W20" i="7"/>
  <c r="W79" i="7" s="1"/>
  <c r="W82" i="7" s="1"/>
  <c r="AC20" i="7"/>
  <c r="AC79" i="7" s="1"/>
  <c r="AC82" i="7" s="1"/>
  <c r="V20" i="7"/>
  <c r="V79" i="7" s="1"/>
  <c r="V82" i="7" s="1"/>
  <c r="Y4" i="4"/>
  <c r="Y19" i="4" s="1"/>
  <c r="Y20" i="4" s="1"/>
  <c r="E35" i="4"/>
  <c r="H36" i="4" s="1"/>
  <c r="L27" i="8"/>
  <c r="Z85" i="7"/>
  <c r="AA85" i="7" s="1"/>
  <c r="I39" i="6"/>
  <c r="K39" i="6"/>
  <c r="J39" i="6"/>
  <c r="AD115" i="7"/>
  <c r="AD110" i="7"/>
  <c r="Z102" i="7"/>
  <c r="V115" i="7"/>
  <c r="V110" i="7"/>
  <c r="AB102" i="7"/>
  <c r="AE5" i="7"/>
  <c r="S115" i="7"/>
  <c r="S110" i="7"/>
  <c r="AE12" i="7"/>
  <c r="T102" i="7"/>
  <c r="W115" i="7"/>
  <c r="W110" i="7"/>
  <c r="AA102" i="7"/>
  <c r="AC115" i="7"/>
  <c r="AC110" i="7"/>
  <c r="AE16" i="7"/>
  <c r="AE19" i="7"/>
  <c r="AE7" i="7"/>
  <c r="AE10" i="7"/>
  <c r="AE14" i="7"/>
  <c r="AE18" i="7"/>
  <c r="X115" i="7"/>
  <c r="X110" i="7"/>
  <c r="U102" i="7"/>
  <c r="X102" i="7"/>
  <c r="U115" i="7"/>
  <c r="U110" i="7"/>
  <c r="AD102" i="7"/>
  <c r="Z115" i="7"/>
  <c r="Z110" i="7"/>
  <c r="V102" i="7"/>
  <c r="AB115" i="7"/>
  <c r="AB110" i="7"/>
  <c r="S81" i="7"/>
  <c r="AE13" i="7"/>
  <c r="T115" i="7"/>
  <c r="T110" i="7"/>
  <c r="W102" i="7"/>
  <c r="AA115" i="7"/>
  <c r="AA110" i="7"/>
  <c r="AC102" i="7"/>
  <c r="X20" i="7"/>
  <c r="AD20" i="7"/>
  <c r="U20" i="7"/>
  <c r="AE8" i="7"/>
  <c r="AE17" i="7"/>
  <c r="AE6" i="7"/>
  <c r="AE9" i="7"/>
  <c r="AE11" i="7"/>
  <c r="AE15" i="7"/>
  <c r="T20" i="7"/>
  <c r="F27" i="8" l="1"/>
  <c r="D7" i="9"/>
  <c r="AD73" i="7"/>
  <c r="AE72" i="7"/>
  <c r="AE73" i="7" s="1"/>
  <c r="W111" i="7"/>
  <c r="AC111" i="7"/>
  <c r="J12" i="8"/>
  <c r="T79" i="7"/>
  <c r="T82" i="7" s="1"/>
  <c r="Z79" i="7"/>
  <c r="Z82" i="7" s="1"/>
  <c r="AD79" i="7"/>
  <c r="AD82" i="7" s="1"/>
  <c r="AE81" i="7"/>
  <c r="AE110" i="7"/>
  <c r="AE20" i="7"/>
  <c r="AA79" i="7"/>
  <c r="AA82" i="7" s="1"/>
  <c r="AB22" i="7"/>
  <c r="AB79" i="7"/>
  <c r="AB82" i="7" s="1"/>
  <c r="U79" i="7"/>
  <c r="U82" i="7" s="1"/>
  <c r="V22" i="7"/>
  <c r="X79" i="7"/>
  <c r="X82" i="7" s="1"/>
  <c r="S102" i="7"/>
  <c r="S79" i="7"/>
  <c r="S82" i="7" s="1"/>
  <c r="T22" i="7"/>
  <c r="AE115" i="7"/>
  <c r="Z22" i="7"/>
  <c r="Y111" i="7"/>
  <c r="AD22" i="7"/>
  <c r="X22" i="7"/>
  <c r="V111" i="7"/>
  <c r="S21" i="7" l="1"/>
  <c r="AF21" i="7"/>
  <c r="S111" i="7"/>
  <c r="AB111" i="7"/>
  <c r="AA21" i="7"/>
  <c r="AF17" i="7"/>
  <c r="AF10" i="7"/>
  <c r="AF7" i="7"/>
  <c r="X21" i="7"/>
  <c r="AF19" i="7"/>
  <c r="AF18" i="7"/>
  <c r="AF15" i="7"/>
  <c r="Z111" i="7"/>
  <c r="AF6" i="7"/>
  <c r="AD111" i="7"/>
  <c r="U111" i="7"/>
  <c r="AA111" i="7"/>
  <c r="K12" i="8"/>
  <c r="J27" i="8"/>
  <c r="T111" i="7"/>
  <c r="AE79" i="7"/>
  <c r="AE111" i="7" s="1"/>
  <c r="AE21" i="7"/>
  <c r="AF4" i="7"/>
  <c r="AE95" i="7"/>
  <c r="Y21" i="7"/>
  <c r="W21" i="7"/>
  <c r="AC21" i="7"/>
  <c r="V21" i="7"/>
  <c r="AF12" i="7"/>
  <c r="AF13" i="7"/>
  <c r="AD21" i="7"/>
  <c r="T21" i="7"/>
  <c r="AE102" i="7"/>
  <c r="X111" i="7"/>
  <c r="AF9" i="7"/>
  <c r="AF16" i="7"/>
  <c r="AF14" i="7"/>
  <c r="AF8" i="7"/>
  <c r="AF11" i="7"/>
  <c r="AE22" i="7"/>
  <c r="U21" i="7"/>
  <c r="AB21" i="7"/>
  <c r="AF5" i="7"/>
  <c r="Z21" i="7"/>
  <c r="Z51" i="7" l="1"/>
  <c r="Z50" i="7"/>
  <c r="Z47" i="7"/>
  <c r="Z45" i="7"/>
  <c r="Z49" i="7"/>
  <c r="Z46" i="7"/>
  <c r="AB51" i="7"/>
  <c r="AB50" i="7"/>
  <c r="AB47" i="7"/>
  <c r="AB45" i="7"/>
  <c r="AB49" i="7"/>
  <c r="AB46" i="7"/>
  <c r="T51" i="7"/>
  <c r="T50" i="7"/>
  <c r="T47" i="7"/>
  <c r="T45" i="7"/>
  <c r="T49" i="7"/>
  <c r="T46" i="7"/>
  <c r="V51" i="7"/>
  <c r="V50" i="7"/>
  <c r="V47" i="7"/>
  <c r="V45" i="7"/>
  <c r="V49" i="7"/>
  <c r="V46" i="7"/>
  <c r="W49" i="7"/>
  <c r="W46" i="7"/>
  <c r="W51" i="7"/>
  <c r="W50" i="7"/>
  <c r="W47" i="7"/>
  <c r="W45" i="7"/>
  <c r="S49" i="7"/>
  <c r="S46" i="7"/>
  <c r="S51" i="7"/>
  <c r="S50" i="7"/>
  <c r="S47" i="7"/>
  <c r="S45" i="7"/>
  <c r="U49" i="7"/>
  <c r="U46" i="7"/>
  <c r="U51" i="7"/>
  <c r="U50" i="7"/>
  <c r="U47" i="7"/>
  <c r="U45" i="7"/>
  <c r="AD51" i="7"/>
  <c r="AD50" i="7"/>
  <c r="AD47" i="7"/>
  <c r="AD45" i="7"/>
  <c r="AD49" i="7"/>
  <c r="AD46" i="7"/>
  <c r="AC49" i="7"/>
  <c r="AC46" i="7"/>
  <c r="AC51" i="7"/>
  <c r="AC50" i="7"/>
  <c r="AC47" i="7"/>
  <c r="AC45" i="7"/>
  <c r="Y49" i="7"/>
  <c r="Y46" i="7"/>
  <c r="Y51" i="7"/>
  <c r="Y50" i="7"/>
  <c r="Y47" i="7"/>
  <c r="Y45" i="7"/>
  <c r="X51" i="7"/>
  <c r="X50" i="7"/>
  <c r="X47" i="7"/>
  <c r="X45" i="7"/>
  <c r="X49" i="7"/>
  <c r="X46" i="7"/>
  <c r="AA49" i="7"/>
  <c r="AA46" i="7"/>
  <c r="AA51" i="7"/>
  <c r="AA50" i="7"/>
  <c r="AA47" i="7"/>
  <c r="AA45" i="7"/>
  <c r="AE82" i="7"/>
  <c r="AF20" i="7"/>
  <c r="AA44" i="7" l="1"/>
  <c r="AA48" i="7"/>
  <c r="X48" i="7"/>
  <c r="W48" i="7"/>
  <c r="V48" i="7"/>
  <c r="T48" i="7"/>
  <c r="AB48" i="7"/>
  <c r="Z48" i="7"/>
  <c r="S48" i="7"/>
  <c r="Y48" i="7"/>
  <c r="AC48" i="7"/>
  <c r="AD48" i="7"/>
  <c r="U48" i="7"/>
  <c r="S44" i="7"/>
  <c r="X44" i="7"/>
  <c r="X52" i="7" s="1"/>
  <c r="X53" i="7" s="1"/>
  <c r="AE47" i="7"/>
  <c r="AF47" i="7" s="1"/>
  <c r="AE49" i="7"/>
  <c r="AF49" i="7" s="1"/>
  <c r="AE51" i="7"/>
  <c r="AF51" i="7" s="1"/>
  <c r="U44" i="7"/>
  <c r="AE46" i="7"/>
  <c r="AF46" i="7" s="1"/>
  <c r="Y44" i="7"/>
  <c r="AE50" i="7"/>
  <c r="AF50" i="7" s="1"/>
  <c r="AC44" i="7"/>
  <c r="AD44" i="7"/>
  <c r="AD52" i="7" s="1"/>
  <c r="AD53" i="7" s="1"/>
  <c r="AB44" i="7"/>
  <c r="AE45" i="7"/>
  <c r="AF45" i="7" s="1"/>
  <c r="W44" i="7"/>
  <c r="V44" i="7"/>
  <c r="T44" i="7"/>
  <c r="Z44" i="7"/>
  <c r="Z52" i="7" s="1"/>
  <c r="Z53" i="7" s="1"/>
  <c r="AB52" i="7" l="1"/>
  <c r="AB53" i="7" s="1"/>
  <c r="AA52" i="7"/>
  <c r="AA53" i="7" s="1"/>
  <c r="AA54" i="7" s="1"/>
  <c r="V52" i="7"/>
  <c r="V53" i="7" s="1"/>
  <c r="T52" i="7"/>
  <c r="T53" i="7" s="1"/>
  <c r="W52" i="7"/>
  <c r="W53" i="7" s="1"/>
  <c r="Y52" i="7"/>
  <c r="Y53" i="7" s="1"/>
  <c r="AC52" i="7"/>
  <c r="AC53" i="7" s="1"/>
  <c r="U52" i="7"/>
  <c r="U53" i="7" s="1"/>
  <c r="S52" i="7"/>
  <c r="S53" i="7" s="1"/>
  <c r="X54" i="7"/>
  <c r="AE44" i="7"/>
  <c r="AE48" i="7"/>
  <c r="AB54" i="7"/>
  <c r="Z54" i="7"/>
  <c r="Y54" i="7" l="1"/>
  <c r="V54" i="7"/>
  <c r="T54" i="7"/>
  <c r="W54" i="7"/>
  <c r="U54" i="7"/>
  <c r="S54" i="7"/>
  <c r="AE52" i="7"/>
  <c r="AC54" i="7"/>
  <c r="AD54" i="7"/>
  <c r="AE53" i="7" l="1"/>
  <c r="AF53" i="7" s="1"/>
  <c r="AE54" i="7"/>
  <c r="AF54" i="7" s="1"/>
  <c r="H30" i="2"/>
  <c r="H5" i="9" s="1"/>
  <c r="H7" i="9" s="1"/>
  <c r="F30" i="2"/>
  <c r="F5" i="9" s="1"/>
  <c r="F7" i="9" s="1"/>
  <c r="E30" i="2"/>
  <c r="E5" i="9" s="1"/>
  <c r="C29" i="2"/>
  <c r="C30" i="2" s="1"/>
  <c r="G30" i="2"/>
  <c r="G5" i="9" s="1"/>
  <c r="G7" i="9" s="1"/>
  <c r="E7" i="9" l="1"/>
  <c r="C5" i="9"/>
  <c r="C7" i="9" s="1"/>
</calcChain>
</file>

<file path=xl/sharedStrings.xml><?xml version="1.0" encoding="utf-8"?>
<sst xmlns="http://schemas.openxmlformats.org/spreadsheetml/2006/main" count="5148" uniqueCount="2624">
  <si>
    <t>DEMONSTRATIVO DA RECEITA CORRENTE LÍQUIDA</t>
  </si>
  <si>
    <t>I - RECEITAS CORRENTES</t>
  </si>
  <si>
    <t>Receitas Correntes</t>
  </si>
  <si>
    <t>II - DEDUÇÕES</t>
  </si>
  <si>
    <t>TOTAIS:</t>
  </si>
  <si>
    <t>Período:</t>
  </si>
  <si>
    <t>12º Mês</t>
  </si>
  <si>
    <t>11º mês</t>
  </si>
  <si>
    <t>10º Mês</t>
  </si>
  <si>
    <t>9º Mês</t>
  </si>
  <si>
    <t>8º Mês</t>
  </si>
  <si>
    <t>7º Mês</t>
  </si>
  <si>
    <t>Discriminação</t>
  </si>
  <si>
    <t>Modelo 2 - Demonstrativo da Despesa com Pessoal</t>
  </si>
  <si>
    <t>Pessoal e encargos sociais</t>
  </si>
  <si>
    <t>Despesas de Exercícios Anteriores</t>
  </si>
  <si>
    <t>IV - TOTAL DAS CONTAS PATRIMONIAIS</t>
  </si>
  <si>
    <t>6º Mês</t>
  </si>
  <si>
    <t>5º Mês</t>
  </si>
  <si>
    <t>4º Mês</t>
  </si>
  <si>
    <t>3º Mês</t>
  </si>
  <si>
    <t>2º Mês</t>
  </si>
  <si>
    <t>1º Mês</t>
  </si>
  <si>
    <t>Giovani Amestoy da Silva</t>
  </si>
  <si>
    <t>Ihoko Nakashima Mota</t>
  </si>
  <si>
    <t>Arlei Lopes Souza</t>
  </si>
  <si>
    <t>Prefeito Municipal</t>
  </si>
  <si>
    <t>Secret. de Município da Fazenda</t>
  </si>
  <si>
    <t>Contador - CRC/RS: 068452/O-6</t>
  </si>
  <si>
    <t>3.1.90.01</t>
  </si>
  <si>
    <t>3.1.90.03</t>
  </si>
  <si>
    <t>3.5.1.3.2.01.01</t>
  </si>
  <si>
    <t>3.5.1.3.2.02.01</t>
  </si>
  <si>
    <t>Aliquotas vigentes em 2021 do FAPS/RPPS</t>
  </si>
  <si>
    <t>ENTE</t>
  </si>
  <si>
    <t>SEGURADO</t>
  </si>
  <si>
    <t>Normal</t>
  </si>
  <si>
    <t>Média dos Segurados</t>
  </si>
  <si>
    <t>Janeiro</t>
  </si>
  <si>
    <t>Fevereiro</t>
  </si>
  <si>
    <t>Março</t>
  </si>
  <si>
    <t>Abril</t>
  </si>
  <si>
    <t>7.9.9.0.01.1.1</t>
  </si>
  <si>
    <t>7.9.9.0.01.1.3</t>
  </si>
  <si>
    <t>(- )</t>
  </si>
  <si>
    <t>Valor do déficit para cobertura do Passivo Atuarial:</t>
  </si>
  <si>
    <t>( = )</t>
  </si>
  <si>
    <t>Rendimentos Líquidos Auferidos do Período:</t>
  </si>
  <si>
    <t>Saldo dos Valores Aplicados:</t>
  </si>
  <si>
    <t>Percentual dos Rendimentos em relação ao Saldo:</t>
  </si>
  <si>
    <t>Seq.</t>
  </si>
  <si>
    <t>ÓRGÃOS</t>
  </si>
  <si>
    <t>Dotações:</t>
  </si>
  <si>
    <t>Liquidado</t>
  </si>
  <si>
    <t>Câmara</t>
  </si>
  <si>
    <t>Gabinete</t>
  </si>
  <si>
    <t>SGM</t>
  </si>
  <si>
    <t>SMCP</t>
  </si>
  <si>
    <t>SMA</t>
  </si>
  <si>
    <t>SMF</t>
  </si>
  <si>
    <t>SMTur</t>
  </si>
  <si>
    <t>SMTSUI</t>
  </si>
  <si>
    <t>SEDUC</t>
  </si>
  <si>
    <t>SMSMA</t>
  </si>
  <si>
    <t>SMAS</t>
  </si>
  <si>
    <t>SMAIC</t>
  </si>
  <si>
    <t>Encargos</t>
  </si>
  <si>
    <t>FAPS</t>
  </si>
  <si>
    <t>FASM</t>
  </si>
  <si>
    <t>A Pagar</t>
  </si>
  <si>
    <t>Pref.</t>
  </si>
  <si>
    <t>Total:</t>
  </si>
  <si>
    <t>Data Base:</t>
  </si>
  <si>
    <t>09 SECRETARIA DE MUNIC. DA EDUCACAO</t>
  </si>
  <si>
    <t>09.01 ENSINO FUNDAMENTAL</t>
  </si>
  <si>
    <t>09.02 ENSINO INFANTIL PRE-ESCOLA</t>
  </si>
  <si>
    <t>09.03 ENSINO INFANTIL - CRECHE</t>
  </si>
  <si>
    <t>09.05 ENSINO ESPECIAL</t>
  </si>
  <si>
    <t>09.07 ENSINO JOVENS E ADULTOS - EJA</t>
  </si>
  <si>
    <t>2.021 - 367</t>
  </si>
  <si>
    <t>Atividades:</t>
  </si>
  <si>
    <t>Emp</t>
  </si>
  <si>
    <t>Líq</t>
  </si>
  <si>
    <t>Pgtos</t>
  </si>
  <si>
    <t>Saldo Dotações:</t>
  </si>
  <si>
    <t>SubTotais:01</t>
  </si>
  <si>
    <t>SubTotais: 03</t>
  </si>
  <si>
    <t>60% FUNDEB</t>
  </si>
  <si>
    <t>40% FUNDEB:</t>
  </si>
  <si>
    <t>SubTotais:02</t>
  </si>
  <si>
    <t>SubTotais: 04</t>
  </si>
  <si>
    <t>Descrição:</t>
  </si>
  <si>
    <t>Matrículas</t>
  </si>
  <si>
    <t>Proporção</t>
  </si>
  <si>
    <t>MDE e FUNDEB</t>
  </si>
  <si>
    <t>FUNDEB: Liquidada</t>
  </si>
  <si>
    <t>MDE+Livre: Liquidada</t>
  </si>
  <si>
    <t>Fundamental</t>
  </si>
  <si>
    <t>Fundeb:</t>
  </si>
  <si>
    <t>Pré</t>
  </si>
  <si>
    <t>MDE:</t>
  </si>
  <si>
    <t>Creche</t>
  </si>
  <si>
    <t>Total Geral:</t>
  </si>
  <si>
    <t>EJA</t>
  </si>
  <si>
    <t>Especial</t>
  </si>
  <si>
    <t>Fonte SIOPE</t>
  </si>
  <si>
    <t>Despesa Liquidada:</t>
  </si>
  <si>
    <t>Percentual s/ Total</t>
  </si>
  <si>
    <t>Repasses FUNDEB</t>
  </si>
  <si>
    <t>Total Liquidado do FUNDEB:</t>
  </si>
  <si>
    <t>CALCULO DOS PERCENTUAIS MÍNIMOS LEGAIS</t>
  </si>
  <si>
    <t>PERÍODO:</t>
  </si>
  <si>
    <t>Artigos 198 e 212 da CF/88 e E/C nº 29</t>
  </si>
  <si>
    <t>Análise Horizontal das Receitas em relação ao montante arrecadado no mês em uma previsão de arrecadação de um doze avos ao mês.</t>
  </si>
  <si>
    <t>Os valores na coluna "Excesso" entre parenteses significa que foi arrecado valor maior que um doze avos ao mês na Receita Realizada.</t>
  </si>
  <si>
    <t>2. RECEITAS</t>
  </si>
  <si>
    <t>3. PREVISTO</t>
  </si>
  <si>
    <t>4. Realizado:</t>
  </si>
  <si>
    <t>LIVRE: 60% Excesso/Déficit</t>
  </si>
  <si>
    <t>MDE:25%/5%  Excesso/Déficit</t>
  </si>
  <si>
    <t>FUNDEB 20% Excesso/Déficit</t>
  </si>
  <si>
    <t>ASPS: 15%</t>
  </si>
  <si>
    <t>Excesso/Déficit</t>
  </si>
  <si>
    <t>IRRF</t>
  </si>
  <si>
    <t>IPTU</t>
  </si>
  <si>
    <t>ITBI</t>
  </si>
  <si>
    <t>ISQN</t>
  </si>
  <si>
    <t>FPM</t>
  </si>
  <si>
    <t>ITR</t>
  </si>
  <si>
    <t>ICMS</t>
  </si>
  <si>
    <t>IPVA</t>
  </si>
  <si>
    <t>IPI Exp.</t>
  </si>
  <si>
    <t>FUNDEB</t>
  </si>
  <si>
    <t>Percentual da Receita Realizada em relação a Prevista:</t>
  </si>
  <si>
    <t>Verificação:</t>
  </si>
  <si>
    <t>Cálculo:</t>
  </si>
  <si>
    <t>RECURSOS:</t>
  </si>
  <si>
    <t>ASPS</t>
  </si>
  <si>
    <t>LIVRE</t>
  </si>
  <si>
    <t>% da Despesa liquidada sobre a Receita realizada do FUNDEB</t>
  </si>
  <si>
    <t>Total da MDE</t>
  </si>
  <si>
    <t>DESPESA</t>
  </si>
  <si>
    <t>(-) Plus Fundeb</t>
  </si>
  <si>
    <t>MDE</t>
  </si>
  <si>
    <t>(-)Rend. da MDE</t>
  </si>
  <si>
    <t>( - ) 3.1.91.13.20</t>
  </si>
  <si>
    <t>EMPENHADO</t>
  </si>
  <si>
    <t>(-)Rend. do FUNDEB</t>
  </si>
  <si>
    <t>( - ) 3.3.91.08</t>
  </si>
  <si>
    <t>LIQUIDADO</t>
  </si>
  <si>
    <t>( - ) Rendimento</t>
  </si>
  <si>
    <t>PAGO</t>
  </si>
  <si>
    <t>Valor a aplicado</t>
  </si>
  <si>
    <t>( = ) TOTAIS:</t>
  </si>
  <si>
    <t>% Emp.</t>
  </si>
  <si>
    <t>% da Educação</t>
  </si>
  <si>
    <t>índice Apurado:</t>
  </si>
  <si>
    <t>% Liq. + Rep</t>
  </si>
  <si>
    <t>APLICAÇÃO:</t>
  </si>
  <si>
    <t>%pago</t>
  </si>
  <si>
    <t>TOTAIS</t>
  </si>
  <si>
    <t>a Liquidar</t>
  </si>
  <si>
    <t>a Pagar</t>
  </si>
  <si>
    <t>RENDIM.:</t>
  </si>
  <si>
    <t>( - ) Plus do FUNDEB</t>
  </si>
  <si>
    <t>Índice Apurado:</t>
  </si>
  <si>
    <t>Cronograma</t>
  </si>
  <si>
    <t>RECEITA CONSOLIDADA REALIZADA</t>
  </si>
  <si>
    <t>PREVISTO</t>
  </si>
  <si>
    <t>REESTIMADA</t>
  </si>
  <si>
    <t>JANEIRO</t>
  </si>
  <si>
    <t>FEVEREIRO</t>
  </si>
  <si>
    <t>MARÇO</t>
  </si>
  <si>
    <t>ABRIL</t>
  </si>
  <si>
    <t>MAIO</t>
  </si>
  <si>
    <t>JUNHO</t>
  </si>
  <si>
    <t>JULHO</t>
  </si>
  <si>
    <t>AGOSTO</t>
  </si>
  <si>
    <t>SETEMBRO</t>
  </si>
  <si>
    <t>OUTUBRO</t>
  </si>
  <si>
    <t>NOVEMBRO</t>
  </si>
  <si>
    <t>DEZEMBRO</t>
  </si>
  <si>
    <t>TOTAL</t>
  </si>
  <si>
    <t>MESES</t>
  </si>
  <si>
    <t>%</t>
  </si>
  <si>
    <t>Maio</t>
  </si>
  <si>
    <t>Junho</t>
  </si>
  <si>
    <t>Julho</t>
  </si>
  <si>
    <t>Agosto</t>
  </si>
  <si>
    <t>Setembro</t>
  </si>
  <si>
    <t>SMS</t>
  </si>
  <si>
    <t>Outubro</t>
  </si>
  <si>
    <t>Novembro</t>
  </si>
  <si>
    <t>Dezembro</t>
  </si>
  <si>
    <t>Reserva</t>
  </si>
  <si>
    <t>% em relação ao ano anterior</t>
  </si>
  <si>
    <t>DESPESA CONSOLIDA LIQUIDADA</t>
  </si>
  <si>
    <t>=</t>
  </si>
  <si>
    <t>% ao mês</t>
  </si>
  <si>
    <t>Total por Bimestre</t>
  </si>
  <si>
    <t>1º Bimestre</t>
  </si>
  <si>
    <t>2º Bimestre</t>
  </si>
  <si>
    <t>3º Bimestre</t>
  </si>
  <si>
    <t>4º Bimestre</t>
  </si>
  <si>
    <t>5º Bimestre</t>
  </si>
  <si>
    <t>6º Bimestre</t>
  </si>
  <si>
    <t>Superávit</t>
  </si>
  <si>
    <t>A Vertic</t>
  </si>
  <si>
    <t>DIFERENÇA</t>
  </si>
  <si>
    <t>SUPERÁVIT/DÉFICIT</t>
  </si>
  <si>
    <t>REALIZADA</t>
  </si>
  <si>
    <t>RECEITA</t>
  </si>
  <si>
    <t>EXECUTADA</t>
  </si>
  <si>
    <t>AO MÊS</t>
  </si>
  <si>
    <t>CRONOGRAMA DA DESPESA POR CATEGORIA</t>
  </si>
  <si>
    <t>3.</t>
  </si>
  <si>
    <t>DESPESA CORRENTE</t>
  </si>
  <si>
    <t>3.1.</t>
  </si>
  <si>
    <t>Vencimento e Encargos</t>
  </si>
  <si>
    <t>3.2.</t>
  </si>
  <si>
    <t>Juros e Encargo Dív.</t>
  </si>
  <si>
    <t>3.3.</t>
  </si>
  <si>
    <t>Outras Desp. Corrente</t>
  </si>
  <si>
    <t>4.</t>
  </si>
  <si>
    <t>DESPESA DE CAPITAL</t>
  </si>
  <si>
    <t>4.4.</t>
  </si>
  <si>
    <t>Investimentos</t>
  </si>
  <si>
    <t>4.5.</t>
  </si>
  <si>
    <t>Inversões Financeira</t>
  </si>
  <si>
    <t>4.6.</t>
  </si>
  <si>
    <t>Amortização da Dívida</t>
  </si>
  <si>
    <t>TOTAL DA DESPESA FIXADA</t>
  </si>
  <si>
    <t>9.9.</t>
  </si>
  <si>
    <t>Reserva de Contigência</t>
  </si>
  <si>
    <t>TOTAL GERAL PREVISTO</t>
  </si>
  <si>
    <t>+/-</t>
  </si>
  <si>
    <t>SOBRE A DESPESA LIQUIDADA.</t>
  </si>
  <si>
    <t>Restos a Pagar Processados de Exercícios Anteriores Pagos:</t>
  </si>
  <si>
    <t>a Pagar:</t>
  </si>
  <si>
    <t>Restos a Pagar Não Processados de Exercícios Anteriores Pagos:</t>
  </si>
  <si>
    <t>Totais:</t>
  </si>
  <si>
    <t>Total da Despesa Liquidada:</t>
  </si>
  <si>
    <r>
      <t>Nota:</t>
    </r>
    <r>
      <rPr>
        <sz val="6"/>
        <rFont val="Arial"/>
        <family val="2"/>
      </rPr>
      <t xml:space="preserve"> + Despesa não Liquidada:</t>
    </r>
  </si>
  <si>
    <t>Total da DespesaEmpenhada:</t>
  </si>
  <si>
    <t>EVOLUÇÃO DOS SALDOS DOS RESTOS A PAGAR DO PERÍODO:</t>
  </si>
  <si>
    <t>Ano: 2020</t>
  </si>
  <si>
    <t xml:space="preserve"> Janeiro</t>
  </si>
  <si>
    <t>Ano</t>
  </si>
  <si>
    <t>% da DC s/ RC:</t>
  </si>
  <si>
    <t>SECRETARIA MUNICIPAL DA SAÚDE E MEIO AMBIENTE - SMSMA</t>
  </si>
  <si>
    <t>COMPARATIVO DA DESPESA PREVISTA CONSOLIDADA COM A DESPESA PREVISTA PARA A SAÚDE</t>
  </si>
  <si>
    <t>PREVISTO:</t>
  </si>
  <si>
    <t>I</t>
  </si>
  <si>
    <t>% s/ Consolidado</t>
  </si>
  <si>
    <t>Bal. Orçamentário</t>
  </si>
  <si>
    <t>Créditos Orçam.</t>
  </si>
  <si>
    <t>Disponib. Dotaç.</t>
  </si>
  <si>
    <t>Empenhado</t>
  </si>
  <si>
    <t>A Liquidar</t>
  </si>
  <si>
    <t>Pago</t>
  </si>
  <si>
    <t>Pgtos a EFetuar</t>
  </si>
  <si>
    <t>Balcte Orçam.:</t>
  </si>
  <si>
    <t>Valores:</t>
  </si>
  <si>
    <t>COMPARATIVO DA DESPESA REALIZADA CONSOLIDADA COM A DESPESA REALIZADA NA SAÚDE</t>
  </si>
  <si>
    <t>REALIZADO</t>
  </si>
  <si>
    <t>II</t>
  </si>
  <si>
    <t>Pagos:</t>
  </si>
  <si>
    <t>% s/ o Total</t>
  </si>
  <si>
    <t>DIFERENÇA:</t>
  </si>
  <si>
    <t>SECRETARIA MUNICIPAL DA EDUCAÇÃO - SEDUC</t>
  </si>
  <si>
    <t>COMPARATIVO DA DESPESA PREVISTA CONSOLIDADA COM A DESPESA PREVISTA PARA A EDUCAÇÃO NO PERÍODO:</t>
  </si>
  <si>
    <t>janeiro</t>
  </si>
  <si>
    <t>fevereiro</t>
  </si>
  <si>
    <t>março</t>
  </si>
  <si>
    <t>abril</t>
  </si>
  <si>
    <t>maio</t>
  </si>
  <si>
    <t>junho</t>
  </si>
  <si>
    <t>julho</t>
  </si>
  <si>
    <t>agosto</t>
  </si>
  <si>
    <t>setembro</t>
  </si>
  <si>
    <t>outubro</t>
  </si>
  <si>
    <t>novembro</t>
  </si>
  <si>
    <t>dezembro</t>
  </si>
  <si>
    <t>TOTAL:</t>
  </si>
  <si>
    <t>COMPARATIVO DA DESPESA REALIZADA CONSOLIDADA COM A DESPESA REALIZADA NA EDUCAÇÃO</t>
  </si>
  <si>
    <t>% ao mês s/ Total realiz.</t>
  </si>
  <si>
    <t>TOTAL DO PERIÓDO</t>
  </si>
  <si>
    <t>PREFEITURA MUNICIPAL DE CAÇAPAVA DO SUL/RS.</t>
  </si>
  <si>
    <t>CNPJ:</t>
  </si>
  <si>
    <t>88142302/0001-45</t>
  </si>
  <si>
    <t>Endereço: RUA XV DE NOVEMBRO, Nº 438 / CENTRO / CAÇAPAVA DO SUL / RS / CEP: 96.570-000</t>
  </si>
  <si>
    <t>CONTROLE DO DÉFICIT ORÇAMENTÁRIO</t>
  </si>
  <si>
    <r>
      <t xml:space="preserve">INSTRUMENTO DE CONTROLE: </t>
    </r>
    <r>
      <rPr>
        <b/>
        <sz val="10"/>
        <rFont val="Arial"/>
        <family val="2"/>
      </rPr>
      <t>TERMÔMETRO DE CRUZ</t>
    </r>
  </si>
  <si>
    <t>PREVISTA</t>
  </si>
  <si>
    <t>ATUALIZADA</t>
  </si>
  <si>
    <t>DESPESAS CONSOLIDADAS</t>
  </si>
  <si>
    <t>Cota Mensal</t>
  </si>
  <si>
    <t>Valor Líquidado</t>
  </si>
  <si>
    <t>Receita</t>
  </si>
  <si>
    <t>Orçado para</t>
  </si>
  <si>
    <t>Déficit ou</t>
  </si>
  <si>
    <t>Estouro ou</t>
  </si>
  <si>
    <t>%   s/</t>
  </si>
  <si>
    <t>Órgãos de Governo</t>
  </si>
  <si>
    <t>Acumulada</t>
  </si>
  <si>
    <t>Até o mês</t>
  </si>
  <si>
    <t>até o Mês</t>
  </si>
  <si>
    <t>o Exercício</t>
  </si>
  <si>
    <t>Economia</t>
  </si>
  <si>
    <t>Total de C</t>
  </si>
  <si>
    <t>Nº</t>
  </si>
  <si>
    <t>[A]</t>
  </si>
  <si>
    <t>[B]</t>
  </si>
  <si>
    <t>[C]</t>
  </si>
  <si>
    <t>[D]</t>
  </si>
  <si>
    <t>[E]</t>
  </si>
  <si>
    <r>
      <t xml:space="preserve">[F] </t>
    </r>
    <r>
      <rPr>
        <b/>
        <sz val="8"/>
        <rFont val="Arial"/>
        <family val="2"/>
      </rPr>
      <t>B - C</t>
    </r>
  </si>
  <si>
    <r>
      <t xml:space="preserve">[G]  </t>
    </r>
    <r>
      <rPr>
        <b/>
        <sz val="8"/>
        <rFont val="Arial"/>
        <family val="2"/>
      </rPr>
      <t>F / B</t>
    </r>
  </si>
  <si>
    <t>[H]</t>
  </si>
  <si>
    <t>Câmara Municipal</t>
  </si>
  <si>
    <t>Gabinete do Prefeito</t>
  </si>
  <si>
    <t>Secretaria Geral do Município</t>
  </si>
  <si>
    <t>Secretaria da Planejamento  e Meio Ambiente</t>
  </si>
  <si>
    <t>Secretaria de Municipio da Administração</t>
  </si>
  <si>
    <t>Secretaria da Fazenda</t>
  </si>
  <si>
    <t>Secretaria de Municipio da Cultura e do Turismo</t>
  </si>
  <si>
    <t>Secretaria de Transporte, Serviços Urbanos e Interior</t>
  </si>
  <si>
    <t>Secretaria da Educação</t>
  </si>
  <si>
    <t>Secretaria de Municipio da Saúde</t>
  </si>
  <si>
    <t>Secretaria de Município da Ação Social</t>
  </si>
  <si>
    <t>Secretaria de Munic. da Agropecuária Industria e Comércio</t>
  </si>
  <si>
    <t>Encargos Gerais do Município</t>
  </si>
  <si>
    <t>Reserva de Contigências</t>
  </si>
  <si>
    <t>Regime Próprio de Previdência</t>
  </si>
  <si>
    <t>Fundo de assistência a Saúde do Servidor Municipal</t>
  </si>
  <si>
    <t>Total</t>
  </si>
  <si>
    <t>FONTES:</t>
  </si>
  <si>
    <t>Demonstrativos da Despesas Fixada e Liquidada por Órgão e Receita Efetivamente Realizada.</t>
  </si>
  <si>
    <t>NOTAS:   1 -</t>
  </si>
  <si>
    <t xml:space="preserve">Na coluna: "% s/ Total de C " consta o percentual que cada Órgão representa em relação ao total da Despesa Liquidada, conforme se verifica nos Órgãos de nº 9 que lida </t>
  </si>
  <si>
    <t>2 -</t>
  </si>
  <si>
    <t>O valor constante na coluna: "Cota Mensal Acumulada" foi apurado em conformidade com o Decreto de Desembolso Financeiro e Orçamentário, publicado em janeiro</t>
  </si>
  <si>
    <t>do corrente ano, que regula os quantitativos referentes ao Cronograma das saídas de acordo com as entradas(Pagamentos igual ou menor que os Recebimentos).</t>
  </si>
  <si>
    <t>3 -</t>
  </si>
  <si>
    <t>SOBRE A DESPESA LIQUIDADA CONSOLIDADA.</t>
  </si>
  <si>
    <t>4 -</t>
  </si>
  <si>
    <t>5 -</t>
  </si>
  <si>
    <t>OBSERVAÇÕES:</t>
  </si>
  <si>
    <t>1ª - Os Órgãos que apresentam Déficit Orçamentário estão abaixo do ponto zero na representação gráfica com a coluna invertida para baixo.</t>
  </si>
  <si>
    <t>2ª - Os Órgãos que apresentam Superávit Orçamentário e, consequentemente,estão situados acima do ponto zero na representação gráfica, coluna para cima.</t>
  </si>
  <si>
    <t>09º mês</t>
  </si>
  <si>
    <t>08º Mês</t>
  </si>
  <si>
    <t>07º mês</t>
  </si>
  <si>
    <t>06º Mês</t>
  </si>
  <si>
    <t>05º Mês</t>
  </si>
  <si>
    <t>04º Mês</t>
  </si>
  <si>
    <t>03º Mês</t>
  </si>
  <si>
    <t>02º Mês</t>
  </si>
  <si>
    <t>01º Mês</t>
  </si>
  <si>
    <t xml:space="preserve">Evolução Mensal da Despesa Liquidada com Pessoal </t>
  </si>
  <si>
    <t>TOTAIS DOS ÚLTIMOS 12 MESES</t>
  </si>
  <si>
    <t>Despesa Liquida c/ Pessoal</t>
  </si>
  <si>
    <t>Receita Corrente Líquida</t>
  </si>
  <si>
    <t>Índice da DCLP s/ a RCL</t>
  </si>
  <si>
    <t>Limite Máximo do Índice</t>
  </si>
  <si>
    <t>Fonte:</t>
  </si>
  <si>
    <t>Página: 1/2</t>
  </si>
  <si>
    <t>Página: 2/2</t>
  </si>
  <si>
    <t>1.Receita Realizada:</t>
  </si>
  <si>
    <t>70,00% para as aplicaçoes mínimas no FUNDEB</t>
  </si>
  <si>
    <t>Mínimo Anual de 70% do FUNDEB na Remuneração do Magistério</t>
  </si>
  <si>
    <t>Ano: 2021</t>
  </si>
  <si>
    <t>Progressão do Déficit no período</t>
  </si>
  <si>
    <t>MDE: 0020</t>
  </si>
  <si>
    <t>Ens.Especial2021</t>
  </si>
  <si>
    <t>Ens.Especial2120</t>
  </si>
  <si>
    <t>Instrução Normativa TCE/RS nº 18/2020 - índices da Saúde e do Ensino.</t>
  </si>
  <si>
    <t>Estado do Rio Grande do Sul - Prefeitura Municipal de Cacapava do Sul</t>
  </si>
  <si>
    <t xml:space="preserve">Unidade Gestora: </t>
  </si>
  <si>
    <t>CONSOLIDADO</t>
  </si>
  <si>
    <t>Saldo Inicial Vinc. em C/C Bancária</t>
  </si>
  <si>
    <t>Receita Realizada no Exercício</t>
  </si>
  <si>
    <t>Transferências Recebidas</t>
  </si>
  <si>
    <t>Total do Recurso Vinculado</t>
  </si>
  <si>
    <t>Liquidações Orçam. Efetuados</t>
  </si>
  <si>
    <t>Liquidações de Restos Efetuadas</t>
  </si>
  <si>
    <t>Total das Liquidações</t>
  </si>
  <si>
    <t>Transferências Devolvidas</t>
  </si>
  <si>
    <t>Saldo P/Utilização Recurso Vinculado</t>
  </si>
  <si>
    <t>Fonte de Recursos</t>
  </si>
  <si>
    <t>Pagamentos Orçam. Efetuados</t>
  </si>
  <si>
    <t>Pagamentos de Restos Efetuados</t>
  </si>
  <si>
    <t>Total dos Pagamentos</t>
  </si>
  <si>
    <t>Empenhos de restos a Pagar</t>
  </si>
  <si>
    <t>1. Dotações:</t>
  </si>
  <si>
    <t>30,00% para as aplicaçoes maximas no FUNDEB</t>
  </si>
  <si>
    <t xml:space="preserve"> Amortiz Deficit Atuarial</t>
  </si>
  <si>
    <t>Aportes Periodicos</t>
  </si>
  <si>
    <t>Deficit Atuarial - Div Ativa</t>
  </si>
  <si>
    <t>1. Receitas Totais</t>
  </si>
  <si>
    <t>2. Total da Despesa Paga</t>
  </si>
  <si>
    <t>3. Resultado: 1. - 2. =</t>
  </si>
  <si>
    <t>L. M. Nº 4.244  de 22/07/2021 - Art. 4º - Aliquota do Passivo Atuarial.</t>
  </si>
  <si>
    <t>L. M. Nº 4167  de 04/08/2020 - Art. 4º - Aliquota do Passivo Atuarial.</t>
  </si>
  <si>
    <t>3.Desp. Liquidada</t>
  </si>
  <si>
    <t>4.Despesa Paga:</t>
  </si>
  <si>
    <t>2. Empenhado</t>
  </si>
  <si>
    <t>5.Resultado: 1-4</t>
  </si>
  <si>
    <t>6.A Pagar: 3-4</t>
  </si>
  <si>
    <t>2. Empenhado:</t>
  </si>
  <si>
    <t>3. Liquidado</t>
  </si>
  <si>
    <t>4. Pago:</t>
  </si>
  <si>
    <t>5. A Pagar = 3 - 4</t>
  </si>
  <si>
    <t>6.Empenhado¹</t>
  </si>
  <si>
    <t>7. Liquidado</t>
  </si>
  <si>
    <r>
      <t>8. Cancelado</t>
    </r>
    <r>
      <rPr>
        <vertAlign val="superscript"/>
        <sz val="8"/>
        <color theme="1"/>
        <rFont val="Calibri"/>
        <family val="2"/>
        <scheme val="minor"/>
      </rPr>
      <t>4</t>
    </r>
    <r>
      <rPr>
        <sz val="8"/>
        <color theme="1"/>
        <rFont val="Calibri"/>
        <family val="2"/>
        <scheme val="minor"/>
      </rPr>
      <t xml:space="preserve"> </t>
    </r>
  </si>
  <si>
    <t>9. Pago³</t>
  </si>
  <si>
    <t>30% - 361 - 2.014</t>
  </si>
  <si>
    <t>30% PRE 2.016</t>
  </si>
  <si>
    <t>30% CRECHE 2.018</t>
  </si>
  <si>
    <t>30% EJA 2.023</t>
  </si>
  <si>
    <t>30%-361-2.023MDE</t>
  </si>
  <si>
    <t>70% - 361 - 2.013</t>
  </si>
  <si>
    <t>70% - PRE - 2.015</t>
  </si>
  <si>
    <t>70% CRECHE 2.017</t>
  </si>
  <si>
    <t>70% Especial 2.021</t>
  </si>
  <si>
    <t>70% EJA 2.022</t>
  </si>
  <si>
    <t>(-) 3.3.91.08</t>
  </si>
  <si>
    <t>Empenhos Orçam. Efetuados</t>
  </si>
  <si>
    <t>Total Empenhado</t>
  </si>
  <si>
    <t>Demonstrativos apurados pela Contabilidade da Receita Corrente Realizada e da Despesa Líquidada Orçamentarias.</t>
  </si>
  <si>
    <t>Consolidadas</t>
  </si>
  <si>
    <t>Rec. Corrente - Deduções</t>
  </si>
  <si>
    <t>Análise da relação da Despesa Corrente Liquidada em relação a Receita Orçamentária sem os valores das Receitas Intraorçamentária e de Capital</t>
  </si>
  <si>
    <t>Despesas Corr. Líquidada</t>
  </si>
  <si>
    <t>Cancelados:</t>
  </si>
  <si>
    <t xml:space="preserve">OBS.: </t>
  </si>
  <si>
    <t>30%-361 -2.014 Livre</t>
  </si>
  <si>
    <t>Inversões Financeiras</t>
  </si>
  <si>
    <t>7.Empenhado¹</t>
  </si>
  <si>
    <t>8. Liquidado</t>
  </si>
  <si>
    <t>10. A Pagar²= 7 - 9</t>
  </si>
  <si>
    <t>Execução orçamentária</t>
  </si>
  <si>
    <t>Execução dos Restos a Pagar Processados e não Processados</t>
  </si>
  <si>
    <t>10. A Pagar²= 9 - 10</t>
  </si>
  <si>
    <t>11. Resultado:</t>
  </si>
  <si>
    <t>O resultado apurado na tabela acima é sobre a despesa paga, sobre a despesa liquidada o resultado é</t>
  </si>
  <si>
    <t>INSTRUÇÃO NORMATIVA nº 18/2021 - TCE/RS.</t>
  </si>
  <si>
    <t>Sentenças Judiciais</t>
  </si>
  <si>
    <t>Ens. Espec 2.032</t>
  </si>
  <si>
    <t>Livre-2.248</t>
  </si>
  <si>
    <t>2.019MDE30%Gabinet</t>
  </si>
  <si>
    <t>(-) 9419 Demais Variações Monetárias Negativas</t>
  </si>
  <si>
    <t>08/09/2021 Arrecadacao da Receita Ref correcao contribuicoes repassadas ao RPPS compensando os juros pelo atraso ao FAPS pela Camara de Vereadores emp extra 119/2021 Correcao SELIC contribuicao patronal contido R$ 160,40</t>
  </si>
  <si>
    <t>Dot. Atualizada</t>
  </si>
  <si>
    <t>Reserva de Contin.</t>
  </si>
  <si>
    <t>A liquidar:</t>
  </si>
  <si>
    <t>Despesas Intraorçamentárias</t>
  </si>
  <si>
    <t>Ano: 2022</t>
  </si>
  <si>
    <t>3ª - O déficit é provocado pelo despêndio maior que o previsto para o periodo no Orçamento e Regumentado no Decreto Executivo  nº 4865, de 03 Fevereiro de 2022.</t>
  </si>
  <si>
    <t>DESPESAS ORÇAMENTÁRIAS, EXCETO AS DESPESAS INTRAORÇAMENTÁRIAS</t>
  </si>
  <si>
    <t>2.032 30% Ens Esp.</t>
  </si>
  <si>
    <t>EVOLUÇÃO DOS SALDOS DOS RESTOS A PAGAR PROCESSADOS E NÃO PROCESSADOS DO PERÍODO:</t>
  </si>
  <si>
    <t>1.9.9.0.99.1.3.03</t>
  </si>
  <si>
    <t>1.9.9.0.99.1.3.04</t>
  </si>
  <si>
    <t>4ª - Percent da Despesa Corrente s/ a Receita Corrente, exceto a Despesa e a Receita Intras - § 6º do art. 167-A da CF:</t>
  </si>
  <si>
    <t>Prefeitura Municipal de Cacapava do Sul - RS</t>
  </si>
  <si>
    <t>Relatório Resumido da Execução Orçamentária</t>
  </si>
  <si>
    <t>Demonstrativo Simplificado do Relatório Resumido da Execução Orçamentária</t>
  </si>
  <si>
    <t>Orçamentos Fiscal e da Seguridade Social</t>
  </si>
  <si>
    <t>RREO - Anexo 14 (LRF, Art. 48)</t>
  </si>
  <si>
    <t>Em Reais</t>
  </si>
  <si>
    <t>BALANÇO ORÇAMENTÁRIO</t>
  </si>
  <si>
    <t>Até o bimestre</t>
  </si>
  <si>
    <t>RECEITAS</t>
  </si>
  <si>
    <t>Previsão Inicial</t>
  </si>
  <si>
    <t>Previsão Atualizada</t>
  </si>
  <si>
    <t>Receitas Realizadas</t>
  </si>
  <si>
    <t>Déficit Orçamentário</t>
  </si>
  <si>
    <t>-</t>
  </si>
  <si>
    <t>Saldos de Exercícios Anteriores(Utilizados para Créditos Adicionais)</t>
  </si>
  <si>
    <t>DESPESAS</t>
  </si>
  <si>
    <t>Dotação Inicial</t>
  </si>
  <si>
    <t>Dotação Atualizada</t>
  </si>
  <si>
    <t>Despesas Empenhadas</t>
  </si>
  <si>
    <t>Despesas Liquidadas</t>
  </si>
  <si>
    <t>Despesas Pagas</t>
  </si>
  <si>
    <t>Superávit Orçamentário</t>
  </si>
  <si>
    <t>DESPESAS POR FUNÇÃO/SUBFUNÇÃO</t>
  </si>
  <si>
    <t>RECEITAS E DESPESAS DO REGIME PRÓPRIO DE PREVIDÊNCIA DOS SERVIDORES</t>
  </si>
  <si>
    <t>Fundo em Capitalização (PLANO PREVIDENCIÁRIO)</t>
  </si>
  <si>
    <t>Receitas Previdenciárias Realizadas</t>
  </si>
  <si>
    <t>Despesas Previdenciárias Empenhadas</t>
  </si>
  <si>
    <t>Despesas Previdenciárias Liquidadas</t>
  </si>
  <si>
    <t>Despesas Previdenciárias Pagas</t>
  </si>
  <si>
    <t>Resultado Previdenciário</t>
  </si>
  <si>
    <t>Fundo em Repartição (PLANO FINANCEIRO)</t>
  </si>
  <si>
    <t>RESULTADOS PRIMÁRIO E NOMINAL</t>
  </si>
  <si>
    <t>Meta Fixada no</t>
  </si>
  <si>
    <t>Resultado Apurado</t>
  </si>
  <si>
    <t>% em Relação à Meta</t>
  </si>
  <si>
    <t>Anexo de Metas</t>
  </si>
  <si>
    <t>Até o Bimestre</t>
  </si>
  <si>
    <t>Fiscais da LDO</t>
  </si>
  <si>
    <t>(a)</t>
  </si>
  <si>
    <t>(b)</t>
  </si>
  <si>
    <t>(b/a)</t>
  </si>
  <si>
    <t>Resultado Primário</t>
  </si>
  <si>
    <t>Resultado Nominal</t>
  </si>
  <si>
    <t>RESTOS A PAGAR POR PODER E MINISTÉRIO PÚBLICO</t>
  </si>
  <si>
    <t>Inscrição</t>
  </si>
  <si>
    <t>Cancelamento</t>
  </si>
  <si>
    <t>Pagamento</t>
  </si>
  <si>
    <t>Saldo</t>
  </si>
  <si>
    <t>RESTOS A PAGAR PROCESSADOS</t>
  </si>
  <si>
    <t>Poder Executivo</t>
  </si>
  <si>
    <t>Poder Legislativo</t>
  </si>
  <si>
    <t>RESTOS A PAGAR NÃO-PROCESSADOS</t>
  </si>
  <si>
    <t>DESPESAS COM MANUTENÇÃO E DESENVOLVIMENTO DO ENSINO</t>
  </si>
  <si>
    <t>Valor Apurado</t>
  </si>
  <si>
    <t>% Mínimo a</t>
  </si>
  <si>
    <t>% Aplicado Até o</t>
  </si>
  <si>
    <t>Aplicar no Exercício</t>
  </si>
  <si>
    <t>Bimestre</t>
  </si>
  <si>
    <t>Mínimo Anual de 70% do FUNDEB na Remuneração dos Profissionais da Educação Básica</t>
  </si>
  <si>
    <t>Percentual de 50% da Complementação da União ao FUNDEB (VAAT) na Educação Infantil</t>
  </si>
  <si>
    <t>Mínimo de 15% da Complementação da União ao FUNDEB (VAAT) em Despesas de Capital</t>
  </si>
  <si>
    <t>Limite Constitucional Anual</t>
  </si>
  <si>
    <t>% Aplicado Até o Bimestre</t>
  </si>
  <si>
    <t>Aplicar no exercicio</t>
  </si>
  <si>
    <t>DESPESAS DE CARÁTER CONTINUADO DERIVADAS DE PPP</t>
  </si>
  <si>
    <t>Valor Apurado no Exercício Corrente</t>
  </si>
  <si>
    <t>Total das Despesas Consideradas para o Limite / RCL (%)</t>
  </si>
  <si>
    <t>Fonte da Metodologia TCE/RS. (OBS.: Foi deduzidos os valores das Emendas Parlamentares os valores referentes a EC Nº 120/2022 dos ACS)</t>
  </si>
  <si>
    <t>No Valor da RCL foi deduzidos os valores das Emendandas Parlamentares e os Repasses p/Assist. Financ. Complementar - ACS (321) - da EC. Nº 120/22 do Período.</t>
  </si>
  <si>
    <t>RELATÓRIO DE GESTÃO FISCAL</t>
  </si>
  <si>
    <t>ORÇAMENTOS FISCAL E DA SEGURIDADE SOCIAL</t>
  </si>
  <si>
    <t>R$ 1,00</t>
  </si>
  <si>
    <t>DÍVIDA CONSOLIDADA</t>
  </si>
  <si>
    <t>Prefeitura Municipal de Cacapava do Sul-RS</t>
  </si>
  <si>
    <t>Página 1 de 3</t>
  </si>
  <si>
    <t>Balanço Orçamentário</t>
  </si>
  <si>
    <t>Orçamento Fiscal e da Seguridade Socials</t>
  </si>
  <si>
    <t>RREO - Anexo 1 (LRF, Art. 52, inciso I, alineas "a" e "b" do inciso II e §1º)</t>
  </si>
  <si>
    <t>PREVISÃO INICIAL</t>
  </si>
  <si>
    <t>PREVISÃO ATUALIZADA
(a)</t>
  </si>
  <si>
    <t>RECEITAS REALIZADAS</t>
  </si>
  <si>
    <t>SALDO
(a-c)</t>
  </si>
  <si>
    <t>No Bimestre
(b)</t>
  </si>
  <si>
    <t>%
(b/a)</t>
  </si>
  <si>
    <t>Até o Bimestre
(c)</t>
  </si>
  <si>
    <t>%
(c/a)</t>
  </si>
  <si>
    <t>RECEITAS (EXCETO INTRA-ORÇAMENTÁRIAS) (I)</t>
  </si>
  <si>
    <t>RECEITAS (INTRA-ORÇAMENTÁRIAS) (II)</t>
  </si>
  <si>
    <t>SUBTOTAL DAS RECEITAS (III) = (I + II)</t>
  </si>
  <si>
    <t>Página 2 de 3</t>
  </si>
  <si>
    <t>TOTAL DAS RECEITAS (V) = (III + IV)</t>
  </si>
  <si>
    <t>DÉFICIT (VI)</t>
  </si>
  <si>
    <t>TOTAL COM DÉFICIT (VII) = (V + VI)</t>
  </si>
  <si>
    <t>SALDOS DE EXERCÍCIOS ANTERIORES</t>
  </si>
  <si>
    <t>DOTAÇÃO
INICIAL
(d)</t>
  </si>
  <si>
    <t>DOTAÇÃO ATUALIZADA
(e)</t>
  </si>
  <si>
    <t>DESPESAS EMPENHADAS</t>
  </si>
  <si>
    <t>SALDO
(g)=(e-f)</t>
  </si>
  <si>
    <t>DESPESAS LIQUIDADAS</t>
  </si>
  <si>
    <t>SALDO
(i)=(e-h)</t>
  </si>
  <si>
    <t>DESPESAS PAGAS ATÉ O BIMESTRE
(j)</t>
  </si>
  <si>
    <t>INSCRITAS EM RESTOS A PAGAR NÃO PROCESSADOS
(k)</t>
  </si>
  <si>
    <t>No Bimestre</t>
  </si>
  <si>
    <t>Até o Bimestre
(f)</t>
  </si>
  <si>
    <t>Até o Bimestre
(h)</t>
  </si>
  <si>
    <t>DESPESAS (EXCETO INTRAORÇAMENTÁRIAS) (VIII)</t>
  </si>
  <si>
    <t>RESERVA DE CONTINGÊNCIA</t>
  </si>
  <si>
    <t>DESPESAS (INTRAORÇAMENTÁRIAS) (IX)</t>
  </si>
  <si>
    <t>SUBTOTAL DAS DESPESAS (X) = (VIII + IX)</t>
  </si>
  <si>
    <t>AMORTIZAÇÃO DA DÍV. / REFINANCIAMENTO (XI)</t>
  </si>
  <si>
    <t>TOTAL DAS DESPESAS (XII) = (X + XI)</t>
  </si>
  <si>
    <t>SUPERÁVIT (XIII)</t>
  </si>
  <si>
    <t>TOTAL COM SUPERÁVIT (XIV) = (XII + XIII)</t>
  </si>
  <si>
    <t>RESERVA DO RPPS</t>
  </si>
  <si>
    <t>RECEITAS INTRAORÇAMENTÁRIAS</t>
  </si>
  <si>
    <t>Página 3 de 3</t>
  </si>
  <si>
    <t>DESPESAS INTRAORÇAMENTÁRIAS</t>
  </si>
  <si>
    <t>2,00</t>
  </si>
  <si>
    <t>1 O déficit será apurado pela diferença entre a receita realizada e a despesa liquidada nos cinco primeiros bimestres e a despesa empenhada no último bimestre.</t>
  </si>
  <si>
    <t>Relatório Resumido de Execução Orçamentária</t>
  </si>
  <si>
    <t>Demonstrativo da Execução das Despesas por Função/Subfunção</t>
  </si>
  <si>
    <t>Orçamento Fiscal e da Seguridade Social</t>
  </si>
  <si>
    <t>RREO - ANEXO 2 (LRF, Art. 52, inciso II, alínea 'c')</t>
  </si>
  <si>
    <t>FUNÇÃO/SUBFUNÇÃO</t>
  </si>
  <si>
    <t>Dotação</t>
  </si>
  <si>
    <t>SALDO</t>
  </si>
  <si>
    <t>Inicial</t>
  </si>
  <si>
    <t>Atualizada</t>
  </si>
  <si>
    <t xml:space="preserve"> </t>
  </si>
  <si>
    <t>(b/total b)</t>
  </si>
  <si>
    <t>(c)=(a-b)</t>
  </si>
  <si>
    <t>(d)</t>
  </si>
  <si>
    <t>(e)=(a-d)</t>
  </si>
  <si>
    <t>DESPESAS(EXCETO INTRAORÇAMENTÁRIAS)(I)</t>
  </si>
  <si>
    <t>Legislativa</t>
  </si>
  <si>
    <t>Ação Legislativa</t>
  </si>
  <si>
    <t>Essencial à Justiça</t>
  </si>
  <si>
    <t>Representação Judicial e Extrajudicial</t>
  </si>
  <si>
    <t>Administração</t>
  </si>
  <si>
    <t>Planejamento e Orçamento</t>
  </si>
  <si>
    <t>Administração Geral</t>
  </si>
  <si>
    <t>Administração Financeira</t>
  </si>
  <si>
    <t>Controle Interno</t>
  </si>
  <si>
    <t>Normatização e Fiscalização</t>
  </si>
  <si>
    <t>Tecnologia da Informação</t>
  </si>
  <si>
    <t>Formação de Recursos Humanos</t>
  </si>
  <si>
    <t>Administração de Receitas</t>
  </si>
  <si>
    <t>Comunicação Social</t>
  </si>
  <si>
    <t>Previdência Básica</t>
  </si>
  <si>
    <t>Previdência Complementar</t>
  </si>
  <si>
    <t>Proteção e Benefícios ao Trabalhador</t>
  </si>
  <si>
    <t>Turismo</t>
  </si>
  <si>
    <t>Segurança Pública</t>
  </si>
  <si>
    <t>Policiamento</t>
  </si>
  <si>
    <t>Defesa Civil</t>
  </si>
  <si>
    <t>Assistência Social</t>
  </si>
  <si>
    <t>Assistência ao Idoso</t>
  </si>
  <si>
    <t>Assistência ao Portador de Deficiência</t>
  </si>
  <si>
    <t>Assistência à Criança e ao Adolescente</t>
  </si>
  <si>
    <t>Assistência Comunitária</t>
  </si>
  <si>
    <t>Habitação Rural</t>
  </si>
  <si>
    <t>Habitação Urbana</t>
  </si>
  <si>
    <t>Previdência Social</t>
  </si>
  <si>
    <t>Previdência do Regime Estatutário</t>
  </si>
  <si>
    <t>Assistência Hospitalar e Ambulatorial</t>
  </si>
  <si>
    <t>Saúde</t>
  </si>
  <si>
    <t>Atenção Básica</t>
  </si>
  <si>
    <t>Suporte Profilático e Terapêutico</t>
  </si>
  <si>
    <t>Vigilância Sanitária</t>
  </si>
  <si>
    <t>Vigilância Epidemiológica</t>
  </si>
  <si>
    <t>Educação</t>
  </si>
  <si>
    <t>Ensino Fundamental</t>
  </si>
  <si>
    <t>Ensino Médio</t>
  </si>
  <si>
    <t>Educação Infantil</t>
  </si>
  <si>
    <t>Educação de Jovens e Adultos</t>
  </si>
  <si>
    <t>Educação Especial</t>
  </si>
  <si>
    <t>Educação Básica</t>
  </si>
  <si>
    <t>Cultura</t>
  </si>
  <si>
    <t>Patrimônio Histórico, Artístico e Arqueológico</t>
  </si>
  <si>
    <t>Difusão Cultural</t>
  </si>
  <si>
    <t>Direitos da Cidadania</t>
  </si>
  <si>
    <t>Direitos Individuais, Coletivos e Difusos</t>
  </si>
  <si>
    <t>Urbanismo</t>
  </si>
  <si>
    <t>Infra-estrutura Urbana</t>
  </si>
  <si>
    <t>Serviços Urbanos</t>
  </si>
  <si>
    <t>Habitação</t>
  </si>
  <si>
    <t>Saneamento</t>
  </si>
  <si>
    <t>Saneamento Básico Rural</t>
  </si>
  <si>
    <t>Saneamento Básico Urbano</t>
  </si>
  <si>
    <t>Gestão Ambiental</t>
  </si>
  <si>
    <t>Preservação e Conservação Ambiental</t>
  </si>
  <si>
    <t>Controle Ambiental</t>
  </si>
  <si>
    <t>Recursos Hídricos</t>
  </si>
  <si>
    <t>Agricultura</t>
  </si>
  <si>
    <t>Abastecimento</t>
  </si>
  <si>
    <t>Extensão Rural</t>
  </si>
  <si>
    <t>Promoção da Produção Agropecuária</t>
  </si>
  <si>
    <t>Defesa Agropecuária</t>
  </si>
  <si>
    <t>Indústria</t>
  </si>
  <si>
    <t>Promoção Industrial</t>
  </si>
  <si>
    <t>Comércio e Serviços</t>
  </si>
  <si>
    <t>Promoção Comercial</t>
  </si>
  <si>
    <t>Comunicações</t>
  </si>
  <si>
    <t>Telecomunicações</t>
  </si>
  <si>
    <t>Transporte</t>
  </si>
  <si>
    <t>Transporte Rodoviário</t>
  </si>
  <si>
    <t>Desporto e Lazer</t>
  </si>
  <si>
    <t>Desporto Comunitário</t>
  </si>
  <si>
    <t>Encargos Especiais</t>
  </si>
  <si>
    <t>Serviço da Dívida Interna</t>
  </si>
  <si>
    <t>Outros Encargos Especiais</t>
  </si>
  <si>
    <t>Reserva de Contingência</t>
  </si>
  <si>
    <t>DESPESAS INTRAORÇAMENTÁRIAS (II)</t>
  </si>
  <si>
    <t>TOTAL (III)=(I+II)</t>
  </si>
  <si>
    <t>DESPESAS(INTRAORÇAMENTÁRIAS) (II)</t>
  </si>
  <si>
    <t xml:space="preserve">          __________________________________     __________________________________     __________________________________          </t>
  </si>
  <si>
    <t>Demonstrativo dos Resultados Primário e Nominal</t>
  </si>
  <si>
    <t>RREO - ANEXO VI(LRF, art. 53, inciso III)</t>
  </si>
  <si>
    <t>ACIMA DA LINHA</t>
  </si>
  <si>
    <t>RECEITAS PRIMÁRIAS</t>
  </si>
  <si>
    <t>DESPESAS PRIMÁRIAS</t>
  </si>
  <si>
    <t>Restos a Pagar Processados Pagos</t>
  </si>
  <si>
    <t>Restos a Pagar não Processados</t>
  </si>
  <si>
    <t>Liquidados</t>
  </si>
  <si>
    <t>Pagos (c)</t>
  </si>
  <si>
    <t>META FISCAL PARA O RESULTADO PRIMÁRIO</t>
  </si>
  <si>
    <t>VALOR CORRENTE</t>
  </si>
  <si>
    <t>Meta fixada no Anexo de Metas Fiscais da LDO para o exercício de referência</t>
  </si>
  <si>
    <t>JUROS NOMINAIS</t>
  </si>
  <si>
    <t>VALOR INCORRIDO</t>
  </si>
  <si>
    <t>META FISCAL PARA O RESULTADO NOMINAL</t>
  </si>
  <si>
    <t>ABAIXO DA LINHA</t>
  </si>
  <si>
    <t>CÁLCULO DO RESULTADO NOMINAL</t>
  </si>
  <si>
    <t>Disponibilidade de Caixa Bruta</t>
  </si>
  <si>
    <t>(-) Depósitos Restituíveis e Valores Vinculados</t>
  </si>
  <si>
    <t>Demais Haveres Financeiros</t>
  </si>
  <si>
    <t>AJUSTE METODOLÓGICO</t>
  </si>
  <si>
    <t>INFORMAÇÕES ADICIONAIS</t>
  </si>
  <si>
    <t>PREVISÃO ORÇAMENTÁRIA</t>
  </si>
  <si>
    <t>SALDO DE EXERCÍCIOS ANTERIORES</t>
  </si>
  <si>
    <t>RESERVA ORÇAMENTÁRIA DO RPPS</t>
  </si>
  <si>
    <t>RELATÓRIO RESUMIDO DA EXECUÇÃO ORÇAMENTÁRIA</t>
  </si>
  <si>
    <t>SALDO ATUAL</t>
  </si>
  <si>
    <t>Demonstrativo dos Restos a Pagar por Poder e Órgão</t>
  </si>
  <si>
    <t>RREO - ANEXO 7 (LRF, art.53, inciso V)</t>
  </si>
  <si>
    <t>PODER/ÓRGÃO</t>
  </si>
  <si>
    <t>RESTOS A PAGAR NÃO PROCESSADOS</t>
  </si>
  <si>
    <t>Saldo Total</t>
  </si>
  <si>
    <t>Inscritos</t>
  </si>
  <si>
    <t>Pagos</t>
  </si>
  <si>
    <t>Cancelados</t>
  </si>
  <si>
    <t>Em Exercícios</t>
  </si>
  <si>
    <t>Em 31 de</t>
  </si>
  <si>
    <t>Anteriores</t>
  </si>
  <si>
    <t>(c)</t>
  </si>
  <si>
    <t>e=(a+b)-(c+d)</t>
  </si>
  <si>
    <t>(f)</t>
  </si>
  <si>
    <t>(g)</t>
  </si>
  <si>
    <t>(h)</t>
  </si>
  <si>
    <t>(i)</t>
  </si>
  <si>
    <t>(j)</t>
  </si>
  <si>
    <t>k=(f+g)-(i+j)</t>
  </si>
  <si>
    <t>L=(e+k)</t>
  </si>
  <si>
    <t>RESTOS A PAGAR(EXCETO INTRA-ORÇAMENTÁRIOS) (I)</t>
  </si>
  <si>
    <t>PODER EXECUTIVO</t>
  </si>
  <si>
    <t>PODER LEGISLATIVO</t>
  </si>
  <si>
    <t>CAMARA MUNICIPAL CACAPAVA DO SUL</t>
  </si>
  <si>
    <t>RESTOS A PAGAR(INTRA-ORÇAMENTÁRIOS) (II)</t>
  </si>
  <si>
    <t>TOTAL (III) = (I+II)</t>
  </si>
  <si>
    <t>RECEITA CORRENTE LÍQUIDA - RCL</t>
  </si>
  <si>
    <t>15%</t>
  </si>
  <si>
    <t>DESPESAS COM AÇÕES E SERVIÇOS PÚBLICOS DE SAÚDE</t>
  </si>
  <si>
    <t>Rendimento da Poupança:</t>
  </si>
  <si>
    <t>Diferença em relação a Poupança:</t>
  </si>
  <si>
    <t>bimestre Anterior</t>
  </si>
  <si>
    <t>Limites Constitucionais Anuais²</t>
  </si>
  <si>
    <r>
      <t xml:space="preserve">¹Fonte: Cálculo da </t>
    </r>
    <r>
      <rPr>
        <b/>
        <sz val="10"/>
        <color theme="1"/>
        <rFont val="Calibri"/>
        <family val="2"/>
        <scheme val="minor"/>
      </rPr>
      <t>RCL dos doze últimos meses</t>
    </r>
    <r>
      <rPr>
        <sz val="10"/>
        <color theme="1"/>
        <rFont val="Calibri"/>
        <family val="2"/>
        <scheme val="minor"/>
      </rPr>
      <t xml:space="preserve"> realizado pela Contabilidade.</t>
    </r>
  </si>
  <si>
    <t>RCL gerada p/ Sistema</t>
  </si>
  <si>
    <t>RCL apurada p/ Contabilidade¹</t>
  </si>
  <si>
    <t>Exercício</t>
  </si>
  <si>
    <t>10º Exercício</t>
  </si>
  <si>
    <t>20º Exercício</t>
  </si>
  <si>
    <t>35º Exercício</t>
  </si>
  <si>
    <t>PROJEÇÃO ATUARIAL DOS REGIMES DE PREVIDÊNCIA</t>
  </si>
  <si>
    <t>Plano Previdênciário</t>
  </si>
  <si>
    <t>Receitas Previdenciárias</t>
  </si>
  <si>
    <t>Despesas Previdenciárias</t>
  </si>
  <si>
    <t>Plano Financeiro</t>
  </si>
  <si>
    <t>RECEITAS DE OPERAÇÕES DE CRÉDITO E DESPESAS DE CAPITAL</t>
  </si>
  <si>
    <t>Valor apurado até o bimestre</t>
  </si>
  <si>
    <t>Saldo Não Realizado</t>
  </si>
  <si>
    <t>Receitas de Operações de Crédito</t>
  </si>
  <si>
    <t>Despesas de Capital Líquida</t>
  </si>
  <si>
    <t>RECEITAS DA ALIENAÇÃO DE ATIVOS E APLICAÇÃO DOS RECURSOS</t>
  </si>
  <si>
    <t>Receitas Da Alienação de Ativos</t>
  </si>
  <si>
    <t>Aplicação dos Recursos da Alienação de Ativos</t>
  </si>
  <si>
    <t>Valor apurado no Exercício</t>
  </si>
  <si>
    <t>Saldo a Realizar</t>
  </si>
  <si>
    <t>Valor de execução obrigatória de emendas parlamentárias para 2023</t>
  </si>
  <si>
    <t>das Individuais</t>
  </si>
  <si>
    <t>das de Bancada</t>
  </si>
  <si>
    <t>Observação:</t>
  </si>
  <si>
    <t>RCL realizada no exercício anterior:</t>
  </si>
  <si>
    <t>¹Receita Corrente Líquida Ajustada para Cálculo dos Limites da Despesa c/ Pessoal</t>
  </si>
  <si>
    <t>PREFEITURA MUNICIPAL DE CACAPAVA DO SUL - RS  -  PODER EXECUTIVO</t>
  </si>
  <si>
    <t>DEMONSTRATIVO SIMPLIFICADO DO RELATÓRIO DE GESTÃO FISCAL</t>
  </si>
  <si>
    <t>LRF, Art. 48 - Anexo 6</t>
  </si>
  <si>
    <t>RECEITA CORRENTE LÍQUIDA</t>
  </si>
  <si>
    <t>VALOR ATÉ O QUADRIMESTRE/SEMESTRE</t>
  </si>
  <si>
    <t>Receita Corrente líquida</t>
  </si>
  <si>
    <t>Receita Corrente Líquida Ajustada para Cálculo dos Limites de Endividamento</t>
  </si>
  <si>
    <t>Receita Corrente Líquida Ajustada para Cálculo dos Limites da Despesa com Pessoal</t>
  </si>
  <si>
    <t>DESPESA COM PESSOAL</t>
  </si>
  <si>
    <t>VALOR</t>
  </si>
  <si>
    <t>% SOBRE A RCL AJUSTADA</t>
  </si>
  <si>
    <t>Despesa Total com Pessoal DTP</t>
  </si>
  <si>
    <t>Limite Máximo (incisos I,II e III, art. 20 da LRF) - 54,00%</t>
  </si>
  <si>
    <t>Limite Prudencial (§ único, art. 22 da LRF) - 51,30%</t>
  </si>
  <si>
    <t>Limite de Alerta (inciso II do §1º do art. 59 da LRF) - 48,60%</t>
  </si>
  <si>
    <t>VALOR ATÉ O QUADRIMESTRE DE REFERÊNCIA</t>
  </si>
  <si>
    <t>Dívida Consolidada Líquida</t>
  </si>
  <si>
    <t>Limite Definido por Resolução do Senado Federal</t>
  </si>
  <si>
    <t>GARANTIAS DE VALORES</t>
  </si>
  <si>
    <t>Total das Garantias Concedidas</t>
  </si>
  <si>
    <t>OPERAÇÕES DE CRÉDITO</t>
  </si>
  <si>
    <t>Operações de Crédito Internas e Externas</t>
  </si>
  <si>
    <t>Limite Definido pelo Senado Federal para Operações de</t>
  </si>
  <si>
    <t>Crédito Externas e Internas</t>
  </si>
  <si>
    <t>Operações de Crédito por Antecipação da Receita</t>
  </si>
  <si>
    <t>Crédito por Antecipação da Receita</t>
  </si>
  <si>
    <t>RESTOS A PAGAR</t>
  </si>
  <si>
    <t>RESTOS A PAGAR EMPENHADOS E NÃO LIQUIDADOS DO EXERCÍCIO</t>
  </si>
  <si>
    <t>DISPONIBILIDADE DE CAIXA LÍQUIDA (APÓS A INSCRIÇÃO EM RESTOS A PAGAR NÃO PROCESSADOS DO EXERCÍCIO)</t>
  </si>
  <si>
    <t>Valor Total</t>
  </si>
  <si>
    <t>Pagos/Cancel:</t>
  </si>
  <si>
    <t>5.629.528,18</t>
  </si>
  <si>
    <t>17.239.673,64</t>
  </si>
  <si>
    <t>1.096.690,60</t>
  </si>
  <si>
    <t>525.935,16</t>
  </si>
  <si>
    <t>DESPESAS DE CAPITAL</t>
  </si>
  <si>
    <t>RP PROCESSADOS - INSCRIÇÃO NO EXERCÍCIO</t>
  </si>
  <si>
    <t>1.7.1.3.50.3.1.04</t>
  </si>
  <si>
    <t>1º Bimentre</t>
  </si>
  <si>
    <t>Ano: 2023</t>
  </si>
  <si>
    <t>Anos:/Supleme</t>
  </si>
  <si>
    <t>ANEXO III - CRONOGRAMA DE REEMBOLSO E DESEMBOLSO AO MÊS PARA 2023</t>
  </si>
  <si>
    <t>EXERCÍCIO DE 2023</t>
  </si>
  <si>
    <t>ANEXO II DO CRONOGRAMA DE DESEMBOLSO PARA 2023</t>
  </si>
  <si>
    <t>RECEITA/2023</t>
  </si>
  <si>
    <t>CRONOGRAMA DE DESEMBOLSO POR ORGÃO PARA O EXERCÍCIO DE 2023</t>
  </si>
  <si>
    <t>DESPESA REALIZADO POR BIMESTRE NA SAÚDE  EM 2.023</t>
  </si>
  <si>
    <t>COMPARATIVO DA DESPESA PREVISTA COM A REALIZADA MÊS NO EXERCÍCIO DE 2.023</t>
  </si>
  <si>
    <t>DESPESA REALIZADO POR BIMESTRE NA EDUCAÇÃO EM 2.023</t>
  </si>
  <si>
    <t>7.2.1.5.02.1.1.02</t>
  </si>
  <si>
    <t>7.2.1.5.02.1.3.02</t>
  </si>
  <si>
    <t>7.2.1.5.50.1.1.02</t>
  </si>
  <si>
    <t>Variação dos saldos:</t>
  </si>
  <si>
    <t>189.246.719,66</t>
  </si>
  <si>
    <t>RECEITAS CORRENTES</t>
  </si>
  <si>
    <t>189.131.998,70</t>
  </si>
  <si>
    <t>IMPOSTOS, TAXAS E CONTRIBUIÇÕES DE MELHORIA</t>
  </si>
  <si>
    <t>19.859.945,64</t>
  </si>
  <si>
    <t>Impostos</t>
  </si>
  <si>
    <t>18.633.280,21</t>
  </si>
  <si>
    <t>Taxas</t>
  </si>
  <si>
    <t>1.225.690,17</t>
  </si>
  <si>
    <t>Contribuição de Melhoria</t>
  </si>
  <si>
    <t>975,26</t>
  </si>
  <si>
    <t>CONTRIBUIÇÕES</t>
  </si>
  <si>
    <t>10.754.571,21</t>
  </si>
  <si>
    <t>Contribuições Sociais</t>
  </si>
  <si>
    <t>9.471.291,35</t>
  </si>
  <si>
    <t>Contribuição para o Custeio do Serviço de Iluminação Pública</t>
  </si>
  <si>
    <t>1.283.279,86</t>
  </si>
  <si>
    <t>280.057,32</t>
  </si>
  <si>
    <t>21,82</t>
  </si>
  <si>
    <t>1.003.222,54</t>
  </si>
  <si>
    <t>RECEITA PATRIMONIAL</t>
  </si>
  <si>
    <t>4.063.837,31</t>
  </si>
  <si>
    <t>Exploração do Patrimônio Imobiliário do Estado</t>
  </si>
  <si>
    <t>Valores Mobiliários</t>
  </si>
  <si>
    <t>2.780.557,45</t>
  </si>
  <si>
    <t>Cessão de Direitos</t>
  </si>
  <si>
    <t>RECEITA AGROPECUÁRIA</t>
  </si>
  <si>
    <t>72.066,32</t>
  </si>
  <si>
    <t>RECEITA DE SERVIÇOS</t>
  </si>
  <si>
    <t>1.715.512,25</t>
  </si>
  <si>
    <t>Serviços e Atividades referentes à Saúde</t>
  </si>
  <si>
    <t>432.232,39</t>
  </si>
  <si>
    <t>Serviços e Atividades Financeiras</t>
  </si>
  <si>
    <t>TRANSFERÊNCIAS CORRENTES</t>
  </si>
  <si>
    <t>150.606.266,98</t>
  </si>
  <si>
    <t>Transferências da União e de suas Entidades</t>
  </si>
  <si>
    <t>61.129.900,05</t>
  </si>
  <si>
    <t>Transferências dos Estados e do Distrito Federal e de suas Entidades</t>
  </si>
  <si>
    <t>53.443.692,94</t>
  </si>
  <si>
    <t>Transferências de Outras Instituições Públicas</t>
  </si>
  <si>
    <t>36.032.673,99</t>
  </si>
  <si>
    <t>OUTRAS RECEITAS CORRENTES</t>
  </si>
  <si>
    <t>2.059.798,99</t>
  </si>
  <si>
    <t>Multas Administrativas, Contratuais e Judiciais</t>
  </si>
  <si>
    <t>192.654,40</t>
  </si>
  <si>
    <t>Indenizações, Restituições e Ressarcimentos</t>
  </si>
  <si>
    <t>1.082.771,75</t>
  </si>
  <si>
    <t>Multas e Juros de Mora das Receitas de Capital</t>
  </si>
  <si>
    <t>4.173,84</t>
  </si>
  <si>
    <t>Demais Receitas Correntes</t>
  </si>
  <si>
    <t>780.199,00</t>
  </si>
  <si>
    <t>RECEITAS DE CAPITAL</t>
  </si>
  <si>
    <t>114.720,96</t>
  </si>
  <si>
    <t>Operações de Crédito - Mercado Interno</t>
  </si>
  <si>
    <t>AMORTIZAÇÕES DE EMPRÉSTIMOS</t>
  </si>
  <si>
    <t>4.015,00</t>
  </si>
  <si>
    <t>TRANSFERÊNCIAS DE CAPITAL</t>
  </si>
  <si>
    <t>124.799,04</t>
  </si>
  <si>
    <t>(124.799,04)</t>
  </si>
  <si>
    <t>OUTRAS RECEITAS DE CAPITAL</t>
  </si>
  <si>
    <t>110.703,96</t>
  </si>
  <si>
    <t>Demais Receitas de Capital</t>
  </si>
  <si>
    <t>45.772.471,39</t>
  </si>
  <si>
    <t>235.019.191,05</t>
  </si>
  <si>
    <t>Recursos Arrecadados em Exercícios Anteriores - RPPS</t>
  </si>
  <si>
    <t>Superávit Financeiro Utilizado para Créditos Adicionais</t>
  </si>
  <si>
    <t>169.179.269,60</t>
  </si>
  <si>
    <t>DESPESAS CORRENTES</t>
  </si>
  <si>
    <t>159.682.874,64</t>
  </si>
  <si>
    <t>PESSOAL E ENCARGOS SOCIAIS</t>
  </si>
  <si>
    <t>113.486.668,31</t>
  </si>
  <si>
    <t>JUROS E ENCARGOS DA DÍVIDA</t>
  </si>
  <si>
    <t>606.150,00</t>
  </si>
  <si>
    <t>OUTRAS DESPESAS CORRENTES</t>
  </si>
  <si>
    <t>45.590.056,33</t>
  </si>
  <si>
    <t>9.315.836,92</t>
  </si>
  <si>
    <t>INVESTIMENTOS</t>
  </si>
  <si>
    <t>9.315.073,92</t>
  </si>
  <si>
    <t>INVERSÕES FINANCEIRAS</t>
  </si>
  <si>
    <t>AMORTIZAÇÃO DA DÍVIDA</t>
  </si>
  <si>
    <t>180.558,04</t>
  </si>
  <si>
    <t>49.097.233,02</t>
  </si>
  <si>
    <t>218.276.502,62</t>
  </si>
  <si>
    <t>Amortização da Dívida Interna</t>
  </si>
  <si>
    <t>Amortização da Dívida Externa</t>
  </si>
  <si>
    <t>16.742.688,43</t>
  </si>
  <si>
    <t>45.686.351,71</t>
  </si>
  <si>
    <t>86.119,68</t>
  </si>
  <si>
    <t>76.119,68</t>
  </si>
  <si>
    <t>10.000,00</t>
  </si>
  <si>
    <t>49.096.831,02</t>
  </si>
  <si>
    <t>37.606.575,74</t>
  </si>
  <si>
    <t>301,00</t>
  </si>
  <si>
    <t>11.489.954,28</t>
  </si>
  <si>
    <t>402,00</t>
  </si>
  <si>
    <t xml:space="preserve">Saldo </t>
  </si>
  <si>
    <t>(d/Total d)</t>
  </si>
  <si>
    <t>Página 1 de 5</t>
  </si>
  <si>
    <t>DEMONSTRATIVO DAS RECEITAS E DESPESAS PREVIDENCIÁRIAS</t>
  </si>
  <si>
    <t>ORÇAMENTO FISCAL E DA SEGURIDADE SOCIAL</t>
  </si>
  <si>
    <t>RREO - Anexo 4 (LRF, Art. 53, inciso II)</t>
  </si>
  <si>
    <t>REGIME PRÓPRIO DE PREVIDÊNCIA DOS SERVIDORES - RPPS</t>
  </si>
  <si>
    <t>FUNDO EM CAPITALIZAÇÃO (PLANO PREVIDENCIÁRIO)</t>
  </si>
  <si>
    <t>RECEITAS PREVIDENCIÁRIAS - RPPS (FUNDO EM CAPITALIZAÇÃO)</t>
  </si>
  <si>
    <t>PREVISÃO 
ATUALIZADA
(a)</t>
  </si>
  <si>
    <t>RECEITAS REALIZADAS
Até o Bimestre
(b)</t>
  </si>
  <si>
    <t>RECEITAS CORRENTES (I)</t>
  </si>
  <si>
    <t>53.595.330,64</t>
  </si>
  <si>
    <t>Receita de Contribuições dos Segurados</t>
  </si>
  <si>
    <t>9.116.339,27</t>
  </si>
  <si>
    <t>Ativo</t>
  </si>
  <si>
    <t>7.000.721,81</t>
  </si>
  <si>
    <t>Inativo</t>
  </si>
  <si>
    <t>1.995.936,49</t>
  </si>
  <si>
    <t>Pensionista</t>
  </si>
  <si>
    <t>119.680,97</t>
  </si>
  <si>
    <t>Receita de Contribuições Patronais</t>
  </si>
  <si>
    <t>41.931.551,69</t>
  </si>
  <si>
    <t>30.973.518,94</t>
  </si>
  <si>
    <t>10.316.870,02</t>
  </si>
  <si>
    <t>641.162,73</t>
  </si>
  <si>
    <t>Receita Patrimonial</t>
  </si>
  <si>
    <t>2.450.000,00</t>
  </si>
  <si>
    <t>Receitas Imobiliárias</t>
  </si>
  <si>
    <t>Receitas de Valores Mobiliários</t>
  </si>
  <si>
    <t>Outras Receitas Patrimoniais</t>
  </si>
  <si>
    <t>Receita de Serviços</t>
  </si>
  <si>
    <t>Outras Receitas Correntes</t>
  </si>
  <si>
    <t>97.439,68</t>
  </si>
  <si>
    <t>Compensação Financeira entre os regimes</t>
  </si>
  <si>
    <t>Receitas de Aportes Periódicos para Amortização de Déficit Atuarial do RPPS (II)¹</t>
  </si>
  <si>
    <t>77.439,68</t>
  </si>
  <si>
    <t>RECEITAS DE CAPITAL (III)</t>
  </si>
  <si>
    <t>Alienação de Bens, Direitos e Ativos</t>
  </si>
  <si>
    <t>Amortização de Empréstimos</t>
  </si>
  <si>
    <t>Outras Receitas de Capital</t>
  </si>
  <si>
    <t>TOTAL DAS RECEITAS DO FUNDO EM CAPITALIZAÇÃO - (IV) = (I+III-II)</t>
  </si>
  <si>
    <t>53.585.330,64</t>
  </si>
  <si>
    <t>DESPESAS PREVIDENCIÁRIAS - RPPS (FUNDO EM CAPITALIZAÇÃO)</t>
  </si>
  <si>
    <t>DOTAÇÃO ATUALIZADA
(c)</t>
  </si>
  <si>
    <t>DESPESAS 
EMPENHADAS
Até o Bimestre
(d)</t>
  </si>
  <si>
    <t>DESPESAS 
LIQUIDADAS
Até o Bimestre
(e)</t>
  </si>
  <si>
    <t>DESPESAS 
PAGAS
Até o Bimestre
(f)</t>
  </si>
  <si>
    <t>INSCRITAS EM RESTOS A
PAGAR NÃO PROCESSADOS
No Exercício
(g)</t>
  </si>
  <si>
    <t>Benefícios</t>
  </si>
  <si>
    <t>37.000.265,48</t>
  </si>
  <si>
    <t>Aposentadorias</t>
  </si>
  <si>
    <t>33.019.128,31</t>
  </si>
  <si>
    <t>Pensões por Morte</t>
  </si>
  <si>
    <t>3.981.137,17</t>
  </si>
  <si>
    <t>Outras Despesas Previdenciárias</t>
  </si>
  <si>
    <t>Demais Despesas Previdenciárias</t>
  </si>
  <si>
    <t>TOTAL DAS DESPESAS DO FUNDO EM CAPITALIZAÇÃO (V)</t>
  </si>
  <si>
    <t>RESULTADO PREVIDENCIÁRIO - FUNDO EM CAPITALIZAÇÃO (VI) = (IV – V)²</t>
  </si>
  <si>
    <t>16.585.065,16</t>
  </si>
  <si>
    <t>Página 2 de 5</t>
  </si>
  <si>
    <t>RECURSOS RPPS ARRECADADOS EM EXERCÍCIOS ANTERIORES</t>
  </si>
  <si>
    <t>APORTES DE RECURSOS PARA O FUNDO EM CAPITALIZAÇÃO DO RPPS</t>
  </si>
  <si>
    <t>APORTES REALIZADOS</t>
  </si>
  <si>
    <t>Plano de Amortização - Contribuição Patronal Suplementar</t>
  </si>
  <si>
    <t>Plano de Amortização - Aporte Periódico de Valores Predefinidos</t>
  </si>
  <si>
    <t>Outros Aportes para o RPPS</t>
  </si>
  <si>
    <t>Recursos para Cobertura de Déficit Financeiro</t>
  </si>
  <si>
    <t>BENS E DIREITOS DO RPPS (FUNDO EM CAPITALIZAÇÃO)</t>
  </si>
  <si>
    <t>Caixa e Equivalentes de Caixa</t>
  </si>
  <si>
    <t>Investimentos e Aplicações</t>
  </si>
  <si>
    <t>Outros Bens e Direitos</t>
  </si>
  <si>
    <t>Página 3 de 5</t>
  </si>
  <si>
    <t>FUNDO EM REPARTIÇÃO (PLANO FINANCEIRO)</t>
  </si>
  <si>
    <t>RECEITAS PREVIDENCIÁRIAS - RPPS (FUNDO EM REPARTIÇÃO)</t>
  </si>
  <si>
    <t>RECEITAS CORRENTES (VII)</t>
  </si>
  <si>
    <t>RECEITAS DE CAPITAL (VIII)</t>
  </si>
  <si>
    <t>TOTAL DAS RECEITAS DO FUNDO EM REPARTIÇÃO  (IX) = (VII + VIII)</t>
  </si>
  <si>
    <t>DESPESAS PREVIDENCIÁRIAS - RPPS (FUNDO EM REPARTIÇÃO)</t>
  </si>
  <si>
    <t>DESPESAS 
PAGAS
Até o Bimestre
(e)</t>
  </si>
  <si>
    <t>TOTAL DAS DESPESAS DO FUNDO EM REPARTIÇÃO (X)</t>
  </si>
  <si>
    <t>RESULTADO PREVIDENCIÁRIO - FUNDO EM REPARTIÇÃO (XI) = (IX – X)²</t>
  </si>
  <si>
    <t>Página 4 de 5</t>
  </si>
  <si>
    <t>APORTES DE RECURSOS PARA O FUNDO EM REPARTIÇÃO DO RPPS</t>
  </si>
  <si>
    <t>Recursos para Cobertura de Insuficiências Financeiras</t>
  </si>
  <si>
    <t>Recursos para Formação de Reserva</t>
  </si>
  <si>
    <t>BENS E DIREITOS DO RPPS (FUNDO EM REPARTIÇÃO)</t>
  </si>
  <si>
    <t>ADMINISTRAÇÃO DO REGIME PRÓPRIO DE PREVIDÊNICA DOS SERVIDORES - RPPS</t>
  </si>
  <si>
    <t>RECEITAS DA ADMINISTRAÇÃO - RPPS</t>
  </si>
  <si>
    <t>227.623,27</t>
  </si>
  <si>
    <t>TOTAL DAS RECEITAS DA ADMINISTRAÇÃO RPPS (XII)</t>
  </si>
  <si>
    <t>DESPESAS DA ADMINISTRAÇÃO - RPPS</t>
  </si>
  <si>
    <t>DOTAÇÃO 
ATUALIZADA
(c)</t>
  </si>
  <si>
    <t>Despesas Correntes (XIII)</t>
  </si>
  <si>
    <t>66.520,00</t>
  </si>
  <si>
    <t>Pessoal e Encargos Sociais</t>
  </si>
  <si>
    <t>Demais Despesas Correntes</t>
  </si>
  <si>
    <t>66.510,00</t>
  </si>
  <si>
    <t>Despesas de Capital (XIV)</t>
  </si>
  <si>
    <t>13.480,00</t>
  </si>
  <si>
    <t>TOTAL DAS DESPESAS DA ADMINISTRAÇÃO RPPS (XV) = (XIII + XIV)</t>
  </si>
  <si>
    <t>80.000,00</t>
  </si>
  <si>
    <t>RESULTADO DA ADMINISTRAÇÃO RPPS (XVI) = (XII – XV)²</t>
  </si>
  <si>
    <t>147.623,27</t>
  </si>
  <si>
    <t>BENS E DIREITOS - ADMINISTRAÇÃO DO RPPS</t>
  </si>
  <si>
    <t>BENEFICIOS PREVIDENCIÁRIOS MANTIDOS PELO TESOURO</t>
  </si>
  <si>
    <t>RECEITAS PREVIDENCIÁRIAS (BENEFÍCIOS MANTIDOS PELO TESOURO)</t>
  </si>
  <si>
    <t>Contribuições dos Servidores</t>
  </si>
  <si>
    <t>Demais receitas Previdenciárias</t>
  </si>
  <si>
    <t>TOTAL DAS RECEITAS (BENEFÍCIOS MANTIDOS PELO TESOURO) (XVII)</t>
  </si>
  <si>
    <t>Página 5 de 5</t>
  </si>
  <si>
    <t>DESPESAS PREVIDENCIARIAS (BENEFÍCIOS MANTIDOS PELO TESOURO)</t>
  </si>
  <si>
    <t>Pensões</t>
  </si>
  <si>
    <t>TOTAL DAS DESPESAS (BENEFÍCIOS MANTIDOS PELO TESOURO) (XVIII)</t>
  </si>
  <si>
    <t>RESULTADO DOS BENEFÍCIOS MANTIDOS PELO TESOURO (XIX) = (XVII - XVIII)²</t>
  </si>
  <si>
    <t>1 Como a Portaria MPS 746/2011 determina que os recursos provenientes desses aportes devem permanecer aplicados, no mínimo, por 5 (cinco) anos, essa receita não deverá compor o total das receitas previdenciárias do período de apuração
2 O resultado previdenciário será apresentada por meio da diferença entre previsão da receita e a dotação da despesa e entre a receita realizada e a despesa liquidada (do 1º ao 5º bimestre) e a despesa empenhada (no 6º bimestre)</t>
  </si>
  <si>
    <t>Até o Bimestre/2023</t>
  </si>
  <si>
    <t>RECEITAS CORRENTES (EXCETO FONTES RPPS) (I)</t>
  </si>
  <si>
    <t>Impostos, Taxas e Contribuições de Melhoria</t>
  </si>
  <si>
    <t>3.387.739,85</t>
  </si>
  <si>
    <t>ISS</t>
  </si>
  <si>
    <t>7.166.361,38</t>
  </si>
  <si>
    <t>2.375.922,52</t>
  </si>
  <si>
    <t>5.703.256,46</t>
  </si>
  <si>
    <t>Outros Impostos, Taxas, e Contribuições de Melhoria</t>
  </si>
  <si>
    <t>1.226.665,43</t>
  </si>
  <si>
    <t>Contribuições</t>
  </si>
  <si>
    <t>Aplicações Financeiras (II)</t>
  </si>
  <si>
    <t>Transferências Correntes</t>
  </si>
  <si>
    <t>Cota-Parte do FPM</t>
  </si>
  <si>
    <t>32.326.264,70</t>
  </si>
  <si>
    <t>Cota-Parte do ICMS</t>
  </si>
  <si>
    <t>29.224.870,75</t>
  </si>
  <si>
    <t>Cota-Parte do IPVA</t>
  </si>
  <si>
    <t>5.598.514,75</t>
  </si>
  <si>
    <t>Cota-Parte do ITR</t>
  </si>
  <si>
    <t>967.900,94</t>
  </si>
  <si>
    <t>Transferências da LC 61/1989</t>
  </si>
  <si>
    <t>389.061,67</t>
  </si>
  <si>
    <t>Transferências do FUNDEB</t>
  </si>
  <si>
    <t>Outras Transferências Correntes</t>
  </si>
  <si>
    <t>3.836.057,56</t>
  </si>
  <si>
    <t>Outras Receitas Financeiras (III)</t>
  </si>
  <si>
    <t>1.308.440,94</t>
  </si>
  <si>
    <t>Receitas Correntes Restantes</t>
  </si>
  <si>
    <t>2.527.616,62</t>
  </si>
  <si>
    <t>RECEITAS PRIMÁRIAS CORRENTES (EXCETO FONTES RPPS) (IV) = [I - (II + III)]</t>
  </si>
  <si>
    <t>RECEITAS PRIMÁRIAS CORRENTES (COM FONTES RPPS) (V)</t>
  </si>
  <si>
    <t>RECEITAS NÃO PRIMÁRIAS CORRENTES (COM FONTES RPPS) (VI)</t>
  </si>
  <si>
    <t>2.457.775,33</t>
  </si>
  <si>
    <t>RECEITAS DE CAPITAL (EXCETO FONTES RPPS) (VII)</t>
  </si>
  <si>
    <t>Operações de Crédito (VIII)</t>
  </si>
  <si>
    <t>Amortização de Empréstimos (IX)</t>
  </si>
  <si>
    <t>Alienação de Bens</t>
  </si>
  <si>
    <t>Receitas de Alienação de Investimentos Temporários (X)</t>
  </si>
  <si>
    <t>Receitas de Alienação de Investimentos Permanentes (XI)</t>
  </si>
  <si>
    <t>Outras Alienações de Bens</t>
  </si>
  <si>
    <t>Transferências de Capital</t>
  </si>
  <si>
    <t>Convênios</t>
  </si>
  <si>
    <t>Outras Transferências de Capital</t>
  </si>
  <si>
    <t>Outras Receitas de Capital Não Primárias (XII)</t>
  </si>
  <si>
    <t>Outras Receitas de Capital Primárias</t>
  </si>
  <si>
    <t>RECEITAS PRIMÁRIAS DE CAPITAL (EXCETO FONTES RPPS) (XIII) = [VII - (VIII + IX + X + XI + XII)]</t>
  </si>
  <si>
    <t>RECEITAS PRIMÁRIAS DE CAPITAL (COM FONTES RPPS) (XIV)</t>
  </si>
  <si>
    <t>RECEITAS NÃO PRIMÁRIAS DE CAPITAL (COM FONTES RPPS) (XV)</t>
  </si>
  <si>
    <t>RECEITA PRIMÁRIA TOTAL (XVI) = (IV + V + XIII + XIV)</t>
  </si>
  <si>
    <t>RECEITA PRIMÁRIA TOTAL (EXCETO FONTES RPPS) (XVII) = (IV + XIII)</t>
  </si>
  <si>
    <t>DESPESAS CORRENTES (EXCETO FONTES RPPS) (XVIII)</t>
  </si>
  <si>
    <t>402.541,35</t>
  </si>
  <si>
    <t>Juros e Encargos da Dívida (XIX)</t>
  </si>
  <si>
    <t>606.451,00</t>
  </si>
  <si>
    <t>Outras Despesas Correntes</t>
  </si>
  <si>
    <t>DESPESAS PRIMÁRIAS CORRENTES (EXCETO FONTES RPPS) (XX) = (XVIII - XIX)</t>
  </si>
  <si>
    <t>DESPESAS PRIMÁRIAS CORRENTES (COM FONTES RPPS) (XXI)</t>
  </si>
  <si>
    <t>37.066.785,48</t>
  </si>
  <si>
    <t>4.008,39</t>
  </si>
  <si>
    <t>DESPESAS NÃO PRIMÁRIAS CORRENTES (COM FONTES RPPS) (XXII)</t>
  </si>
  <si>
    <t>DESPESAS DE CAPITAL (EXCETO FONTES RPPS) (XXIII)</t>
  </si>
  <si>
    <t>252,00</t>
  </si>
  <si>
    <t>Concessão de Empréstimos e Financiamentos (XXIV)</t>
  </si>
  <si>
    <t>Aquisição de Título de Capital já Integralizado (XXV)</t>
  </si>
  <si>
    <t>Aquisição de Título de Crédito (XXVI)</t>
  </si>
  <si>
    <t>Demais Inversões Financeiras</t>
  </si>
  <si>
    <t>Amortização da Dívida (XXVII)</t>
  </si>
  <si>
    <t>913,00</t>
  </si>
  <si>
    <t>DESPESAS PRIMÁRIAS DE CAPITAL (EXCETO FONTES RPPS) (XXVIII) = [XXIII - (XXIV + XXV + XXVI + XXVII)]</t>
  </si>
  <si>
    <t>RESERVA DE CONTINGÊNCIA (XXIX)</t>
  </si>
  <si>
    <t>DESPESAS PRIMÁRIAS DE CAPITAL (COM FONTES RPSS) (XXX)</t>
  </si>
  <si>
    <t>DESPESAS NÃO PRIMÁRIAS DE CAPITAL (COM FONTES RPPS) (XXXI)</t>
  </si>
  <si>
    <t>DESPESA PRIMÁRIA TOTAL (XXXII) = (XX + XXI + XXVIII + XXIX + XXX)</t>
  </si>
  <si>
    <t>DESPESA PRIMÁRIA TOTAL (EXCETO FONTES RPPS) (XXXIII) = (XX + XXVIII + XXIX)</t>
  </si>
  <si>
    <t>RESULTADO PRIMÁRIO (COM RPPS) - Acima da Linha (XXXIV) = [XVIa - (XXXIIa + XXXIIb + XXXIIc)]</t>
  </si>
  <si>
    <t>RESULTADO PRIMÁRIO (SEM RPPS) - Acima da Linha (XXXV) = [XVIIa - (XXXIIIa + XXXIIIb + XXXIIIc)]</t>
  </si>
  <si>
    <t>-34.174.904,47</t>
  </si>
  <si>
    <t>Juros, Encargos e Variações Monetárias Ativos (XXXVI)</t>
  </si>
  <si>
    <t>Juros, Encargos e Variações Monetárias Passivos (XXXVII)</t>
  </si>
  <si>
    <t>RESULTADO NOMINAL (SEM RPPS) - Acima da Linha (XXXVIII) =  XXXV + (XXXVI - XXXVII)</t>
  </si>
  <si>
    <t>Em 31/Dez/2022</t>
  </si>
  <si>
    <t>DÍVIDA CONSOLIDADA (XXIX)</t>
  </si>
  <si>
    <t>DEDUÇÕES (XL)</t>
  </si>
  <si>
    <t>Disponibilidade de Caixa</t>
  </si>
  <si>
    <t>(-) Restos a Pagar Processados (XLI)</t>
  </si>
  <si>
    <t>534.142,74</t>
  </si>
  <si>
    <t>DÍVIDA CONSOLIDADA LÍQUIDA (XLII) = (XXXIX - XL)</t>
  </si>
  <si>
    <t>RESULTADO NOMINAL (SEM RPPS) - Abaixo da Linha (XLIII) = (XLIIa - XLIIb)</t>
  </si>
  <si>
    <t>Meta fixada no Anexo de Metas Fiscais da LDO para o exercício</t>
  </si>
  <si>
    <t>RECEITA DE ALIENAÇÃO DE INVESTIMENTOS PERMANENTES (XLV) = (XI)</t>
  </si>
  <si>
    <t>VARIAÇÃO CAMBIAL (XLVI)</t>
  </si>
  <si>
    <t>VARIAÇÃO DO SALDO DE PRECATÓRIOS INTEGRANTES DA DC (XLVII)</t>
  </si>
  <si>
    <t>VARIAÇÃO DO SALDO DAS DEMAIS OBRIGAÇÕES INTEGRANTES DA DC (XLVIII)</t>
  </si>
  <si>
    <t>OUTROS AJUSTES (XLXIX)</t>
  </si>
  <si>
    <t>RESULTADO PRIMÁRIO (SEM RPPS) - Abaixo da Linha (LI) = (L) - (XXXVI - XXXVII)</t>
  </si>
  <si>
    <t>Superávit Financeiro Utilizado para Abertura e Reabertura de Créditos Adicionais</t>
  </si>
  <si>
    <t>dezembro de 2022</t>
  </si>
  <si>
    <t xml:space="preserve">                               __________________________________     __________________________________     __________________________________          </t>
  </si>
  <si>
    <t xml:space="preserve">                                          GIOVANI AMESTOY DA SILVA                 IHOKO NAKASHIMA MOTA                    ARLEI LOPES SOUZA                   </t>
  </si>
  <si>
    <t xml:space="preserve">                                                                                                                                                            PREFEITO MUNICIPAL             SECRETARIA DE MUNICIPIO DA FAZENDA               610.320.420-87                    </t>
  </si>
  <si>
    <t xml:space="preserve">                                                         CPF: 009.854.830-16                        CPF: 390.226.680-53                      CONTADOR: RS-068452/O-6               </t>
  </si>
  <si>
    <t>RP PROCESSADOS - EXERCÍCIOS ANTERIORES</t>
  </si>
  <si>
    <t>RP NÃO PROCESSADOS - EXERCÍCIOS ANTERIORES</t>
  </si>
  <si>
    <t xml:space="preserve"> 5.3.1.2.0</t>
  </si>
  <si>
    <t xml:space="preserve"> 5.3.2.2.0</t>
  </si>
  <si>
    <t xml:space="preserve"> 6.3.2.7.0</t>
  </si>
  <si>
    <t>1.1.1.2.50</t>
  </si>
  <si>
    <t>1.1.1.2.53</t>
  </si>
  <si>
    <t>1.1.1.3.03</t>
  </si>
  <si>
    <t>1.7.2.1.52</t>
  </si>
  <si>
    <t>1.7.5.1.50</t>
  </si>
  <si>
    <t>NÍVEL:</t>
  </si>
  <si>
    <t>1.1.1.4.51.1</t>
  </si>
  <si>
    <t>1.7.1.1.51.1.1</t>
  </si>
  <si>
    <t>1.7.1.1.51.2.1</t>
  </si>
  <si>
    <t>Cota Extra FPM</t>
  </si>
  <si>
    <t>1.7.1.1.52.0.1</t>
  </si>
  <si>
    <t>1.7.2.1.50.0.1</t>
  </si>
  <si>
    <t>1.7.2.1.51.01</t>
  </si>
  <si>
    <t>1540-FUNDEB</t>
  </si>
  <si>
    <t>1500 - MDE</t>
  </si>
  <si>
    <t>1500 - ASPS</t>
  </si>
  <si>
    <t>Empenhos Restos em 31/12/2022</t>
  </si>
  <si>
    <t>Recursos não Vinculados de Impostos</t>
  </si>
  <si>
    <t>Outros Recursos não Vinculados</t>
  </si>
  <si>
    <t>Transferências do FUNDEB - Impostos e Transferências de Impostos</t>
  </si>
  <si>
    <t>Transferências do FUNDEB - Complementação da União - VAAR</t>
  </si>
  <si>
    <t>Transferência do Salário-Educação</t>
  </si>
  <si>
    <t>Transferências de Recursos do FNDE referentes ao Programa Dinheiro Direto na Escola (PDDE)</t>
  </si>
  <si>
    <t>Transferências de Recursos do FNDE referentes ao Programa Nacional de Alimentação Escolar (PNAE)</t>
  </si>
  <si>
    <t>Transferências de Recursos do FNDE Referentes ao Programa Nacional de Apoio ao Transporte Escolar (PNATE)</t>
  </si>
  <si>
    <t>Outras Transferências de Recursos do FNDE</t>
  </si>
  <si>
    <t>Transferências do Governo Federal referentes a Convênios e Instrumentos Congêneres vinculados à Educação</t>
  </si>
  <si>
    <t>Transferências do Estado referentes a Convênios e Instrumentos Congêneres vinculados à Educação</t>
  </si>
  <si>
    <t>Outros Recursos Vinculados à Educação</t>
  </si>
  <si>
    <t>Transferências Fundo a Fundo de Recursos do SUS provenientes do Governo Federal - Bloco de Manutenção das Ações e Serviços Públicos de Saúde</t>
  </si>
  <si>
    <t>Transferências Fundo a Fundo de Recursos do SUS provenientes do Governo Federal - Bloco de Estruturação da Rede de Serviços Públicos de Saúde</t>
  </si>
  <si>
    <t>Transfen. Fundo a Fundo Recursos SUS - Governo Federal - Bloco de Manutenção das Ações e Serviços Públicos de Saúde –  COVID-19 no bojo da ação 21C0.</t>
  </si>
  <si>
    <t>Transfen. Fundo a Fundo Recursos SUS - Governo Federal - Bloco de Estruturação da Rede de Serviços Públicos de Saúde –  COVID-19 no bojo da ação 21C0.</t>
  </si>
  <si>
    <t>Transferências provenientes do Governo Federal destinadas ao vencimento dos agentes comunitários de saúde e dos agentes de combate às endemias</t>
  </si>
  <si>
    <t>Transferências Fundo a Fundo de Recursos do SUS provenientes do Governo Estadual</t>
  </si>
  <si>
    <t>Transferências do Estado referentes a Convênios e Instrumentos Congêneres vinculados à Saúde</t>
  </si>
  <si>
    <t>Outros Recursos Vinculados à Saúde</t>
  </si>
  <si>
    <t>Transferência de Recursos do Fundo Nacional de Assistência Social - FNAS</t>
  </si>
  <si>
    <t>Transferência de Recursos dos Fundos Estaduais de Assistência Social</t>
  </si>
  <si>
    <t>Outros Recursos Vinculados à Assistência Social</t>
  </si>
  <si>
    <t>Outras Transferências de Convênios ou Instrumentos Congêneres da União</t>
  </si>
  <si>
    <t>Outras Transferências de Convênios ou Instrumentos Congêneres dos Estados</t>
  </si>
  <si>
    <t>Transferência da União Referente a Royalties do Petróleo e Gás Natural</t>
  </si>
  <si>
    <t>Transferência Especial da União</t>
  </si>
  <si>
    <t>Transferência da União Referente à Compensação Financeira de Recursos Minerais</t>
  </si>
  <si>
    <t>Transferência Especial dos Estados</t>
  </si>
  <si>
    <t>Outras vinculações de transferências</t>
  </si>
  <si>
    <t>Recursos da Contribuição de Intervenção no Domínio Econômico - CIDE</t>
  </si>
  <si>
    <t>Recursos da Contribuição para o Custeio do Serviço de Iluminação Pública - COSIP</t>
  </si>
  <si>
    <t>Recursos Vinculados ao Trânsito</t>
  </si>
  <si>
    <t>Recursos provenientes de taxas e contribuições</t>
  </si>
  <si>
    <t>Recursos Vinculados a Fundos</t>
  </si>
  <si>
    <t>Recursos Vinculados ao RPPS - Fundo em Capitalização (Plano Previdenciário)</t>
  </si>
  <si>
    <t>Recursos Vinculados ao RPPS - Taxa de Administração</t>
  </si>
  <si>
    <t>Outros Recursos Extraorçamentários</t>
  </si>
  <si>
    <t>2º Bimentre</t>
  </si>
  <si>
    <t>2º Semestre</t>
  </si>
  <si>
    <t>EXERCICIO DE 2023</t>
  </si>
  <si>
    <t>Fonte: Relatório Consolidado da "Situacao de Empenhos de Restos a Pagar por Orgãos -  Posicão até Abril/23"</t>
  </si>
  <si>
    <t>RP PROCESSADOS A PAGAR</t>
  </si>
  <si>
    <t>RP PROCESSADOS PAGOS</t>
  </si>
  <si>
    <t xml:space="preserve"> 6.3.2.1.0</t>
  </si>
  <si>
    <t xml:space="preserve"> 6.3.2.2.0</t>
  </si>
  <si>
    <t xml:space="preserve"> 6.3.1.3.0</t>
  </si>
  <si>
    <t>RP NÃO PROCESSADOS LIQUIDADOS A PAGAR + Cta. 3115</t>
  </si>
  <si>
    <t>0,07</t>
  </si>
  <si>
    <t>0,01</t>
  </si>
  <si>
    <t>975,19</t>
  </si>
  <si>
    <t>2.610.000,06</t>
  </si>
  <si>
    <t>(2.610.000,06)</t>
  </si>
  <si>
    <t>181.091,00</t>
  </si>
  <si>
    <t>232.587,50</t>
  </si>
  <si>
    <t>337.159,06</t>
  </si>
  <si>
    <t xml:space="preserve">               GIOVANI AMESTOY DA SILVA                 IHOKO NAKASHIMA MOTA                    ARLEI LOPES SOUZA                   </t>
  </si>
  <si>
    <t xml:space="preserve">                  PREFEITO MUNICIPAL             SECRETARIA DE MUNICIPIO DA FAZENDA               610.320.420-87                    </t>
  </si>
  <si>
    <t xml:space="preserve">                  CPF: 009.854.830-16                    CPF: 390.226.680-53                  CONTADOR: RS-068452/O-6               </t>
  </si>
  <si>
    <t>Página 1 de 6</t>
  </si>
  <si>
    <t>DEMONSTRATIVO DAS RECEITAS E DESPESAS COM MANUTENÇÃO E DESENVOLVIMENTO DO ENSINO - MDE</t>
  </si>
  <si>
    <t>RREO - Anexo 8 (LDB,art. 72)</t>
  </si>
  <si>
    <t>RECEITA RESULTANTE DE IMPOSTOS (Arts. 212 e 212-A da Constituição Federal)</t>
  </si>
  <si>
    <t>RECEITA RESULTANTE DE IMPOSTOS</t>
  </si>
  <si>
    <t>1- RECEITA DE IMPOSTOS</t>
  </si>
  <si>
    <t>1.1- Receita Resultante do Imposto sobre a Propriedade Predial e Territorial Urbana – IPTU</t>
  </si>
  <si>
    <t>1.2- Receita Resultante do Imposto sobre Transmissão Inter Vivos – ITBI</t>
  </si>
  <si>
    <t>1.3- Receita Resultante do Imposto sobre Serviços de Qualquer Natureza – ISS</t>
  </si>
  <si>
    <t>1.4- Receita Resultante do Imposto de Renda Retido na Fonte – IRRF</t>
  </si>
  <si>
    <t>2- RECEITA DE TRANSFERÊNCIAS CONSTITUCIONAIS E LEGAIS</t>
  </si>
  <si>
    <t>85.004.282,57</t>
  </si>
  <si>
    <t>2.1- Cota-Parte FPM</t>
  </si>
  <si>
    <t>39.778.847,43</t>
  </si>
  <si>
    <t>2.1.1- Parcela referente à CF, art. 159, I, alínea b</t>
  </si>
  <si>
    <t>37.262.913,64</t>
  </si>
  <si>
    <t>2.1.2- Parcela referente à CF, art. 159, I, alíneas d e e</t>
  </si>
  <si>
    <t>2.515.933,79</t>
  </si>
  <si>
    <t>2.2- Cota-Parte ICMS</t>
  </si>
  <si>
    <t>36.531.088,44</t>
  </si>
  <si>
    <t>2.3- Cota-Parte IPI-Exportação</t>
  </si>
  <si>
    <t>486.327,09</t>
  </si>
  <si>
    <t>2.4- Cota-Parte ITR</t>
  </si>
  <si>
    <t>1.209.876,17</t>
  </si>
  <si>
    <t>2.5- Cota-Parte IPVA</t>
  </si>
  <si>
    <t>6.998.143,44</t>
  </si>
  <si>
    <t>2.6- Cota-Parte IOF-Ouro</t>
  </si>
  <si>
    <t>2.7- Outras Transferências ou Compensações Financeiras Provenientes de Impostos e Transferências Constitucionais</t>
  </si>
  <si>
    <t>3- TOTAL DA RECEITA RESULTANTE DE IMPOSTOS (1 + 2)</t>
  </si>
  <si>
    <t>103.637.562,78</t>
  </si>
  <si>
    <t>4- TOTAL DESTINADO AO FUNDEB - equivalente a 20% DE ((2.1.1) + (2.2) + (2.3) + (2.4) + (2.5) + (2.7))</t>
  </si>
  <si>
    <t>16.497.669,76</t>
  </si>
  <si>
    <t>5- VALOR MÍNIMO A SER APLICADO ALÉM DO VALOR DESTINADO AO FUNDEB - 5% DE ((2.1.1) + (2.2) + (2.3) + (2.4) + (2.5) + (2.7)) + 25% DE ((1.1) + (1.2) + (1.3) + (1.4) + (2.1.2) + (2.6))</t>
  </si>
  <si>
    <t>9.411.720,94</t>
  </si>
  <si>
    <t>RECEITAS DO FUNDEB RECEBIDAS NO EXERCÍCIO</t>
  </si>
  <si>
    <t>6- TOTAL DAS RECEITAS DO FUNDEB RECEBIDAS</t>
  </si>
  <si>
    <t>36.042.779,42</t>
  </si>
  <si>
    <t>6.1- FUNDEB - Impostos e Transferências de Impostos</t>
  </si>
  <si>
    <t>6.1.1- Principal</t>
  </si>
  <si>
    <t>6.1.2- Rendimentos de Aplicação Financeira</t>
  </si>
  <si>
    <t>10.105,43</t>
  </si>
  <si>
    <t>6.1.3- Ressarcimento de recursos do Fundeb</t>
  </si>
  <si>
    <t>6.2- FUNDEB - Complementação da União - VAAF</t>
  </si>
  <si>
    <t>6.2.1- Principal</t>
  </si>
  <si>
    <t>6.2.2- Rendimentos de Aplicação Financeira</t>
  </si>
  <si>
    <t>6.2.3- Ressarcimento de recursos do Fundeb</t>
  </si>
  <si>
    <t>6.3- FUNDEB - Complementação da União - VAAT</t>
  </si>
  <si>
    <t>6.3.1- Principal</t>
  </si>
  <si>
    <t>6.3.2- Rendimentos de Aplicação Financeira</t>
  </si>
  <si>
    <t>6.3.3- Ressarcimento de recursos do Fundeb</t>
  </si>
  <si>
    <t>Página 2 de 6</t>
  </si>
  <si>
    <t>6.4- FUNDEB - Complementação da União - VAAR</t>
  </si>
  <si>
    <t>6.4.1- Principal</t>
  </si>
  <si>
    <t>6.4.2- Rendimentos de Aplicação Financeira</t>
  </si>
  <si>
    <t>6.4.3- Ressarcimento de recursos do Fundeb</t>
  </si>
  <si>
    <t>7- RESULTADO LÍQUIDO DAS TRANSFERÊNCIAS DO FUNDEB (6.1.1 – 4)¹</t>
  </si>
  <si>
    <t>19.535.004,23</t>
  </si>
  <si>
    <t>RECURSOS RECEBIDOS EM EXERCÍCIOS ANTERIORES E NÃO UTILIZADOS (SUPERÁVIT)</t>
  </si>
  <si>
    <t>8- TOTAL DOS RECURSOS DE SUPERÁVIT</t>
  </si>
  <si>
    <t>8.1- SUPERÁVIT DO EXERCÍCIO IMEDIATAMENTE ANTERIOR</t>
  </si>
  <si>
    <t>8.2- SUPERÁVIT RESIDUAL DE OUTROS EXERCÍCIOS</t>
  </si>
  <si>
    <t>9- TOTAL DOS RECURSOS DO FUNDEB DISPONÍVEIS PARA UTILIZAÇÃO (6 + 8)</t>
  </si>
  <si>
    <t>DESPESAS COM RECURSOS DO FUNDEB         
(Por Subfunção)</t>
  </si>
  <si>
    <t>INSCRITAS EM RESTOS A
PAGAR NÃO PROCESSADOS
(g)</t>
  </si>
  <si>
    <t>10- TOTAL DAS DESPESAS COM RECURSOS DO FUNDEB</t>
  </si>
  <si>
    <t>10.1- PROFISSIONAIS DA EDUCAÇÃO BÁSICA</t>
  </si>
  <si>
    <t>10.1.1 - Educação Infantil</t>
  </si>
  <si>
    <t>10.1.2 - Ensino Fundamental</t>
  </si>
  <si>
    <t>10.1.3 - Educação de Jovens e Adultos</t>
  </si>
  <si>
    <t>287.356,35</t>
  </si>
  <si>
    <t>10.1.4 - Educação Especial</t>
  </si>
  <si>
    <t>1.083.685,56</t>
  </si>
  <si>
    <t>10.1.5 - Administração Geral</t>
  </si>
  <si>
    <t>10.2- OUTRAS DESPESAS</t>
  </si>
  <si>
    <t>10.2.1 - Educação Infantil</t>
  </si>
  <si>
    <t>297.250,34</t>
  </si>
  <si>
    <t>10.2.2 - Ensino Fundamental</t>
  </si>
  <si>
    <t>10.2.3 - Educação de Jovens e Adultos</t>
  </si>
  <si>
    <t>10.500,00</t>
  </si>
  <si>
    <t>10.2.4 - Educação Especial</t>
  </si>
  <si>
    <t>10.920,00</t>
  </si>
  <si>
    <t>10.2.5 - Administração Geral</t>
  </si>
  <si>
    <t>10.2.6 - Transporte (Escolar)</t>
  </si>
  <si>
    <t>10.2.7 - Outras</t>
  </si>
  <si>
    <t>INDICADORES DO FUNDEB</t>
  </si>
  <si>
    <t>DESPESAS CUSTEADAS COM RECEITAS DO FUNDEB RECEBIDAS NO EXERCÍCIO</t>
  </si>
  <si>
    <t>INSCRITAS EM RESTOS
A PAGAR 
NÃO PROCESSADOS
(g)</t>
  </si>
  <si>
    <t>INSCRITAS EM RESTOS A PAGAR NÃO PROCESSADOS (SEM DISPONIBILIDADE DE CAIXA)⁷
(h)</t>
  </si>
  <si>
    <t>11- TOTAL DAS DESPESAS CUSTEADAS COM RECURSOS DO FUNDEB RECEBIDAS NO EXERCÍCIO</t>
  </si>
  <si>
    <t>11.1- Total das Despesas custeadas com FUNDEB - Impostos e Transferências de Impostos</t>
  </si>
  <si>
    <t>11.2- Total das Despesas custeadas com FUNDEB - Complementação da União - VAAF</t>
  </si>
  <si>
    <t>11.3- Total das Despesas custeadas com FUNDEB - Complementação da União - VAAT</t>
  </si>
  <si>
    <t>Página 3 de 6</t>
  </si>
  <si>
    <t>11.4- Total das Despesas custeadas com FUNDEB - Complementação da União - VAAR</t>
  </si>
  <si>
    <t>12- TOTAL DAS DESPESAS DO FUNDEB COM PROFISSIONAIS DA EDUCAÇÃO BÁSICA</t>
  </si>
  <si>
    <t>13- TOTAL DAS DESPESAS CUSTEADAS COM FUNDEB - COMPLEMENTAÇÃO DA UNIÃO - VAAT APLICADAS NA EDUCAÇÃO INFANTIL</t>
  </si>
  <si>
    <t>14- TOTAL DAS DESPESAS CUSTEADAS COM FUNDEB - COMPLEMENTAÇÃO DA UNIÃO - VAAT APLICADAS EM DESPESA DE CAPITAL</t>
  </si>
  <si>
    <t>INDICADORES - Art. 212-A, inciso XI e § 3º - Constituição Federal²</t>
  </si>
  <si>
    <t>VALOR EXIGIDO
(j)</t>
  </si>
  <si>
    <t>VALOR APLICADO
(k)</t>
  </si>
  <si>
    <t>VALOR CONSIDERADO
APÓS DEDUÇÕES
(l)</t>
  </si>
  <si>
    <t>% APLICADO
(m)</t>
  </si>
  <si>
    <t>15- Mínimo de 70% do FUNDEB na Remuneração dos Profissionais da Educação Básica</t>
  </si>
  <si>
    <t>16- Percentual de 50% da Complementação da União ao FUNDEB (VAAT) na Educação Infantil</t>
  </si>
  <si>
    <t>17- Mínimo de 15% da Complementação da União ao FUNDEB - VAAT em Despesas de Capital</t>
  </si>
  <si>
    <t>INDICADOR - Art.25, § 3º - Lei nº 14.113, de 2020 - (Máximo de 10% de Superávit)³</t>
  </si>
  <si>
    <t>VALOR MAXIMO PERMITIDO
(n)</t>
  </si>
  <si>
    <t>VALOR NÃO APLICADO
(o)</t>
  </si>
  <si>
    <t>VALOR NÃO APLICADO APÓS 
AJUSTE
(p)</t>
  </si>
  <si>
    <t>VALOR NÃO APLICADO EXCEDENTE AO MÁXIMO PERMITIDO
(q)</t>
  </si>
  <si>
    <t>% NÃO APLICADO
(r)</t>
  </si>
  <si>
    <t>18- Total da Receita Recebida e não Aplicada no Exercício</t>
  </si>
  <si>
    <t>INDICADOR - Art.25, § 3º - Lei nº 14.113, de 2020 - (Aplicação do Superávit de Exercício Anterior)³</t>
  </si>
  <si>
    <t>VALOR DE SUPERÁVIT
PERMITIDO NO EXERCÍCIO 
ANTERIOR
(s)</t>
  </si>
  <si>
    <t>VALOR NÃO
APLICADO NO 
EXERCÍCIO ANTERIOR
(t)</t>
  </si>
  <si>
    <t>VALOR DE SUPERÁVIT 
APLICADO ATÉ O 
PRIMEIRO 
QUADRIMESTRE
(u)</t>
  </si>
  <si>
    <t>VALOR APLICADO APÓS O PRIMEIRO QUADRIMESTRE
(v)</t>
  </si>
  <si>
    <t>VALOR TOTAL DE SUPERÁVIT NÃO APLICADO ATÉ O FINAL DO EXERCÍCIO
(w)</t>
  </si>
  <si>
    <t>19- TOTAL DAS DESPESAS CUSTEADAS COM SUPERÁVIT DO FUNDEB</t>
  </si>
  <si>
    <t>19.1- Total das Despesas custeadas com FUNDEB - Impostos e Transferências de Impostos</t>
  </si>
  <si>
    <t>19.2- Total das Despesas custeadas com FUNDEB - Complementação da União (VAAF + VAAT + VAAR)</t>
  </si>
  <si>
    <t>DESPESAS COM MANUTENÇÃO E DESENVOLVIMENTO DO ENSINO – MDE – CUSTEADAS COM RECEITA DE IMPOSTOS (EXCETO FUNDEB)</t>
  </si>
  <si>
    <t>DESPESAS COM AÇÕES TÍPICAS DE MDE - RECEITAS DE IMPOSTOS - EXCETO FUNDEB
(Por Subfunção)</t>
  </si>
  <si>
    <t>20- TOTAL DAS DESPESAS COM AÇÕES TÍPICAS DE MDE CUSTEADAS COM RECEITAS DE IMPOSTOS</t>
  </si>
  <si>
    <t>21.131.516,60</t>
  </si>
  <si>
    <t>20.1- Educação Infantil</t>
  </si>
  <si>
    <t>20.2- Ensino Fundamental</t>
  </si>
  <si>
    <t>20.3- Educação de Jovens e Adultos</t>
  </si>
  <si>
    <t>20.4- Educação Especial</t>
  </si>
  <si>
    <t>869.769,45</t>
  </si>
  <si>
    <t>20.5- Administração Geral</t>
  </si>
  <si>
    <t>45.300,00</t>
  </si>
  <si>
    <t>20.6- Transporte (Escolar)</t>
  </si>
  <si>
    <t>20.7- Outras</t>
  </si>
  <si>
    <t>Página 4 de 6</t>
  </si>
  <si>
    <t>DESPESAS COM MANUTENÇÃO E DESENVOLVIMENTO DO ENSINO – MDE -  CUSTEADAS COM RECEITA DE IMPOSTOS E COM RECURSOS DO FUNDEB</t>
  </si>
  <si>
    <t>DESPESAS COM AÇÕES TÍPICAS DE MDE - RECEITAS DE IMPOSTOS E RECURSOS DO FUNDEB
(Por Área de Atuação)⁶</t>
  </si>
  <si>
    <t>21- TOTAL DAS DESPESAS COM AÇÕES TÍPICAS DE MDE CUSTEADAS COM RECEITAS DE IMPOSTOS E FUNDEB</t>
  </si>
  <si>
    <t>57.174.296,02</t>
  </si>
  <si>
    <t>21.1- Educação Infantil</t>
  </si>
  <si>
    <t>21.1.1- Creche</t>
  </si>
  <si>
    <t>21.1.2- Pré-escola</t>
  </si>
  <si>
    <t>22.2- Ensino Fundamental</t>
  </si>
  <si>
    <t>APURAÇÃO DO LIMITE MÍNIMO CONSTITUCIONAL</t>
  </si>
  <si>
    <t>22- TOTAL DAS DESPESAS DE MDE CUSTEADAS COM RECURSOS DE IMPOSTOS = L20(d ou e)</t>
  </si>
  <si>
    <t>23- TOTAL DAS RECEITAS TRANSFERIDAS AO FUNDEB = (L4)</t>
  </si>
  <si>
    <t>24- (-) RECEITAS DO FUNDEB NÃO UTILIZADAS NO EXERCÍCIO, EM VALOR SUPERIOR A 10% = L18(q)</t>
  </si>
  <si>
    <t>26- (-) RESTOS A PAGAR NÃO PROCESSADOS INSCRITOS NO EXERCÍCIO SEM DISPONIBILIDADE FINANCEIRA DE RECURSOS DE IMPOSTOS</t>
  </si>
  <si>
    <t>27- (-) CANCELAMENTO, NO EXERCÍCIO, DE RESTOS A PAGAR INSCRITOS COM DISPONIBILIDADE FINANCEIRA DE RECURSOS DE IMPOSTOS VINCULADOS AO ENSINO = (L30.1(af) + L30.2(af))</t>
  </si>
  <si>
    <t>APURAÇÃO DO LIMITE MÍNIMO CONSTITUCIONAL² ᵉ ⁵</t>
  </si>
  <si>
    <t>VALOR EXIGIDO
(z)</t>
  </si>
  <si>
    <t>VALOR APLICADO
(aa)</t>
  </si>
  <si>
    <t>% APLICADO
(ab)</t>
  </si>
  <si>
    <t>29- APLICAÇÃO EM MDE SOBRE A RECEITA RESULTANTE DE IMPOSTOS</t>
  </si>
  <si>
    <t>RESTOS A PAGAR INSCRITOS EM EXERCÍCIOS ANTERIORES DE DESPESAS CONSIDERADAS PARA CUMPRIMENTO DO LIMITE⁸</t>
  </si>
  <si>
    <t>SALDO INICIAL
(ac)</t>
  </si>
  <si>
    <t>RP LIQUIDADOS
(ad)</t>
  </si>
  <si>
    <t>RP PAGOS
(ae)</t>
  </si>
  <si>
    <t>RP CANCELADOS
(af)</t>
  </si>
  <si>
    <t>SALDO FINAL
(ag) = (ac) - (ae) - (af)</t>
  </si>
  <si>
    <t>30- RESTOS A PAGAR DE DESPESAS COM MDE</t>
  </si>
  <si>
    <t>6.467.420,26</t>
  </si>
  <si>
    <t>30.1 - Executadas com Recursos de Impostos e Transferências de Impostos</t>
  </si>
  <si>
    <t>5.747.379,66</t>
  </si>
  <si>
    <t>30.2 - Executadas com Recursos do FUNDEB - Impostos</t>
  </si>
  <si>
    <t>720.040,60</t>
  </si>
  <si>
    <t>646.961,68</t>
  </si>
  <si>
    <t>73.021,08</t>
  </si>
  <si>
    <t>30.3 - Executadas com Recursos do FUNDEB - Complementação da União (VAAT + VAAF + VAAR)</t>
  </si>
  <si>
    <t>OUTRAS INFORMAÇÕES PARA CONTROLE</t>
  </si>
  <si>
    <t>RECEITAS ADICIONAIS PARA FINANCIAMENTO DO ENSINO</t>
  </si>
  <si>
    <t>31- TOTAL DAS RECEITAS ADICIONAIS PARA FINANCIAMENTO DO ENSINO</t>
  </si>
  <si>
    <t>31.1- RECEITA DE TRANSFERÊNCIAS DO FNDE (INCLUINDO RENDIMENTOS DE APLICAÇÃO FINANCEIRA)</t>
  </si>
  <si>
    <t>31.1.1- Salário-Educação</t>
  </si>
  <si>
    <t>31.1.2- PDDE</t>
  </si>
  <si>
    <t>25.000,00</t>
  </si>
  <si>
    <t>31.1.3- PNAE</t>
  </si>
  <si>
    <t>439.542,00</t>
  </si>
  <si>
    <t>31.1.4- PNATE</t>
  </si>
  <si>
    <t>31.1.5- Outras Transferências do FNDE</t>
  </si>
  <si>
    <t>27.892,44</t>
  </si>
  <si>
    <t>31.2- RECEITA DE TRANSFERÊNCIAS DE CONVÊNIOS</t>
  </si>
  <si>
    <t>2.500.618,84</t>
  </si>
  <si>
    <t>31.3- RECEITA DE ROYALTIES DESTINADOS À EDUCAÇÃO</t>
  </si>
  <si>
    <t>Página 5 de 6</t>
  </si>
  <si>
    <t>31.4- RECEITA DE OPERAÇÕES DE CRÉDITO VINCULADAS À EDUCAÇÃO</t>
  </si>
  <si>
    <t>31.5- OUTRAS RECEITAS PARA FINANCIAMENTO DO ENSINO</t>
  </si>
  <si>
    <t>40,00</t>
  </si>
  <si>
    <t>OUTRAS DESPESAS COM EDUCAÇÃO
(Por Subfunção)⁶</t>
  </si>
  <si>
    <t>32- TOTAL DAS DESPESAS COM AÇÕES TÍPICAS DE MDE CUSTEADAS COM DEMAIS RECEITAS</t>
  </si>
  <si>
    <t>32.1- EDUCAÇÃO INFANTIL</t>
  </si>
  <si>
    <t>32.2- ENSINO FUNDAMENTAL</t>
  </si>
  <si>
    <t>32.3- ENSINO MÉDIO</t>
  </si>
  <si>
    <t>1.595.100,00</t>
  </si>
  <si>
    <t>32.4- ENSINO SUPERIOR</t>
  </si>
  <si>
    <t>32.5- ENSINO PROFISSIONAL</t>
  </si>
  <si>
    <t>32.6- EDUCAÇÃO DE JOVENS E ADULTOS</t>
  </si>
  <si>
    <t>4.806,00</t>
  </si>
  <si>
    <t>32.7- EDUCAÇÃO ESPECIAL</t>
  </si>
  <si>
    <t>32.8- OUTRAS</t>
  </si>
  <si>
    <t>111.399,56</t>
  </si>
  <si>
    <t>TOTAL GERAL DAS DESPESAS COM EDUCAÇÃO</t>
  </si>
  <si>
    <t>33- TOTAL GERAL DAS DESPESAS COM EDUCAÇÃO (10 + 20 + 32)</t>
  </si>
  <si>
    <t>33.1- Despesas Correntes</t>
  </si>
  <si>
    <t>33.1.1- Pessoal Ativo</t>
  </si>
  <si>
    <t>33.1.2- Pessoal Inativo</t>
  </si>
  <si>
    <t>33.1.3-Transferências às instituições comunitárias, confessionais ou filantrópicas sem fins lucrativos</t>
  </si>
  <si>
    <t>398.390,14</t>
  </si>
  <si>
    <t>50.000,00</t>
  </si>
  <si>
    <t>33.1.4- Outras Despesas Correntes</t>
  </si>
  <si>
    <t>33.2- Despesas de Capital</t>
  </si>
  <si>
    <t>33.2.1- Transferências às instituições comunitárias, confessionais ou filantrópicas sem fins lucrativos</t>
  </si>
  <si>
    <t>33.2.2- Outras Despesas de Capital</t>
  </si>
  <si>
    <t>CONTROLE DA DISPONIBILIDADE FINANCEIRA E CONCILIAÇÃO BANCÁRIA</t>
  </si>
  <si>
    <t>FUNDEB
(ah)</t>
  </si>
  <si>
    <t>SALÁRIO EDUCAÇÃO
(ai)</t>
  </si>
  <si>
    <t>34- DISPONIBILIDADE FINANCEIRA EM 31 DE DEZEMBRO DE  2022</t>
  </si>
  <si>
    <t>836.132,57</t>
  </si>
  <si>
    <t>1.021.184,47</t>
  </si>
  <si>
    <t>35- (+) INGRESSO DE RECURSOS ATÉ O BIMESTRE (orçamentário)</t>
  </si>
  <si>
    <t>36- (-) PAGAMENTOS EFETUADOS ATÉ O BIMESTRE (orçamentário e restos a pagar)</t>
  </si>
  <si>
    <t>37- (=) DISPONIBILIDADE FINANCEIRA ATÉ O BIMESTRE</t>
  </si>
  <si>
    <t>38- (+) AJUSTES POSITIVOS (RETENÇÕES E OUTROS VALORES EXTRAORÇAMENTÁRIOS)</t>
  </si>
  <si>
    <t>39- (-) AJUSTES NEGATIVOS (OUTROS VALORES EXTRAORÇAMENTÁRIOS)</t>
  </si>
  <si>
    <t>Página 6 de 6</t>
  </si>
  <si>
    <t>40- (=) SALDO FINANCEIRO CONCILIADO (Saldo Bancário)</t>
  </si>
  <si>
    <t>1 Os valores informados devem corresponder ao efetivamente transferido. Os percentuais correspodem ao disposto na legislação.
2 Limites mínimos anuais a serem cumpridos no encerramento do exercício.
3 Art. 25, § 3º, Lei 14.113/2020: “Até 10% (dez por cento) dos recursos recebidos à conta dos Fundos, inclusive relativos à complementação da União, nos termos do § 2º do art. 16 desta Lei, poderão ser utilizados no primeiro quadrimestre do exercício imediatamente subsequente, mediante abertura de crédito adicional.
4 Os valores referentes à parcela dos Restos a Pagar inscritos sem disponibilidade financeira vinculada à educação deverão ser informados somente no RREO do último bimestre do exercício.
5 Nos cinco primeiros bimestres do exercício o acompanhamento será feito com base na despesa liquidada. No último bimestre do exercício, o valor deverá corresponder ao total da despesa empenhada.
6 As linhas representam áreas de atuação e não correspondem exatamente às subfunções da Função Educação. As despesas classificadas nas demais subfunções típicas e nas subfunções atípicas deverão ser rateadas para essas áreas de atuação.
7 Valor inscrito em RPNP sem disponibilidade de caixa, que não será considerado na apuração dos indicadores e limites. Para as linhas 15, 16 e 17, deverá ser comparado o total inscrito em RPNP com a disponibilidade de caixa por fonte de recursos. Para a linha 14, deverá ser verificada a diferença entre a disponibilidade nas Fontes do Fundeb e os RPNP referentes a essas despesas. Para a linha 18, deverá ser verificada a diferença entre as disponibilidades na Fonte VAAT e os RPNP dessas despesas.
8 Controle da execução de restos a pagar considerados no cumprimento do limite mínimo dos exercícios anteriores.
9 Nesta coluna não devem se informados valores inferiores a 0 (zero).
10 Essa coluna não deve conter percentual superior a 100%. Caso isso ocorra, em razão de valores informados na coluna (i), os percentuais devem ser ajustados para 100%.</t>
  </si>
  <si>
    <t>Página 1 de 1</t>
  </si>
  <si>
    <t>PREFEITURA MUNICIPAL DE CACAPAVA DO SUL-RS</t>
  </si>
  <si>
    <t>DEMONSTRATIVO DAS RECEITAS DE OPERAÇÕES DE CRÉDITO E DESPESAS DE CAPITAL (REGRA DE OURO)</t>
  </si>
  <si>
    <t>RREO – ANEXO 9 (LRF, art.53, § 1º, inciso I)</t>
  </si>
  <si>
    <t>PREVISÃO ATUALIZADA</t>
  </si>
  <si>
    <t>SALDO NÃO REALIZADO</t>
  </si>
  <si>
    <t>(c) = (a-b)</t>
  </si>
  <si>
    <t>RECEITAS DE OPERAÇÕES DE CRÉDITO¹ (I)</t>
  </si>
  <si>
    <t>DOTAÇÃO ATUALIZADA</t>
  </si>
  <si>
    <t>SALDO NÃO EXECUTADO</t>
  </si>
  <si>
    <t>LIQUIDADAS</t>
  </si>
  <si>
    <t>(e)</t>
  </si>
  <si>
    <t>(f)=(d-e)</t>
  </si>
  <si>
    <t>(-)Incentivos Fiscais a Contribuinte</t>
  </si>
  <si>
    <t>(-)Incentivos Fiscais a Contribuinte por Instituições Financeiras</t>
  </si>
  <si>
    <t>DESPESAS DE CAPITAL LÍQUIDA (II)</t>
  </si>
  <si>
    <t>RESULTADO PARA APURAÇÃO DA REGRA DE OURO (III)=(II–I)</t>
  </si>
  <si>
    <t>Notas:
¹ Operações de Crédito descritas na CF, art. 167, inciso III</t>
  </si>
  <si>
    <t>PREFEITURA MUNICIPAL DE CACAPAVA DO SUL - RS</t>
  </si>
  <si>
    <t>DEMONSTRATIVO DA RECEITA DE ALIENAÇÃO DE ATIVOS E APLICAÇÃO DOS RECURSOS</t>
  </si>
  <si>
    <t>RREO - ANEXO 11 (LRF, art. 53, § 1º, inciso III)</t>
  </si>
  <si>
    <t>RECEITAS DE ALIENAÇÃO DE ATIVOS (I)</t>
  </si>
  <si>
    <t xml:space="preserve">   -     </t>
  </si>
  <si>
    <t>Receita de Alienação de Bens Móveis</t>
  </si>
  <si>
    <t>Receita de Alienação de Bens Imóveis</t>
  </si>
  <si>
    <t>Receita de Alienação de Bens Intangíveis</t>
  </si>
  <si>
    <t>Receita de Rendimentos de Aplicações Financeiras</t>
  </si>
  <si>
    <t>PAGAMENTO</t>
  </si>
  <si>
    <t>EMPENHADAS</t>
  </si>
  <si>
    <t>PAGAS</t>
  </si>
  <si>
    <t>INSCRITAS EM RESTOS A</t>
  </si>
  <si>
    <t>DE RESTOS A PAGAR</t>
  </si>
  <si>
    <t>PAGAR NÃO PROCESSADOS</t>
  </si>
  <si>
    <t>(h)=(d-e)</t>
  </si>
  <si>
    <t>APLICAÇÃO DOS RECURSOS DA ALIENAÇÃO DE ATIVOS (II)</t>
  </si>
  <si>
    <t>Despesas de Capital</t>
  </si>
  <si>
    <t>Despesas Correntes dos Regimes de Previdência</t>
  </si>
  <si>
    <t>Regime Próprio dos Servidores Públicos</t>
  </si>
  <si>
    <t>SALDO FINANCEIRO A APLICAR</t>
  </si>
  <si>
    <t>(j) = (Ib - (IIf + IIg))</t>
  </si>
  <si>
    <t>(k) = (IIIi + IIIj)</t>
  </si>
  <si>
    <t>VALOR (III)</t>
  </si>
  <si>
    <t xml:space="preserve">                      __________________________________     __________________________________     __________________________________          </t>
  </si>
  <si>
    <t xml:space="preserve">                                                                                                                                       GIOVANI AMESTOY DA SILVA                 IHOKO NAKASHIMA MOTA                                 ARLEI LOPES SOUZA                   </t>
  </si>
  <si>
    <t xml:space="preserve">                                                                                                                                             PREFEITO MUNICIPAL             SECRETARIA DE MUNICIPIO DA FAZENDA               610.320.420-87                    </t>
  </si>
  <si>
    <t xml:space="preserve">  CPF: 009.854.830-16                                      CPF: 390.226.680-53                                    CONTADOR: RS-068452/O-6               </t>
  </si>
  <si>
    <t>Demonstrativo das Receitas e Despesas com Ações e Serviços Públicos de Saúde</t>
  </si>
  <si>
    <t>RREO – ANEXO XII  (LC n° 141/2012 art.35)</t>
  </si>
  <si>
    <t>RECEITAS RESULTANTES DE IMPOSTOS E TRANSFERÊNCIAS CONSTITUCIONAIS E LEGAIS</t>
  </si>
  <si>
    <t>Até o Bimestre (b)</t>
  </si>
  <si>
    <t>% (b/a) x 100</t>
  </si>
  <si>
    <t>RECEITA DE IMPOSTOS  (I)</t>
  </si>
  <si>
    <t>Receita Resultante do Imposto Predial e Territorial Urbano - IPTU</t>
  </si>
  <si>
    <t>Receita Resultante do Imposto sobre Transmissão Inter Vivos - ITBI</t>
  </si>
  <si>
    <t>Receita Resultante do Imposto sobre Serviços de Qualquer Natureza - ISS</t>
  </si>
  <si>
    <t>Receita Resultante do Imposto sobre a Renda e Proventos de Qualquer Natureza Retido na Fonte – IRRF</t>
  </si>
  <si>
    <t>RECEITA DE TRANSFERÊNCIAS CONSTITUCIONAIS E LEGAIS (II)</t>
  </si>
  <si>
    <t>82.488.348,78</t>
  </si>
  <si>
    <t>Cota-Parte FPM</t>
  </si>
  <si>
    <t>Cota-Parte ITR</t>
  </si>
  <si>
    <t>Cota-Parte IPVA</t>
  </si>
  <si>
    <t>Cota-Parte ICMS</t>
  </si>
  <si>
    <t>Cota-Parte IPI-Exportação</t>
  </si>
  <si>
    <t>Outras Transferências ou Compensações Financeiras Provenientes de Impostos e Transferências Constitucionais</t>
  </si>
  <si>
    <t>TOTAL DAS RECEITAS RESULTANTES DE IMPOSTOS E TRANFERÊNCIAS CONSTITUCIONAIS E LEGAIS - (III) = (I) + (II)</t>
  </si>
  <si>
    <t>101.121.628,99</t>
  </si>
  <si>
    <t>DESPESAS COM AÇÕES E SERVIÇOS PÚBLICOS DE SAÚDE (ASPS) –  POR SUBFUNÇÃO E CATEGORIA ECONÔMICA</t>
  </si>
  <si>
    <t>DOTAÇÃO
INICIAL</t>
  </si>
  <si>
    <t>DESPESAS PAGAS</t>
  </si>
  <si>
    <t>Até o bimestre (d)</t>
  </si>
  <si>
    <t>% (d/c) x 100</t>
  </si>
  <si>
    <t>Até o bimestre (e)</t>
  </si>
  <si>
    <t>% (e/c) x 100</t>
  </si>
  <si>
    <t>Até o bimestre (f)</t>
  </si>
  <si>
    <t>% (f/c) x 100</t>
  </si>
  <si>
    <t>ATENÇÃO BÁSICA  (IV)</t>
  </si>
  <si>
    <t>3.401.695,16</t>
  </si>
  <si>
    <t>Despesas Correntes</t>
  </si>
  <si>
    <t>3.205.305,02</t>
  </si>
  <si>
    <t>196.390,14</t>
  </si>
  <si>
    <t>ASSISTÊNCIA HOSPITALAR E AMBULATORIAL  (V)</t>
  </si>
  <si>
    <t>15.080.918,08</t>
  </si>
  <si>
    <t>15.008.818,08</t>
  </si>
  <si>
    <t>72.100,00</t>
  </si>
  <si>
    <t>SUPORTE PROFILÁTICO E TERAPÊUTICO  (VI)</t>
  </si>
  <si>
    <t>1.254.192,93</t>
  </si>
  <si>
    <t>1.253.192,93</t>
  </si>
  <si>
    <t>VIGILÂNCIA SANITÁRIA  (VII)</t>
  </si>
  <si>
    <t>508.330,60</t>
  </si>
  <si>
    <t>478.330,60</t>
  </si>
  <si>
    <t>508.230,60</t>
  </si>
  <si>
    <t>478.230,60</t>
  </si>
  <si>
    <t>100,00</t>
  </si>
  <si>
    <t>VIGILÂNCIA EPIDEMIOLÓGICA (VIII)</t>
  </si>
  <si>
    <t>750.957,62</t>
  </si>
  <si>
    <t>ALIMENTAÇÃO E NUTRIÇÃO (IX)</t>
  </si>
  <si>
    <t>OUTRAS SUBFUNÇÕES (X)</t>
  </si>
  <si>
    <t>15.318.389,36</t>
  </si>
  <si>
    <t>15.197.299,22</t>
  </si>
  <si>
    <t>121.090,14</t>
  </si>
  <si>
    <t>1.899,00</t>
  </si>
  <si>
    <t>1,57</t>
  </si>
  <si>
    <t>TOTAL (XI) = (IV + V + VI + VII + VIII + IX + X)</t>
  </si>
  <si>
    <t>36.314.483,75</t>
  </si>
  <si>
    <t>APURAÇÃO DO CUMPRIMENTO DO LIMITE MÍNIMO PARA APLICAÇÃO EM ASPS</t>
  </si>
  <si>
    <t>DESPESAS EMPENHADAS (d)</t>
  </si>
  <si>
    <t>DESPESAS LIQUIDADAS (e)</t>
  </si>
  <si>
    <t>DESPESAS PAGAS (f)</t>
  </si>
  <si>
    <t>Total das Despesas com ASPS (XII) = (XI)</t>
  </si>
  <si>
    <t>(-) Restos a Pagar Não Processados Inscritos Indevidamente no Exercício sem Disponibilidade Financeira (XIII)¹</t>
  </si>
  <si>
    <t>(-) Despesas Custeadas com Recursos Vinculados à Parcela do Percentual Mínimo que não foi Aplicada em ASPS em Exercícios Anteriores (XIV)³</t>
  </si>
  <si>
    <t>(-) Despesas Custeadas com Disponibilidade de Caixa Vinculada aos Restos a Pagar Cancelados (XV)²</t>
  </si>
  <si>
    <t>(=) VALOR APLICADO EM ASPS (XVI) = (XII - XIII - XIV - XV)</t>
  </si>
  <si>
    <t>Despesa Mínima a ser Aplicada em ASPS (XVII) = (III) x 15% (LC 141/2012)</t>
  </si>
  <si>
    <t>Despesa Mínima a ser Aplicada em ASPS (XVII) = (III) x % (Lei Orgânica Municipal)</t>
  </si>
  <si>
    <t>Diferença entre o Valor Aplicado e a Despesa Mínima a ser Aplicada (XVIII) = (XVI (d ou e) - XVII)1</t>
  </si>
  <si>
    <t>Limite não Cumprido (XIX) = (XVIII) (Quando valor for inferior a zero)</t>
  </si>
  <si>
    <t>PERCENTUAL DA RECEITA  DE IMPOSTOS E TRANSFERÊNCIAS CONSTITUCIONAIS E LEGAIS APLICADO EM ASPS  (XVI / III)*100 (mínimo de 15% conforme LC n° 141/2012 ou % da Lei Orgânica Municipal)</t>
  </si>
  <si>
    <t>CONTROLE DO VALOR REFERENTE AO PERCENTUAL MÍNIMO NÃO CUMPRIDO EM EXERCÍCIOS ANTERIORES PARA FINS DE APLICAÇÃO DOS RECURSOS VINCULADOS CONFORME ARTIGOS 25 E 26 DA LC 141/2012</t>
  </si>
  <si>
    <t>LIMITE NÃO CUMPRIDO</t>
  </si>
  <si>
    <t>Saldo Inicial 
(no exercicio atual)
(h)</t>
  </si>
  <si>
    <t>Despesas Custeadas no Exercício de Referência</t>
  </si>
  <si>
    <t>Saldo Final
(não aplicado)1 
(l) = (h - (i ou j))</t>
  </si>
  <si>
    <t>Empenhadas
(i)</t>
  </si>
  <si>
    <t>Liquidadas
(j)</t>
  </si>
  <si>
    <t>Pagas
(k)</t>
  </si>
  <si>
    <t>Diferença de limite não cumprido em 2023 (saldo final = XIXd)</t>
  </si>
  <si>
    <t>Diferença de limite não cumprido em 2022 (saldo inicial igual ao saldo final do demonstrativo do exercício anterior)</t>
  </si>
  <si>
    <t>Diferença de limite não cumprido em Exercícios Anteriores (saldo inicial igual ao saldo final do demonstrativo do exercício anterior)</t>
  </si>
  <si>
    <t>TOTAL DA DIFERENÇA DE LIMITE NÃO CUMPRIDO EM EXERCÍCIOS ANTERIORES (XX)</t>
  </si>
  <si>
    <t>EXECUÇÃO DE RESTOS A PAGAR</t>
  </si>
  <si>
    <t>EXERCÍCIO DO EMPENHO²</t>
  </si>
  <si>
    <t>Valor Mínimo para aplicação em ASPS                                                 (m)</t>
  </si>
  <si>
    <t>Valor aplicado em ASPS no exercício                                                  
(n)</t>
  </si>
  <si>
    <t>Valor aplicado além do limite mínimo       (o) = (n - m), se &lt; 0, então (o) = 0</t>
  </si>
  <si>
    <t>Total inscrito em RP no exercício                      (p)</t>
  </si>
  <si>
    <t>RPNP Inscritos Indevidamente no Exercício sem Disponibilidade Financeira         q = (XIIId)</t>
  </si>
  <si>
    <t>Valor inscrito em RP considerado no Limite
(r) = (p - (o + q))
se &lt; 0,
então (r) = (0)</t>
  </si>
  <si>
    <t>Total de RP pagos                (s)</t>
  </si>
  <si>
    <t>Total de RP a pagar                (t) = (p) - (s) - (u)</t>
  </si>
  <si>
    <t>Total de RP cancelados ou prescritos                                (u)</t>
  </si>
  <si>
    <t>Diferença entre o valor aplicado além do limite e o total de RP cancelados                                                       (v) = ((o + q) - u))</t>
  </si>
  <si>
    <t>Empenhos de 2023</t>
  </si>
  <si>
    <t>Empenhos de 2022</t>
  </si>
  <si>
    <t>Empenhos de 2021</t>
  </si>
  <si>
    <t>Empenhos de 2020</t>
  </si>
  <si>
    <t>Empenhos de 2019 e anteriores</t>
  </si>
  <si>
    <t>TOTAL DOS RESTOS A PAGAR CANCELADOS OU PRESCRITOS ATÉ O FINAL DO EXERCÍCIO ATUAL QUE AFETARAM O CUMPRIMENTO DO LIMITE (XXI)</t>
  </si>
  <si>
    <t>TOTAL DOS RESTOS A PAGAR CANCELADOS OU PRESCRITOS ATÉ O FINAL DO EXERCÍCIO ANTERIOR QUE AFETARAM O CUMPRIMENTO DO LIMITE (XXII)</t>
  </si>
  <si>
    <t>TOTAL DOS RESTOS A PAGAR CANCELADOS OU PRESCRITOS NO EXERCÍCIO ATUAL QUE AFETARAM O CUMPRIMENTO DO LIMITE (XXIII) = (XXI - XXII)</t>
  </si>
  <si>
    <t>CONTROLE DE RESTOS A PAGAR CANCELADOS OU PRESCRITOS CONSIDERADOS PARA FINS DE APLICAÇÃO DA DISPONIBILIDADE DE CAIXA CONFORME ARTIGO 24§ 1º e 2º DA LC 141/2012</t>
  </si>
  <si>
    <t>RESTOS A PAGAR CANCELADOS OU PRESCRITOS</t>
  </si>
  <si>
    <t>Saldo Inicial
(w)</t>
  </si>
  <si>
    <t>Saldo Final (não aplicado)1         
(aa) = (w - (x ou y))</t>
  </si>
  <si>
    <t>Empenhadas
(x)</t>
  </si>
  <si>
    <t>Liquidadas
(y)</t>
  </si>
  <si>
    <t>Pagas
(z)</t>
  </si>
  <si>
    <t>Restos a pagar cancelados ou prescritos em 2023 a serem compensados (XXIV) (saldo inicial = XXIII)</t>
  </si>
  <si>
    <t>Restos a pagar cancelados ou prescritos em 2022 a serem compensados (XXV) (saldo inicial igual ao saldo final do demonstrativo do exercício anterior)</t>
  </si>
  <si>
    <t>75.681,89</t>
  </si>
  <si>
    <t>Restos a pagar cancelados ou prescritos em exercícios anteriores a serem compensados (XXVI) (saldo inicial igual ao saldo final do demonstrativo do exercício anterior)</t>
  </si>
  <si>
    <t>(196.505,22)</t>
  </si>
  <si>
    <t>TOTAL DE RESTOS A PAGAR CANCELADOS OU PRESCRITOS A COMPENSAR (XXVII)</t>
  </si>
  <si>
    <t>(120.823,33)</t>
  </si>
  <si>
    <t>RECEITAS ADICIONAIS PARA O FINANCIAMENTO DA SAÚDE NÃO COMPUTADAS NO CÁLCULO DO MÍNIMO</t>
  </si>
  <si>
    <t>RECEITAS DE TRANSFERÊNCIAS PARA A SAÚDE  (XXVIII)</t>
  </si>
  <si>
    <t>4.113.369,57</t>
  </si>
  <si>
    <t>Proveniente da União</t>
  </si>
  <si>
    <t>3.098.773,37</t>
  </si>
  <si>
    <t>Proveniente dos Estados</t>
  </si>
  <si>
    <t>1.014.596,20</t>
  </si>
  <si>
    <t>1.028.343,41</t>
  </si>
  <si>
    <t>46,15</t>
  </si>
  <si>
    <t>Proveniente de outros Municípios</t>
  </si>
  <si>
    <t>RECEITA DE OPERAÇÕES DE CRÉDITO INTERNAS E EXTERNAS VINCULADAS A SAÚDE (XXIX)</t>
  </si>
  <si>
    <t>OUTRAS RECEITAS (XXX)</t>
  </si>
  <si>
    <t>TOTAL DE RECEITAS ADICIONAIS PARA FINANCIAMENTO DA SAÚDE (XXXI) = (XXVIII + XXIX + XXX)</t>
  </si>
  <si>
    <t>DESPESAS COM SAÚDE NÃO COMPUTADAS NO CÁLCULO DO MÍNIMO</t>
  </si>
  <si>
    <t>DESPESAS COM SAUDE POR SUBFUNÇÕES E CATEGORIA ECONÔMICA NÃO COMPUTADAS NO CÁLCULO DO MÍNIMO</t>
  </si>
  <si>
    <t>ATENÇÃO BÁSICA (XXXII)</t>
  </si>
  <si>
    <t>4.298.647,74</t>
  </si>
  <si>
    <t>4.296.639,74</t>
  </si>
  <si>
    <t>2.008,00</t>
  </si>
  <si>
    <t>ASSISTÊNCIA HOSPITALAR E AMBULATORIAL (XXXIII)</t>
  </si>
  <si>
    <t>1.196.182,47</t>
  </si>
  <si>
    <t>1.264.122,47</t>
  </si>
  <si>
    <t>1.196.181,47</t>
  </si>
  <si>
    <t>1.264.121,47</t>
  </si>
  <si>
    <t>1,00</t>
  </si>
  <si>
    <t>SUPORTE PROFILÁTICO E TERAPÊUTICO (XXXIV)</t>
  </si>
  <si>
    <t>314.657,79</t>
  </si>
  <si>
    <t>449.657,79</t>
  </si>
  <si>
    <t>314.655,79</t>
  </si>
  <si>
    <t>433.655,79</t>
  </si>
  <si>
    <t>16.002,00</t>
  </si>
  <si>
    <t>15.800,00</t>
  </si>
  <si>
    <t>98,74</t>
  </si>
  <si>
    <t>VIGILÂNCIA SANITÁRIA (XXXV)</t>
  </si>
  <si>
    <t>10.399,20</t>
  </si>
  <si>
    <t>12.164,03</t>
  </si>
  <si>
    <t>VIGILÂNCIA EPIDEMIOLÓGICA (XXXVI)</t>
  </si>
  <si>
    <t>130.128,28</t>
  </si>
  <si>
    <t>130.123,28</t>
  </si>
  <si>
    <t>5,00</t>
  </si>
  <si>
    <t>ALIMENTAÇÃO E NUTRIÇÃO (XXXVII)</t>
  </si>
  <si>
    <t>OUTRAS SUBFUNÇÕES (XXXVIII)</t>
  </si>
  <si>
    <t>5.362,86</t>
  </si>
  <si>
    <t>596,00</t>
  </si>
  <si>
    <t>5.356,86</t>
  </si>
  <si>
    <t>6,00</t>
  </si>
  <si>
    <t>100.898,04</t>
  </si>
  <si>
    <t>TOTAL DAS DESPESAS NÃO COMPUTADAS NO CÁLCULO DO MÍNIMO  (XXXIX) = (XXXII + XXXIII + XXXIV + XXXV + XXXVI + XXXVII + XXXVIII)</t>
  </si>
  <si>
    <t>5.955.378,34</t>
  </si>
  <si>
    <t>DESPESAS TOTAIS COM SAÚDE</t>
  </si>
  <si>
    <t>ATENÇÃO BÁSICA (XL) = (IV + XXXII)</t>
  </si>
  <si>
    <t>7.700.342,90</t>
  </si>
  <si>
    <t>ASSISTÊNCIA HOSPITALAR E AMBULATORIAL (XLI) = (V + XXXIII)</t>
  </si>
  <si>
    <t>16.277.100,55</t>
  </si>
  <si>
    <t>SUPORTE PROFILÁTICO E TERAPÊUTICO (XLII) = (VI + XXXIV)</t>
  </si>
  <si>
    <t>1.568.850,72</t>
  </si>
  <si>
    <t>1.702.850,72</t>
  </si>
  <si>
    <t>VIGILÂNCIA SANITÁRIA (XLIII) = (VII + XXXV)</t>
  </si>
  <si>
    <t>518.729,80</t>
  </si>
  <si>
    <t>490.494,63</t>
  </si>
  <si>
    <t>VIGILÂNCIA EPIDEMIOLÓGICA (XLIV) = (VIII + XXXVI)</t>
  </si>
  <si>
    <t>881.085,90</t>
  </si>
  <si>
    <t>ALIMENTAÇÃO E NUTRIÇÃO (XLV) = (XIX + XXXVII)</t>
  </si>
  <si>
    <t>OUTRAS SUBFUNÇÕES (XLVI) = (X + XXXVIII)</t>
  </si>
  <si>
    <t>15.323.752,22</t>
  </si>
  <si>
    <t>TOTAL DAS DESPESAS COM SAÚDE (XLVII) = (XI + XXXIX)</t>
  </si>
  <si>
    <t>42.269.862,09</t>
  </si>
  <si>
    <t>Notas:</t>
  </si>
  <si>
    <t>¹Nos cinco primeiros bimestres do exercício, o acompanhamento será feito com base na despesa liquidada. No último bimestre do exercício, o valor deverá corresponder ao total da despesa empenhada.</t>
  </si>
  <si>
    <t>²Até o exercício de 2018, o controle da execução dos restos a pagar considerava apenas os valores dos restos a pagar não processados. A partir do exercício de 2019, o controle da execução dos restos a pagar considera os restos a pagar processados e não processados.</t>
  </si>
  <si>
    <t>DEMONSTRATIVO DAS PARCERIAS PÚBLICO-PRIVADAS</t>
  </si>
  <si>
    <t>RREO - Anexo 13 (Lei nº 11.079, de 30.12.2004, arts. 22, 25 e 28)</t>
  </si>
  <si>
    <t>Em reais</t>
  </si>
  <si>
    <t>IMPACTOS DAS CONTRATAÇÕES DE PPP</t>
  </si>
  <si>
    <t>SALDO TOTAL EM</t>
  </si>
  <si>
    <t>SALDO FINAL</t>
  </si>
  <si>
    <t>31 DE DEZEMBRO DO</t>
  </si>
  <si>
    <t>EXERCÍCIO ANTERIOR</t>
  </si>
  <si>
    <t>TOTAL DE ATIVOS</t>
  </si>
  <si>
    <t xml:space="preserve">   Ativos Constituídos pela SPE</t>
  </si>
  <si>
    <t>TOTAL DE PASSIVOS</t>
  </si>
  <si>
    <t xml:space="preserve">   Obrigações decorrentes de Ativos Constituídos pela SPE</t>
  </si>
  <si>
    <t xml:space="preserve">   Provisões de PPP</t>
  </si>
  <si>
    <t xml:space="preserve">   Outros Passivos</t>
  </si>
  <si>
    <t>ATOS POTENCIAIS PASSIVOS</t>
  </si>
  <si>
    <t xml:space="preserve">   Obrigações contratuais</t>
  </si>
  <si>
    <t xml:space="preserve">   Riscos não Provisionados</t>
  </si>
  <si>
    <t xml:space="preserve">   Garantias concedidas</t>
  </si>
  <si>
    <t xml:space="preserve">   Outros Passivos Contingentes</t>
  </si>
  <si>
    <t>DESPESAS DE PPP</t>
  </si>
  <si>
    <t>EXERCÍCIO</t>
  </si>
  <si>
    <t>ANTERIOR</t>
  </si>
  <si>
    <t>CORRENTE</t>
  </si>
  <si>
    <t>DO ENTE FEDERADO, EXCETO ESTATAIS NÃO DEPENDENTES (I) = (I.1 + I.2)</t>
  </si>
  <si>
    <t xml:space="preserve">   Contratadas(I.1)</t>
  </si>
  <si>
    <t xml:space="preserve">   A contratar (I.2)</t>
  </si>
  <si>
    <t>DAS ESTATAIS NÃO-DEPENDENTES (II) = (II.1 + II.2)</t>
  </si>
  <si>
    <t xml:space="preserve">   Contratadas (II.1)</t>
  </si>
  <si>
    <t xml:space="preserve">   A contratar (II.2)</t>
  </si>
  <si>
    <t>TOTAL DAS DESPESAS DE PPP (III) = (I + II)</t>
  </si>
  <si>
    <t>RECEITA CORRENTE LÍQUIDA (RCL) (IV)</t>
  </si>
  <si>
    <t>TOTAL DAS DESPESAS CONSIDERADAS PARA O LIMITE (I)</t>
  </si>
  <si>
    <t>TOTAL DAS DESPESAS CONSIDERADAS PARA O LIMITE / RCL (%) (V) = (I / IV)</t>
  </si>
  <si>
    <t>DEMONSTRATIVO DA DÍVIDA CONSOLIDADA LÍQUIDA</t>
  </si>
  <si>
    <t>RGF - ANEXO 2 (LRF, art.55, inciso I, alínea "b")</t>
  </si>
  <si>
    <t>SALDO DO</t>
  </si>
  <si>
    <t>SALDO DO EXERCÍCIO DE 2023</t>
  </si>
  <si>
    <t>Até o 1º</t>
  </si>
  <si>
    <t>Até o 3º</t>
  </si>
  <si>
    <t>Quadrimestre</t>
  </si>
  <si>
    <t>DÍVIDA CONSOLIDADA - DC (I)</t>
  </si>
  <si>
    <t>Dívida Mobiliária</t>
  </si>
  <si>
    <t>Dívida Contratual</t>
  </si>
  <si>
    <t>Empréstimos</t>
  </si>
  <si>
    <t>Internos</t>
  </si>
  <si>
    <t>Externos</t>
  </si>
  <si>
    <t>Reestruturação da Dívida de Estados e Municípios</t>
  </si>
  <si>
    <t>Financiamentos</t>
  </si>
  <si>
    <t>Parcelamento e Renegociação de dívidas</t>
  </si>
  <si>
    <t>De Tributos</t>
  </si>
  <si>
    <t>De Contribuições Previdenciárias</t>
  </si>
  <si>
    <t>De Demais Contribuições Sociais</t>
  </si>
  <si>
    <t>Do FGTS</t>
  </si>
  <si>
    <t>Com Instituição Não Financeira</t>
  </si>
  <si>
    <t>Precatórios Posteriores a 05/05/2000 (inclusive) - Vencidos e não pagos</t>
  </si>
  <si>
    <t>Outras Dívidas</t>
  </si>
  <si>
    <t>DEDUÇÕES (II)</t>
  </si>
  <si>
    <t>Disponibilidade de Caixa¹</t>
  </si>
  <si>
    <t>(-) Restos a Pagar Processados</t>
  </si>
  <si>
    <t>DÍVIDA CONSOLIDADA LÍQUIDA (DCL) (III) = (I - II)</t>
  </si>
  <si>
    <t>(5.756.441,00)</t>
  </si>
  <si>
    <t>(10.102.317,00)</t>
  </si>
  <si>
    <t>RECEITA CORRENTE LÍQUIDA - RCL (IV)</t>
  </si>
  <si>
    <t>(-) Transferências obrigatórias da União relativas às emendas individuais 
 (art. 166-A, § 1º, da CF) (V)</t>
  </si>
  <si>
    <t>% da DC sobre a RCL AJUSTADA (I/VI)</t>
  </si>
  <si>
    <t>% da DCL sobre a RCL AJUSTADA (III/VI)</t>
  </si>
  <si>
    <t>(4,39)</t>
  </si>
  <si>
    <t>(7,45)</t>
  </si>
  <si>
    <t>LIMITE DEFINIDO POR RESOLUÇÃO DO SENADO FEDERAL - &lt;0,00%&gt;</t>
  </si>
  <si>
    <t>LIMITE DE ALERTA (inciso III do § 1º do art. 59 da LRF) - &lt;0,00%&gt;</t>
  </si>
  <si>
    <t>OUTROS VALORES NÃO INTEGRANTES DA DC</t>
  </si>
  <si>
    <t>PRECATÓRIOS ANTERIORES A 05/05/2000</t>
  </si>
  <si>
    <t>PRECATÓRIOS POSTERIORES A 05/05/2000² (Não incluídos na DCL)</t>
  </si>
  <si>
    <t>PASSIVO ATUARIAL</t>
  </si>
  <si>
    <t>ANTECIPAÇÕES DE RECEITA ORÇAMENTÁRIA – ARO</t>
  </si>
  <si>
    <t>DÍVIDA CONTRATUAL DE PPP</t>
  </si>
  <si>
    <t>APROPRIAÇÃO DE DEPÓSITOS JUDICIAIS</t>
  </si>
  <si>
    <t>1. Se o saldo apurado for negativo, ou seja, se o total da Disponibilidade de Caixa Bruta for menor que Restos a Pagar Processados, esse saldo negativo</t>
  </si>
  <si>
    <t>não deverá ser informado nessa linha, mas sim na linha da "Insuficiência Financeira", no quadro "Outros Valores não integrantes da Dívida Consolidada".</t>
  </si>
  <si>
    <t>Assim, quando o cálculo de Disponibilidade de Caixa for negativo, o valor dessa linha deverá ser (0) "zero".</t>
  </si>
  <si>
    <t>2. Refere-se aos precatórios posteriores a 05/05/2000 que, em cumprimento ao disposto no artigo 100 da Constituição Federal, ainda não foram</t>
  </si>
  <si>
    <t xml:space="preserve">incluídos no orçamento ou constam no orçamento e ainda não foram pagos. Ao final do exercício em que esses precatórios foram incluídos ou que </t>
  </si>
  <si>
    <t>deveriam ter sido incluídos, os valores deverão compor a linha "Precatórios".</t>
  </si>
  <si>
    <t>RECEITA CORRENTE LÍQUIDA AJUSTADA PARA CÁLCULO DOS LIMITES DE   ENDIVIDAMENTO (VI) = (IV - V)³</t>
  </si>
  <si>
    <r>
      <t>RP NÃO-PROCESSADOS</t>
    </r>
    <r>
      <rPr>
        <vertAlign val="superscript"/>
        <sz val="8"/>
        <color theme="1"/>
        <rFont val="Calibri"/>
        <family val="2"/>
        <scheme val="minor"/>
      </rPr>
      <t>4</t>
    </r>
  </si>
  <si>
    <t>3. RCL apurada pelo SIAFIC, pela Contabilidade o valor da RCL foi de</t>
  </si>
  <si>
    <t>Transferências de Convênios e Instrumentos Congêneres vinculados à Assistência Social</t>
  </si>
  <si>
    <t>Modelo I - DEMONSTRATIVO DA RECEITA CORRENTE LÍQUIDA</t>
  </si>
  <si>
    <t>INSTRUÇÃO NORMATIVA Nº 13/2022 - TCE/RS.</t>
  </si>
  <si>
    <t>Lei Complementar Federal nº 101/2000 - Inciso I do artigo 53</t>
  </si>
  <si>
    <t>Codificação</t>
  </si>
  <si>
    <t>1.0.0.0.00</t>
  </si>
  <si>
    <t>(R) Dedução das Receitas Correntes</t>
  </si>
  <si>
    <t>9.1.0.0.00</t>
  </si>
  <si>
    <t>II - DEDUÇÕES: II = (1.+ 2.+ 3.+ 4.)</t>
  </si>
  <si>
    <t>1. Contribuições Socias Específicas de Estado, DF, e Municípios</t>
  </si>
  <si>
    <t>1.2.1.5.00</t>
  </si>
  <si>
    <t>Contribuições descontadas dos Servidores para o regime próprio de previdência Social - RPPS</t>
  </si>
  <si>
    <t>Contribuições descontadas dos Servidores para o Fundo de Assitência a Saúde dos Servidores Municipais - FASM</t>
  </si>
  <si>
    <t>1.9.9.9.03</t>
  </si>
  <si>
    <t>3. Remuneração dos Recursos dos Regimes Próprios de Previdência Social dos  Servidores</t>
  </si>
  <si>
    <t>1.3.2.1.04</t>
  </si>
  <si>
    <t>1.3.2.1.10</t>
  </si>
  <si>
    <t>III - RECEITA CORRENTE LÍQUIDA ( III = I - II)</t>
  </si>
  <si>
    <t>IV - Valor das Emendas Parlamentares Individuais = CO 3110 Transferências da União</t>
  </si>
  <si>
    <t>V - RECEITA CORRENTE LÍQUIDA (Endividamenteo) ( V = III - IV)</t>
  </si>
  <si>
    <t>VI - Valor das Emendas Parlamentares de Bancada = CO 3120 Transferências da União</t>
  </si>
  <si>
    <t>VII - RECEITA CORRENTE LÍQUIDA (Despesas com Pessoal) ( VII = V - VI)</t>
  </si>
  <si>
    <t>(R) Remuneracao de Rec. da Atencao basica Uniao (484)</t>
  </si>
  <si>
    <t>1.3.2.1.01.0.1.01.03.08</t>
  </si>
  <si>
    <t>(R) Remuneracao dos Recursos p/ Pgto aos ACE's (500)</t>
  </si>
  <si>
    <t>1.3.2.1.01.0.1.01.03.12</t>
  </si>
  <si>
    <t>1.7.1.3.50.1.1.02</t>
  </si>
  <si>
    <t>(R) Piso da Atencao Primaria - Agentes Comunitarios de Saude (275)</t>
  </si>
  <si>
    <t>(R) Transf.p/ pgto aos Agentes de Combate as Endemias (499)</t>
  </si>
  <si>
    <t>Modelo 2 -  DEMONSTRATIVO DA DESPESA COM PESSOAL</t>
  </si>
  <si>
    <t>Lei Complementar Federal nº 101/2000, artigo 54 e alinea "a" do Inciso I do artigo 55</t>
  </si>
  <si>
    <t>Despesa Liquidada</t>
  </si>
  <si>
    <t>I - NATUREZAS DE DESPESA</t>
  </si>
  <si>
    <t>3.1.00.00</t>
  </si>
  <si>
    <t>Contratação por Tempo Determinado</t>
  </si>
  <si>
    <t>3.3.90.04</t>
  </si>
  <si>
    <t>Outras Despesas de Pessoal Decorrente de Contratos de Terceirização - Substituição de Mão de Obra (art.18, § 1º da LRF)¹</t>
  </si>
  <si>
    <t>3.3.XX.34</t>
  </si>
  <si>
    <t>Aposentadorias do RPPS, Reserva Remunerda (com recursos do RPPS)</t>
  </si>
  <si>
    <t>Pensões do RPPS com recursos do RPPS)</t>
  </si>
  <si>
    <t>Indenizações e Restituições Trabalhista²</t>
  </si>
  <si>
    <t>III - TOTAL DAS NATUREZAS DE DESPESA ( I - II )</t>
  </si>
  <si>
    <t>RPNP do exercicio anterior ( Dedmonstrativos 1º e 2º Quadrimestre/1º Semestre).</t>
  </si>
  <si>
    <t>Itens I e II</t>
  </si>
  <si>
    <t>RPNP do exercicio anterior ( Dedmonstrativos 3º Quadrimestre/2º Semestre).</t>
  </si>
  <si>
    <t>V - TOTAL DOS RESTOS A PAGAR NÃO PROCESSADOS</t>
  </si>
  <si>
    <t>Despesas com Pessoal Não Executadas Orçamentariamente</t>
  </si>
  <si>
    <t>8.6.3.3.1</t>
  </si>
  <si>
    <t>Despesas com Pessoal nas  Entidades com Contrato de Gestão</t>
  </si>
  <si>
    <t>8.6.3.3.2</t>
  </si>
  <si>
    <t>VI - TOTAL DAS CONTAS CONTÁBEIS DE CONTROLE</t>
  </si>
  <si>
    <t>VII - TOTAL DA DESPESA COM PESSOAL ATIVO/INATIVO DA ENTIDADE: VII = (III + IV + V + VI)</t>
  </si>
  <si>
    <t>VIII - Dedução para atendimento ao disposto no art. 37, inciso XI, da Constituição Federal</t>
  </si>
  <si>
    <t xml:space="preserve">IX - DESPESA CORRENTE LÍQUIDA TOTAL COM PESSOAL: IX = VII - VIII </t>
  </si>
  <si>
    <t>12 últimos Meses</t>
  </si>
  <si>
    <t>INSTRUÇÃO NORMATIVA nº 13/2022 - TCE/RS.</t>
  </si>
  <si>
    <t>(152 e 153)</t>
  </si>
  <si>
    <t>2.1. Compensação Financeiras entre o Regime Geral e os Regimes Próprios de Previdência dos Servidores  (140)</t>
  </si>
  <si>
    <t>Rendimentos de Aplicação Financeira referente aos recursos do Fundo de Assitência a Saúde dos Servidores Municipais - FASM</t>
  </si>
  <si>
    <t>Rendimentos de Aplicação Financeira referente aos recursos do regime próprio de previdência Social - RPPS</t>
  </si>
  <si>
    <t>2.4. Recei. Dire. Fundo Assis. Saude Servi. - Divida Ativa</t>
  </si>
  <si>
    <t>2.5. Recei. Fundo Saude Servi.- Divida Ativa - Multas e Juros (199)</t>
  </si>
  <si>
    <t>4. Receitas Arrecadas na FR 0604 - Conforme EC Nº 120/2022</t>
  </si>
  <si>
    <t xml:space="preserve"> Recursos Vinculados ao Fundo de Previdência Social</t>
  </si>
  <si>
    <t>12 últimos Meses:</t>
  </si>
  <si>
    <t>3.XX.94</t>
  </si>
  <si>
    <t>Empenhos com FR 604 liquidados No GND 3.1; conforme EC Nº 120/2022</t>
  </si>
  <si>
    <t>Fonte: Tribunal de Contas do Estado do Rio Grande do Sul - Dedução dos 5,71% conforme Lei Municipal Nº 4.465, de 23 de fevereiro de 2023 e IN Nº 13/2022 - Página 7/50</t>
  </si>
  <si>
    <t>2.3. RECEITAS diretamente arrecadadas pelo FASM (133)</t>
  </si>
  <si>
    <t>2.2. RECEITAS diretamente arrecadadas pelo FAPS/RPPS (151)</t>
  </si>
  <si>
    <t>Fonte: Balancete da Receita Maio/2023 - Unidade Gestora: CONSOLIDADO</t>
  </si>
  <si>
    <t>Despesas da Contribuição suplementar ao RPPS do Poder Legislativo</t>
  </si>
  <si>
    <t>3.1.91.13.20</t>
  </si>
  <si>
    <t>Foi deduzido do valor liquido da despesa realizada com pessoal o percentual de 5,71% nos termos art. 37, inciso XI, referente a reposição salárial da inflação do exercício anterior,  medida pelo INPC.</t>
  </si>
  <si>
    <t>3.1.90.91</t>
  </si>
  <si>
    <t>3.1.90.92</t>
  </si>
  <si>
    <t>Foi alterada a metodologia cálculo da depesas com pessoal de abril para maio de 2023.</t>
  </si>
  <si>
    <t>3º Bimentre</t>
  </si>
  <si>
    <t>2º bemestre</t>
  </si>
  <si>
    <t>3º bemestre</t>
  </si>
  <si>
    <t>1º Semestre</t>
  </si>
  <si>
    <t>3º Semestre</t>
  </si>
  <si>
    <t>1º de Janeiro a 30 de Junho de 2023</t>
  </si>
  <si>
    <t>Valor de R$ 307,53 deduzido a menor no grupo para formação FUNDEB.</t>
  </si>
  <si>
    <t>²Mínimo Anual de 25% das Receitas de Impostos na Manutenção e Desenvolvimento do Ensino</t>
  </si>
  <si>
    <t>³Despesas com Ações e Serviços Públicos de Saúde executadas com recursos de impostos</t>
  </si>
  <si>
    <t>³Fonte: Cálculo do valor aplicado em ASPS foi realizado pela Contabilidade.</t>
  </si>
  <si>
    <t>²Fonte: Percentual apurado pela Contabilidade do "Mínimo Anual de 25% das Receitas de Impostos na MDE" foi de 37,12%.</t>
  </si>
  <si>
    <t>Janeiro a Junho 2023/Bimestre Maio-Junho</t>
  </si>
  <si>
    <t>Fonte: SIAFIC/Cálculos da Contabilidade.</t>
  </si>
  <si>
    <t>1º SEMESTRE DE 2023</t>
  </si>
  <si>
    <t>190.097.748,56</t>
  </si>
  <si>
    <t>25.239.939,90</t>
  </si>
  <si>
    <t>13,28</t>
  </si>
  <si>
    <t>77.235.417,23</t>
  </si>
  <si>
    <t>40,63</t>
  </si>
  <si>
    <t>112.862.331,33</t>
  </si>
  <si>
    <t>189.798.782,31</t>
  </si>
  <si>
    <t>25.186.964,56</t>
  </si>
  <si>
    <t>13,27</t>
  </si>
  <si>
    <t>76.793.103,95</t>
  </si>
  <si>
    <t>40,46</t>
  </si>
  <si>
    <t>113.005.678,36</t>
  </si>
  <si>
    <t>3.654.072,13</t>
  </si>
  <si>
    <t>18,40</t>
  </si>
  <si>
    <t>11.231.625,76</t>
  </si>
  <si>
    <t>56,55</t>
  </si>
  <si>
    <t>8.628.319,88</t>
  </si>
  <si>
    <t>3.571.507,02</t>
  </si>
  <si>
    <t>19,17</t>
  </si>
  <si>
    <t>10.711.965,67</t>
  </si>
  <si>
    <t>57,49</t>
  </si>
  <si>
    <t>7.921.314,54</t>
  </si>
  <si>
    <t>82.565,11</t>
  </si>
  <si>
    <t>6,74</t>
  </si>
  <si>
    <t>519.660,02</t>
  </si>
  <si>
    <t>42,40</t>
  </si>
  <si>
    <t>706.030,15</t>
  </si>
  <si>
    <t>1.544.730,20</t>
  </si>
  <si>
    <t>14,36</t>
  </si>
  <si>
    <t>4.858.223,68</t>
  </si>
  <si>
    <t>45,17</t>
  </si>
  <si>
    <t>5.896.347,53</t>
  </si>
  <si>
    <t>16,31</t>
  </si>
  <si>
    <t>4.578.166,36</t>
  </si>
  <si>
    <t>48,34</t>
  </si>
  <si>
    <t>4.893.124,99</t>
  </si>
  <si>
    <t>4.116.638,41</t>
  </si>
  <si>
    <t>1.662.834,56</t>
  </si>
  <si>
    <t>40,39</t>
  </si>
  <si>
    <t>7.188.732,88</t>
  </si>
  <si>
    <t>174,63</t>
  </si>
  <si>
    <t>(3.072.094,47)</t>
  </si>
  <si>
    <t>4.000,68</t>
  </si>
  <si>
    <t>0,31</t>
  </si>
  <si>
    <t>13.042,54</t>
  </si>
  <si>
    <t>1,02</t>
  </si>
  <si>
    <t>1.270.237,32</t>
  </si>
  <si>
    <t>2.833.358,55</t>
  </si>
  <si>
    <t>1.658.833,88</t>
  </si>
  <si>
    <t>58,55</t>
  </si>
  <si>
    <t>4.565.690,28</t>
  </si>
  <si>
    <t>161,14</t>
  </si>
  <si>
    <t>(1.732.331,73)</t>
  </si>
  <si>
    <t>13.772,67</t>
  </si>
  <si>
    <t>19,11</t>
  </si>
  <si>
    <t>33.779,20</t>
  </si>
  <si>
    <t>46,87</t>
  </si>
  <si>
    <t>38.287,12</t>
  </si>
  <si>
    <t>174.751,23</t>
  </si>
  <si>
    <t>10,19</t>
  </si>
  <si>
    <t>503.499,41</t>
  </si>
  <si>
    <t>29,35</t>
  </si>
  <si>
    <t>1.212.012,84</t>
  </si>
  <si>
    <t>72.977,34</t>
  </si>
  <si>
    <t>16,88</t>
  </si>
  <si>
    <t>228.016,70</t>
  </si>
  <si>
    <t>52,75</t>
  </si>
  <si>
    <t>204.215,69</t>
  </si>
  <si>
    <t>101.773,89</t>
  </si>
  <si>
    <t>7,93</t>
  </si>
  <si>
    <t>275.482,71</t>
  </si>
  <si>
    <t>21,47</t>
  </si>
  <si>
    <t>1.007.797,15</t>
  </si>
  <si>
    <t>151.220.249,49</t>
  </si>
  <si>
    <t>17.719.704,85</t>
  </si>
  <si>
    <t>11,72</t>
  </si>
  <si>
    <t>51.757.435,56</t>
  </si>
  <si>
    <t>34,23</t>
  </si>
  <si>
    <t>99.462.813,93</t>
  </si>
  <si>
    <t>61.635.382,56</t>
  </si>
  <si>
    <t>6.613.059,02</t>
  </si>
  <si>
    <t>10,73</t>
  </si>
  <si>
    <t>20.051.058,15</t>
  </si>
  <si>
    <t>32,53</t>
  </si>
  <si>
    <t>41.584.324,41</t>
  </si>
  <si>
    <t>53.552.192,94</t>
  </si>
  <si>
    <t>6.274.617,31</t>
  </si>
  <si>
    <t>17.874.630,98</t>
  </si>
  <si>
    <t>33,38</t>
  </si>
  <si>
    <t>35.677.561,96</t>
  </si>
  <si>
    <t>4.832.028,52</t>
  </si>
  <si>
    <t>13,41</t>
  </si>
  <si>
    <t>13.831.746,43</t>
  </si>
  <si>
    <t>38,39</t>
  </si>
  <si>
    <t>22.200.927,56</t>
  </si>
  <si>
    <t>417.098,92</t>
  </si>
  <si>
    <t>20,25</t>
  </si>
  <si>
    <t>1.219.807,46</t>
  </si>
  <si>
    <t>59,22</t>
  </si>
  <si>
    <t>839.991,53</t>
  </si>
  <si>
    <t>12.473,66</t>
  </si>
  <si>
    <t>6,47</t>
  </si>
  <si>
    <t>31.800,52</t>
  </si>
  <si>
    <t>16,51</t>
  </si>
  <si>
    <t>160.853,88</t>
  </si>
  <si>
    <t>8.463,02</t>
  </si>
  <si>
    <t>0,78</t>
  </si>
  <si>
    <t>42.979,86</t>
  </si>
  <si>
    <t>3,97</t>
  </si>
  <si>
    <t>1.039.791,89</t>
  </si>
  <si>
    <t>Bens, Direitos e Valores Incorporados ao Patrimônio Público</t>
  </si>
  <si>
    <t>15.589,22</t>
  </si>
  <si>
    <t>(15.589,22)</t>
  </si>
  <si>
    <t>380.573,02</t>
  </si>
  <si>
    <t>48,78</t>
  </si>
  <si>
    <t>1.129.437,86</t>
  </si>
  <si>
    <t>144,76</t>
  </si>
  <si>
    <t>(349.238,86)</t>
  </si>
  <si>
    <t>298.966,25</t>
  </si>
  <si>
    <t>52.975,34</t>
  </si>
  <si>
    <t>17,72</t>
  </si>
  <si>
    <t>442.313,28</t>
  </si>
  <si>
    <t>147,95</t>
  </si>
  <si>
    <t>(143.347,03)</t>
  </si>
  <si>
    <t>184.245,29</t>
  </si>
  <si>
    <t>16.478,16</t>
  </si>
  <si>
    <t>8,94</t>
  </si>
  <si>
    <t>322.368,20</t>
  </si>
  <si>
    <t>174,97</t>
  </si>
  <si>
    <t>(138.122,91)</t>
  </si>
  <si>
    <t>197.569,16</t>
  </si>
  <si>
    <t>107,23</t>
  </si>
  <si>
    <t>(13.323,87)</t>
  </si>
  <si>
    <t>36.497,18</t>
  </si>
  <si>
    <t>32,97</t>
  </si>
  <si>
    <t>119.945,08</t>
  </si>
  <si>
    <t>108,35</t>
  </si>
  <si>
    <t>(9.241,12)</t>
  </si>
  <si>
    <t>5.855.651,33</t>
  </si>
  <si>
    <t>12,79</t>
  </si>
  <si>
    <t>14.369.860,85</t>
  </si>
  <si>
    <t>31,39</t>
  </si>
  <si>
    <t>31.402.610,54</t>
  </si>
  <si>
    <t>FONTE: GOVBR - Responsabilidade Fiscal, SECRETARIA DE MUNICÍPIO DA FAZENDA, 26/Jul/2023, 13h e 58m.</t>
  </si>
  <si>
    <t>235.870.219,95</t>
  </si>
  <si>
    <t>31.095.591,23</t>
  </si>
  <si>
    <t>13,18</t>
  </si>
  <si>
    <t>91.605.278,08</t>
  </si>
  <si>
    <t>38,84</t>
  </si>
  <si>
    <t>144.264.941,87</t>
  </si>
  <si>
    <t>13,23</t>
  </si>
  <si>
    <t>38,98</t>
  </si>
  <si>
    <t>2.285.209,83</t>
  </si>
  <si>
    <t>173.487.151,09</t>
  </si>
  <si>
    <t>24.224.665,68</t>
  </si>
  <si>
    <t>82.405.107,07</t>
  </si>
  <si>
    <t>91.082.044,02</t>
  </si>
  <si>
    <t>25.640.148,12</t>
  </si>
  <si>
    <t>69.650.964,91</t>
  </si>
  <si>
    <t>103.836.186,18</t>
  </si>
  <si>
    <t>65.785.374,93</t>
  </si>
  <si>
    <t>161.875.125,03</t>
  </si>
  <si>
    <t>22.969.279,88</t>
  </si>
  <si>
    <t>78.390.687,77</t>
  </si>
  <si>
    <t>83.484.437,26</t>
  </si>
  <si>
    <t>24.391.308,01</t>
  </si>
  <si>
    <t>68.066.617,56</t>
  </si>
  <si>
    <t>93.808.507,47</t>
  </si>
  <si>
    <t>64.893.433,32</t>
  </si>
  <si>
    <t>113.707.707,35</t>
  </si>
  <si>
    <t>16.901.995,16</t>
  </si>
  <si>
    <t>52.464.074,11</t>
  </si>
  <si>
    <t>61.243.633,24</t>
  </si>
  <si>
    <t>17.769.387,50</t>
  </si>
  <si>
    <t>50.717.195,89</t>
  </si>
  <si>
    <t>62.990.511,46</t>
  </si>
  <si>
    <t>49.928.872,14</t>
  </si>
  <si>
    <t>569.746,56</t>
  </si>
  <si>
    <t>36.403,44</t>
  </si>
  <si>
    <t>47.561.267,68</t>
  </si>
  <si>
    <t>5.834.697,22</t>
  </si>
  <si>
    <t>25.356.867,10</t>
  </si>
  <si>
    <t>22.204.400,58</t>
  </si>
  <si>
    <t>6.389.333,01</t>
  </si>
  <si>
    <t>16.779.675,11</t>
  </si>
  <si>
    <t>30.781.592,57</t>
  </si>
  <si>
    <t>14.627.402,12</t>
  </si>
  <si>
    <t>11.611.882,99</t>
  </si>
  <si>
    <t>1.255.385,80</t>
  </si>
  <si>
    <t>4.014.419,30</t>
  </si>
  <si>
    <t>7.597.463,69</t>
  </si>
  <si>
    <t>1.248.840,11</t>
  </si>
  <si>
    <t>1.584.347,35</t>
  </si>
  <si>
    <t>10.027.535,64</t>
  </si>
  <si>
    <t>891.941,61</t>
  </si>
  <si>
    <t>11.611.119,99</t>
  </si>
  <si>
    <t>7.596.700,69</t>
  </si>
  <si>
    <t>10.026.772,64</t>
  </si>
  <si>
    <t>49.031.748,02</t>
  </si>
  <si>
    <t>7.109.298,89</t>
  </si>
  <si>
    <t>21.266.260,17</t>
  </si>
  <si>
    <t>27.765.487,85</t>
  </si>
  <si>
    <t>9.814.452,91</t>
  </si>
  <si>
    <t>222.518.899,11</t>
  </si>
  <si>
    <t>31.333.964,57</t>
  </si>
  <si>
    <t>103.671.367,24</t>
  </si>
  <si>
    <t>118.847.531,87</t>
  </si>
  <si>
    <t>32.749.447,01</t>
  </si>
  <si>
    <t>90.917.225,08</t>
  </si>
  <si>
    <t>131.601.674,03</t>
  </si>
  <si>
    <t>75.599.827,84</t>
  </si>
  <si>
    <t>688.053,00</t>
  </si>
  <si>
    <t>16.005.450,24</t>
  </si>
  <si>
    <t>5.853.962,25</t>
  </si>
  <si>
    <t>14.356.973,91</t>
  </si>
  <si>
    <t>31,37</t>
  </si>
  <si>
    <t>31.415.497,48</t>
  </si>
  <si>
    <t>5.632.149,77</t>
  </si>
  <si>
    <t>12,33</t>
  </si>
  <si>
    <t>13.683.589,93</t>
  </si>
  <si>
    <t>29,95</t>
  </si>
  <si>
    <t>32.002.761,78</t>
  </si>
  <si>
    <t>221.812,48</t>
  </si>
  <si>
    <t>257,56</t>
  </si>
  <si>
    <t>673.383,98</t>
  </si>
  <si>
    <t>781,92</t>
  </si>
  <si>
    <t>(587.264,30)</t>
  </si>
  <si>
    <t>(673.383,98)</t>
  </si>
  <si>
    <t>1.689,08</t>
  </si>
  <si>
    <t>12.886,94</t>
  </si>
  <si>
    <t>(12.886,94)</t>
  </si>
  <si>
    <t>49.031.346,02</t>
  </si>
  <si>
    <t>27.765.085,85</t>
  </si>
  <si>
    <t>40.942.898,74</t>
  </si>
  <si>
    <t>6.723.922,88</t>
  </si>
  <si>
    <t>20.119.178,92</t>
  </si>
  <si>
    <t>20.823.719,82</t>
  </si>
  <si>
    <t>9.633.197,23</t>
  </si>
  <si>
    <t>8.088.146,28</t>
  </si>
  <si>
    <t>385.376,01</t>
  </si>
  <si>
    <t>1.147.081,25</t>
  </si>
  <si>
    <t>6.941.065,03</t>
  </si>
  <si>
    <t>181.255,68</t>
  </si>
  <si>
    <t xml:space="preserve">                        __________________________________     __________________________________     __________________________________                   
                        GIOVANI AMESTOY DA SILVA                 IHOKO NAKASHIMA MOTA                    ARLEI LOPES SOUZA                            
                           PREFEITO MUNICIPAL             SECRETARIA DE MUNICIPIO DA FAZENDA               610.320.420-87                             
                           CPF: 009.854.830-16                    CPF: 390.226.680-53                  CONTADOR: RS-068452/O-6</t>
  </si>
  <si>
    <t>181.748.299,79</t>
  </si>
  <si>
    <t>69.866.411,83</t>
  </si>
  <si>
    <t>1.876.271,30</t>
  </si>
  <si>
    <t>4.098.230,35</t>
  </si>
  <si>
    <t>1.323.448,60</t>
  </si>
  <si>
    <t>3.414.015,42</t>
  </si>
  <si>
    <t>519.660,09</t>
  </si>
  <si>
    <t>5.173.184,02</t>
  </si>
  <si>
    <t>1.874.097,11</t>
  </si>
  <si>
    <t>1.658.863,08</t>
  </si>
  <si>
    <t>3.506.703,93</t>
  </si>
  <si>
    <t>375.583,22</t>
  </si>
  <si>
    <t>883.661,33</t>
  </si>
  <si>
    <t>2.623.042,60</t>
  </si>
  <si>
    <t>15.258.195,82</t>
  </si>
  <si>
    <t>12.704.145,98</t>
  </si>
  <si>
    <t>2.591.762,01</t>
  </si>
  <si>
    <t>41.836,46</t>
  </si>
  <si>
    <t>125.420,34</t>
  </si>
  <si>
    <t>36.155.954,19</t>
  </si>
  <si>
    <t>14.033.104,51</t>
  </si>
  <si>
    <t>46.557.682,49</t>
  </si>
  <si>
    <t>7.002.970,44</t>
  </si>
  <si>
    <t>1.496.549,47</t>
  </si>
  <si>
    <t>275.488,18</t>
  </si>
  <si>
    <t>1.221.061,29</t>
  </si>
  <si>
    <t>180.064.275,63</t>
  </si>
  <si>
    <t>68.707.262,32</t>
  </si>
  <si>
    <t>51.365.178,58</t>
  </si>
  <si>
    <t>17.601.637,08</t>
  </si>
  <si>
    <t>3.682.028,95</t>
  </si>
  <si>
    <t>3.154,29</t>
  </si>
  <si>
    <t>141.277,20</t>
  </si>
  <si>
    <t>294.949,25</t>
  </si>
  <si>
    <t>231.724.403,46</t>
  </si>
  <si>
    <t>86.751.212,68</t>
  </si>
  <si>
    <t>180.359.224,88</t>
  </si>
  <si>
    <t>69.149.575,60</t>
  </si>
  <si>
    <t>173.839.685,57</t>
  </si>
  <si>
    <t>82.309.180,01</t>
  </si>
  <si>
    <t>72.002.160,34</t>
  </si>
  <si>
    <t>57.385.479,66</t>
  </si>
  <si>
    <t>7.620.012,06</t>
  </si>
  <si>
    <t>1.570.123,92</t>
  </si>
  <si>
    <t>1.483.408,25</t>
  </si>
  <si>
    <t>117.650.330,61</t>
  </si>
  <si>
    <t>55.257.636,74</t>
  </si>
  <si>
    <t>53.510.758,52</t>
  </si>
  <si>
    <t>42.244.688,90</t>
  </si>
  <si>
    <t>4.146.277,03</t>
  </si>
  <si>
    <t>55.582.903,96</t>
  </si>
  <si>
    <t>26.481.796,71</t>
  </si>
  <si>
    <t>17.921.655,26</t>
  </si>
  <si>
    <t>14.803.631,70</t>
  </si>
  <si>
    <t>3.473.735,03</t>
  </si>
  <si>
    <t>1.167.582,57</t>
  </si>
  <si>
    <t>1.080.866,90</t>
  </si>
  <si>
    <t>173.233.234,57</t>
  </si>
  <si>
    <t>81.739.433,45</t>
  </si>
  <si>
    <t>71.432.413,78</t>
  </si>
  <si>
    <t>57.048.320,60</t>
  </si>
  <si>
    <t>17.347.767,93</t>
  </si>
  <si>
    <t>17.330.717,39</t>
  </si>
  <si>
    <t>17.322.406,57</t>
  </si>
  <si>
    <t>11.598.804,99</t>
  </si>
  <si>
    <t>184.114,48</t>
  </si>
  <si>
    <t>1.455.778,87</t>
  </si>
  <si>
    <t>1.413.701,79</t>
  </si>
  <si>
    <t>FONTE: GOVBR - Responsabilidade Fiscal, SECRETARIA DE MUNICÍPIO DA FAZENDA, 26/Jul/2023, 14h e 05m.</t>
  </si>
  <si>
    <t>11.597.639,99</t>
  </si>
  <si>
    <t>171.227,54</t>
  </si>
  <si>
    <t>11.597.891,99</t>
  </si>
  <si>
    <t>143,07</t>
  </si>
  <si>
    <t>221.911.392,04</t>
  </si>
  <si>
    <t>103.101.620,68</t>
  </si>
  <si>
    <t>90.347.478,52</t>
  </si>
  <si>
    <t>75.262.668,78</t>
  </si>
  <si>
    <t>7.795.247,99</t>
  </si>
  <si>
    <t>3.025.902,79</t>
  </si>
  <si>
    <t>2.897.110,04</t>
  </si>
  <si>
    <t>184.831.126,56</t>
  </si>
  <si>
    <t>85.753.852,75</t>
  </si>
  <si>
    <t>73.016.761,13</t>
  </si>
  <si>
    <t>57.940.262,21</t>
  </si>
  <si>
    <t>7.791.239,60</t>
  </si>
  <si>
    <t>796.185,87</t>
  </si>
  <si>
    <t>520.963,75</t>
  </si>
  <si>
    <t>941.256,95</t>
  </si>
  <si>
    <t>892.474,14</t>
  </si>
  <si>
    <t>Até o 3º Bimestre</t>
  </si>
  <si>
    <t>8.163.947,47</t>
  </si>
  <si>
    <t>1.572.780,48</t>
  </si>
  <si>
    <t>1.038.637,74</t>
  </si>
  <si>
    <t>19.126.609,40</t>
  </si>
  <si>
    <t>24.490.260,68</t>
  </si>
  <si>
    <t>16.821.841,95</t>
  </si>
  <si>
    <t>1.266.129,71</t>
  </si>
  <si>
    <t>5.103.593,02</t>
  </si>
  <si>
    <t>6.591.166,99</t>
  </si>
  <si>
    <t>-1.487.573,97</t>
  </si>
  <si>
    <t>VARIAÇÃO SALDO RPP = (XLIV) = (XLIb - XLIa)</t>
  </si>
  <si>
    <t>-7.668.418,73</t>
  </si>
  <si>
    <t>RESULTADO NOMINAL (SEM RPPS) AJUSTADO - Abaixo da Linha (L) = [XLIII + ( XLIV - XLV - XLVI + XLVII + XLVIII) +/- (XLXIX)]</t>
  </si>
  <si>
    <t>-9.155.992,70</t>
  </si>
  <si>
    <t>-9.527.503,09</t>
  </si>
  <si>
    <t xml:space="preserve">               __________________________________     __________________________________     __________________________________                   
                        GIOVANI AMESTOY DA SILVA                 IHOKO NAKASHIMA MOTA                    ARLEI LOPES SOUZA                            
                           PREFEITO MUNICIPAL             SECRETARIA DE MUNICIPIO DA FAZENDA               610.320.420-87                             
                           CPF: 009.854.830-16                    CPF: 390.226.680-53                  CONTADOR: RS-068452/O-6</t>
  </si>
  <si>
    <t>Junho de 2023</t>
  </si>
  <si>
    <t>21.195.390,67</t>
  </si>
  <si>
    <t>3.558.746,49</t>
  </si>
  <si>
    <t>2.567.122,29</t>
  </si>
  <si>
    <t>932.249,75</t>
  </si>
  <si>
    <t>59.374,45</t>
  </si>
  <si>
    <t>13.036.816,64</t>
  </si>
  <si>
    <t>10.683.676,91</t>
  </si>
  <si>
    <t>2.219.377,07</t>
  </si>
  <si>
    <t>133.762,66</t>
  </si>
  <si>
    <t>3.665.906,96</t>
  </si>
  <si>
    <t>933.920,58</t>
  </si>
  <si>
    <t>260.536,60</t>
  </si>
  <si>
    <t>21.208.277,61</t>
  </si>
  <si>
    <t>17.325.616,29</t>
  </si>
  <si>
    <t>17.317.380,47</t>
  </si>
  <si>
    <t>15.470.021,95</t>
  </si>
  <si>
    <t>15.464.795,96</t>
  </si>
  <si>
    <t>1.855.594,34</t>
  </si>
  <si>
    <t>1.852.584,51</t>
  </si>
  <si>
    <t>3.882.661,32</t>
  </si>
  <si>
    <t>3.890.897,14</t>
  </si>
  <si>
    <t>FONTE: GOVBR - Responsabilidade Fiscal, SECRETARIA DE MUNICÍPIO DA FAZENDA, 26/Jul/2023, 14h e 11m.</t>
  </si>
  <si>
    <t>28.182.618,09</t>
  </si>
  <si>
    <t>22.786.277,91</t>
  </si>
  <si>
    <t>26.519.378,34</t>
  </si>
  <si>
    <t>88.275,36</t>
  </si>
  <si>
    <t>22.151,64</t>
  </si>
  <si>
    <t>5.101,10</t>
  </si>
  <si>
    <t>5.026,10</t>
  </si>
  <si>
    <t>66.123,72</t>
  </si>
  <si>
    <t>83.174,26</t>
  </si>
  <si>
    <t>83.249,26</t>
  </si>
  <si>
    <t>299.093,38</t>
  </si>
  <si>
    <t>__________________________________     __________________________________     __________________________________                    GIOVANI AMESTOY DA SILVA                 IHOKO NAKASHIMA MOTA                    ARLEI LOPES SOUZA                            
PREFEITO MUNICIPAL             SECRETARIA DE MUNICIPIO DA FAZENDA               610.320.420-87                             
CPF: 009.854.830-16                    CPF: 390.226.680-53                  CONTADOR: RS-068452/O-6</t>
  </si>
  <si>
    <t>38.402.085,18</t>
  </si>
  <si>
    <t>19.072.744,61</t>
  </si>
  <si>
    <t>15.880.541,99</t>
  </si>
  <si>
    <t>156.800,45</t>
  </si>
  <si>
    <t>52.295,48</t>
  </si>
  <si>
    <t>3.239.702,65</t>
  </si>
  <si>
    <t>49.114.050,85</t>
  </si>
  <si>
    <t>7.680.417,04</t>
  </si>
  <si>
    <t>4.598.095,68</t>
  </si>
  <si>
    <t>13.904.664,05</t>
  </si>
  <si>
    <t>72.917,62</t>
  </si>
  <si>
    <t>FONTE: GOVBR - Responsabilidade Fiscal, SECRETARIA DE MUNICÍPIO DA FAZENDA, 26/Jul/2023, 14h e 19m.</t>
  </si>
  <si>
    <t>6.151.329,39</t>
  </si>
  <si>
    <t>21.933.431,66</t>
  </si>
  <si>
    <t>9.360.586,05</t>
  </si>
  <si>
    <t>9.359.506,15</t>
  </si>
  <si>
    <t>9.081.020,08</t>
  </si>
  <si>
    <t>20.830.997,02</t>
  </si>
  <si>
    <t>8.805.705,35</t>
  </si>
  <si>
    <t>8.804.625,45</t>
  </si>
  <si>
    <t>8.746.000,23</t>
  </si>
  <si>
    <t>4.309.053,94</t>
  </si>
  <si>
    <t>1.686.246,37</t>
  </si>
  <si>
    <t>1.680.987,74</t>
  </si>
  <si>
    <t>15.150.901,17</t>
  </si>
  <si>
    <t>6.579.370,53</t>
  </si>
  <si>
    <t>6.578.290,63</t>
  </si>
  <si>
    <t>6.524.924,04</t>
  </si>
  <si>
    <t>156.934,50</t>
  </si>
  <si>
    <t>383.153,95</t>
  </si>
  <si>
    <t>1.102.434,64</t>
  </si>
  <si>
    <t>554.880,70</t>
  </si>
  <si>
    <t>335.019,85</t>
  </si>
  <si>
    <t>373.667,74</t>
  </si>
  <si>
    <t>345.109,29</t>
  </si>
  <si>
    <t>410.036,56</t>
  </si>
  <si>
    <t>209.771,41</t>
  </si>
  <si>
    <t>DESPESAS LIQUIDADAS / EMPENHADAS EM VALOR SUPERIOR AO TOTAL DAS RECEITAS RECEBIDAS NO EXERCÍCIO (i)</t>
  </si>
  <si>
    <t>14.803.232,44</t>
  </si>
  <si>
    <t>14.802.152,54</t>
  </si>
  <si>
    <t>13.479.439,51</t>
  </si>
  <si>
    <t>897.488,49</t>
  </si>
  <si>
    <t>13.749.811,80</t>
  </si>
  <si>
    <t>13.748.731,90</t>
  </si>
  <si>
    <t>12.750.887,83</t>
  </si>
  <si>
    <t>9.733.264,84</t>
  </si>
  <si>
    <t>1.390.466,41</t>
  </si>
  <si>
    <t>VALOR APLICADO ATÉ O PRIMEIRO QUADRIMESTRE QUE INTEGRARÁ O LIMITE CONSTITUCIONAL
(x)</t>
  </si>
  <si>
    <t>10.018.562,32</t>
  </si>
  <si>
    <t>9.852.578,09</t>
  </si>
  <si>
    <t>7.574.811,72</t>
  </si>
  <si>
    <t>4.817.139,65</t>
  </si>
  <si>
    <t>2.144.487,40</t>
  </si>
  <si>
    <t>2.115.585,98</t>
  </si>
  <si>
    <t>1.636.654,60</t>
  </si>
  <si>
    <t>7.492.472,41</t>
  </si>
  <si>
    <t>4.257.227,79</t>
  </si>
  <si>
    <t>4.134.054,53</t>
  </si>
  <si>
    <t>3.679.393,59</t>
  </si>
  <si>
    <t>164.381,94</t>
  </si>
  <si>
    <t>62.197,70</t>
  </si>
  <si>
    <t>59.829,42</t>
  </si>
  <si>
    <t>319.593,17</t>
  </si>
  <si>
    <t>314.623,54</t>
  </si>
  <si>
    <t>284.370,98</t>
  </si>
  <si>
    <t>22.498,42</t>
  </si>
  <si>
    <t>14.173,93</t>
  </si>
  <si>
    <t>11.686,22</t>
  </si>
  <si>
    <t>7.742.453,15</t>
  </si>
  <si>
    <t>3.212.557,84</t>
  </si>
  <si>
    <t>3.211.942,41</t>
  </si>
  <si>
    <t>1.902.876,91</t>
  </si>
  <si>
    <t>24.821.794,76</t>
  </si>
  <si>
    <t>24.654.730,63</t>
  </si>
  <si>
    <t>21.054.251,23</t>
  </si>
  <si>
    <t>14.450.240,04</t>
  </si>
  <si>
    <t>5.152.136,16</t>
  </si>
  <si>
    <t>5.123.234,74</t>
  </si>
  <si>
    <t>4.361.774,52</t>
  </si>
  <si>
    <t>5.848.201,56</t>
  </si>
  <si>
    <t>3.824.118,72</t>
  </si>
  <si>
    <t>3.795.217,30</t>
  </si>
  <si>
    <t>3.186.671,84</t>
  </si>
  <si>
    <t>8.602.038,48</t>
  </si>
  <si>
    <t>1.328.017,44</t>
  </si>
  <si>
    <t>1.175.102,68</t>
  </si>
  <si>
    <t>42.724.055,98</t>
  </si>
  <si>
    <t>19.669.658,60</t>
  </si>
  <si>
    <t>19.531.495,89</t>
  </si>
  <si>
    <t>16.692.476,71</t>
  </si>
  <si>
    <t>25- VALOR APLICADO ATÉ O PRIMEIRO QUADRIMESTRE QUE INTEGRARÁ O LIMITE CONSTITUCIONAL = L19.1(x)</t>
  </si>
  <si>
    <t>28- TOTAL DAS DESPESAS PARA FINS DE LIMITE  (22 + 23 - 24 + 25 - 26 - 27)</t>
  </si>
  <si>
    <t>17.532.937,29</t>
  </si>
  <si>
    <t>12.278.512,71</t>
  </si>
  <si>
    <t>302.368,30</t>
  </si>
  <si>
    <t>1.884.457,38</t>
  </si>
  <si>
    <t>4.582.905,04</t>
  </si>
  <si>
    <t>1.237.495,70</t>
  </si>
  <si>
    <t>4.509.883,96</t>
  </si>
  <si>
    <t>5.149.495,43</t>
  </si>
  <si>
    <t>3.275.107,77</t>
  </si>
  <si>
    <t>2.648.836,59</t>
  </si>
  <si>
    <t>1.525.814,50</t>
  </si>
  <si>
    <t>2.032.523,75</t>
  </si>
  <si>
    <t>1.167.375,82</t>
  </si>
  <si>
    <t>124,43</t>
  </si>
  <si>
    <t>280.222,34</t>
  </si>
  <si>
    <t>123.878,40</t>
  </si>
  <si>
    <t>77.965,73</t>
  </si>
  <si>
    <t>126,18</t>
  </si>
  <si>
    <t>1.748.504,91</t>
  </si>
  <si>
    <t>788,36</t>
  </si>
  <si>
    <t>6.708.813,87</t>
  </si>
  <si>
    <t>4.205.851,49</t>
  </si>
  <si>
    <t>3.375.662,03</t>
  </si>
  <si>
    <t>2.961.057,73</t>
  </si>
  <si>
    <t>1.020.459,14</t>
  </si>
  <si>
    <t>696.674,93</t>
  </si>
  <si>
    <t>404.251,98</t>
  </si>
  <si>
    <t>398.218,26</t>
  </si>
  <si>
    <t>3.878.486,17</t>
  </si>
  <si>
    <t>1.792.481,38</t>
  </si>
  <si>
    <t>1.345.099,16</t>
  </si>
  <si>
    <t>1.129.964,34</t>
  </si>
  <si>
    <t>1.593.068,59</t>
  </si>
  <si>
    <t>1.540.778,30</t>
  </si>
  <si>
    <t>1.367.175,44</t>
  </si>
  <si>
    <t>3.841,50</t>
  </si>
  <si>
    <t>98.563,00</t>
  </si>
  <si>
    <t>53.841,50</t>
  </si>
  <si>
    <t>16.341,50</t>
  </si>
  <si>
    <t>15.420,68</t>
  </si>
  <si>
    <t>65.943,59</t>
  </si>
  <si>
    <t>65.349,59</t>
  </si>
  <si>
    <t>46.437,51</t>
  </si>
  <si>
    <t>63.883.109,89</t>
  </si>
  <si>
    <t>29.027.646,25</t>
  </si>
  <si>
    <t>28.030.392,66</t>
  </si>
  <si>
    <t>24.015.308,96</t>
  </si>
  <si>
    <t>62.423.717,84</t>
  </si>
  <si>
    <t>28.873.006,52</t>
  </si>
  <si>
    <t>27.929.284,94</t>
  </si>
  <si>
    <t>23.952.510,40</t>
  </si>
  <si>
    <t>52.124.983,58</t>
  </si>
  <si>
    <t>23.421.083,13</t>
  </si>
  <si>
    <t>23.419.387,80</t>
  </si>
  <si>
    <t>20.181.762,68</t>
  </si>
  <si>
    <t>12.500,00</t>
  </si>
  <si>
    <t>9.900.344,12</t>
  </si>
  <si>
    <t>5.401.923,39</t>
  </si>
  <si>
    <t>4.497.397,14</t>
  </si>
  <si>
    <t>3.758.247,72</t>
  </si>
  <si>
    <t>1.459.392,05</t>
  </si>
  <si>
    <t>154.639,73</t>
  </si>
  <si>
    <t>101.107,72</t>
  </si>
  <si>
    <t>62.798,56</t>
  </si>
  <si>
    <t>14.126.401,19</t>
  </si>
  <si>
    <t>1.267.111,01</t>
  </si>
  <si>
    <t>614.395,43</t>
  </si>
  <si>
    <t>921.449,28</t>
  </si>
  <si>
    <t>Janeiro a Junho 2023/Meses Janeiro-Junho</t>
  </si>
  <si>
    <t>55,38</t>
  </si>
  <si>
    <t>55,70</t>
  </si>
  <si>
    <t>57,19</t>
  </si>
  <si>
    <t>59,86</t>
  </si>
  <si>
    <t>46,55</t>
  </si>
  <si>
    <t>51,18</t>
  </si>
  <si>
    <t>4,32</t>
  </si>
  <si>
    <t>46,29</t>
  </si>
  <si>
    <t>43,47</t>
  </si>
  <si>
    <t>32,24</t>
  </si>
  <si>
    <t>48,57</t>
  </si>
  <si>
    <t>3.171.582,78</t>
  </si>
  <si>
    <t>1.606.993,85</t>
  </si>
  <si>
    <t>50,67</t>
  </si>
  <si>
    <t>1.271.799,94</t>
  </si>
  <si>
    <t>40,10</t>
  </si>
  <si>
    <t>1.203.425,41</t>
  </si>
  <si>
    <t>37,94</t>
  </si>
  <si>
    <t>3.003.849,81</t>
  </si>
  <si>
    <t>53,50</t>
  </si>
  <si>
    <t>42,34</t>
  </si>
  <si>
    <t>40,06</t>
  </si>
  <si>
    <t>167.732,97</t>
  </si>
  <si>
    <t>15.328.373,29</t>
  </si>
  <si>
    <t>8.512.146,09</t>
  </si>
  <si>
    <t>55,53</t>
  </si>
  <si>
    <t>5.525.471,63</t>
  </si>
  <si>
    <t>36,05</t>
  </si>
  <si>
    <t>5.447.288,76</t>
  </si>
  <si>
    <t>35,54</t>
  </si>
  <si>
    <t>15.288.273,29</t>
  </si>
  <si>
    <t>55,68</t>
  </si>
  <si>
    <t>36,14</t>
  </si>
  <si>
    <t>35,63</t>
  </si>
  <si>
    <t>40.100,00</t>
  </si>
  <si>
    <t>431.095,95</t>
  </si>
  <si>
    <t>34,40</t>
  </si>
  <si>
    <t>302.157,49</t>
  </si>
  <si>
    <t>24,11</t>
  </si>
  <si>
    <t>227.535,29</t>
  </si>
  <si>
    <t>18,16</t>
  </si>
  <si>
    <t>63.376,55</t>
  </si>
  <si>
    <t>13,25</t>
  </si>
  <si>
    <t>59.729,73</t>
  </si>
  <si>
    <t>12,49</t>
  </si>
  <si>
    <t>34.518,03</t>
  </si>
  <si>
    <t>7,22</t>
  </si>
  <si>
    <t>301.919,90</t>
  </si>
  <si>
    <t>40,20</t>
  </si>
  <si>
    <t>297.404,90</t>
  </si>
  <si>
    <t>39,60</t>
  </si>
  <si>
    <t>285.180,17</t>
  </si>
  <si>
    <t>37,98</t>
  </si>
  <si>
    <t>15.332.046,53</t>
  </si>
  <si>
    <t>6.446.539,83</t>
  </si>
  <si>
    <t>42,05</t>
  </si>
  <si>
    <t>6.185.449,14</t>
  </si>
  <si>
    <t>40,34</t>
  </si>
  <si>
    <t>3.390.890,97</t>
  </si>
  <si>
    <t>22,12</t>
  </si>
  <si>
    <t>15.210.956,39</t>
  </si>
  <si>
    <t>6.444.640,83</t>
  </si>
  <si>
    <t>42,37</t>
  </si>
  <si>
    <t>6.183.550,14</t>
  </si>
  <si>
    <t>40,65</t>
  </si>
  <si>
    <t>3.389.790,97</t>
  </si>
  <si>
    <t>22,29</t>
  </si>
  <si>
    <t>FONTE: GOVBR - Responsabilidade Fiscal, SECRETARIA DE MUNICÍPIO DA FAZENDA, 26/Jul/2023, 14h e 22m.</t>
  </si>
  <si>
    <t>1.100,00</t>
  </si>
  <si>
    <t>0,91</t>
  </si>
  <si>
    <t>17.362.072,17</t>
  </si>
  <si>
    <t>47,81</t>
  </si>
  <si>
    <t>13.642.012,83</t>
  </si>
  <si>
    <t>37,57</t>
  </si>
  <si>
    <t>10.588.838,63</t>
  </si>
  <si>
    <t>29,16</t>
  </si>
  <si>
    <t>7.367.107,63</t>
  </si>
  <si>
    <t>6.274.905,20</t>
  </si>
  <si>
    <t>3.221.731,00</t>
  </si>
  <si>
    <t>27,78</t>
  </si>
  <si>
    <t>4.286.246,48</t>
  </si>
  <si>
    <t>2.136.931,38</t>
  </si>
  <si>
    <t>49,86</t>
  </si>
  <si>
    <t>3.257.903,07</t>
  </si>
  <si>
    <t>1.604.718,44</t>
  </si>
  <si>
    <t>49,26</t>
  </si>
  <si>
    <t>532.212,94</t>
  </si>
  <si>
    <t>51,75</t>
  </si>
  <si>
    <t>1.371.651,35</t>
  </si>
  <si>
    <t>692.490,33</t>
  </si>
  <si>
    <t>50,49</t>
  </si>
  <si>
    <t>5.485.020,92</t>
  </si>
  <si>
    <t>5.657.897,83</t>
  </si>
  <si>
    <t>2.829.421,71</t>
  </si>
  <si>
    <t>50,01</t>
  </si>
  <si>
    <t>4.839.538,74</t>
  </si>
  <si>
    <t>1.974.869,91</t>
  </si>
  <si>
    <t>40,81</t>
  </si>
  <si>
    <t>1.917.064,04</t>
  </si>
  <si>
    <t>39,61</t>
  </si>
  <si>
    <t>1.908.498,18</t>
  </si>
  <si>
    <t>39,44</t>
  </si>
  <si>
    <t>4.480.439,74</t>
  </si>
  <si>
    <t>1.944.941,38</t>
  </si>
  <si>
    <t>43,41</t>
  </si>
  <si>
    <t>1.887.135,51</t>
  </si>
  <si>
    <t>42,12</t>
  </si>
  <si>
    <t>1.878.569,65</t>
  </si>
  <si>
    <t>41,93</t>
  </si>
  <si>
    <t>359.099,00</t>
  </si>
  <si>
    <t>29.928,53</t>
  </si>
  <si>
    <t>8,33</t>
  </si>
  <si>
    <t>716.837,94</t>
  </si>
  <si>
    <t>56,71</t>
  </si>
  <si>
    <t>665.068,87</t>
  </si>
  <si>
    <t>52,61</t>
  </si>
  <si>
    <t>583.408,23</t>
  </si>
  <si>
    <t>275.282,21</t>
  </si>
  <si>
    <t>61,22</t>
  </si>
  <si>
    <t>254.750,78</t>
  </si>
  <si>
    <t>56,65</t>
  </si>
  <si>
    <t>201.404,63</t>
  </si>
  <si>
    <t>44,79</t>
  </si>
  <si>
    <t>259.482,21</t>
  </si>
  <si>
    <t>59,84</t>
  </si>
  <si>
    <t>238.950,78</t>
  </si>
  <si>
    <t>55,10</t>
  </si>
  <si>
    <t>185.604,63</t>
  </si>
  <si>
    <t>42,80</t>
  </si>
  <si>
    <t>10.277,60</t>
  </si>
  <si>
    <t>84,49</t>
  </si>
  <si>
    <t>6.711,95</t>
  </si>
  <si>
    <t>55,18</t>
  </si>
  <si>
    <t>4.951,95</t>
  </si>
  <si>
    <t>40,71</t>
  </si>
  <si>
    <t>289.231,98</t>
  </si>
  <si>
    <t>75.013,97</t>
  </si>
  <si>
    <t>25,94</t>
  </si>
  <si>
    <t>57.855,98</t>
  </si>
  <si>
    <t>20,00</t>
  </si>
  <si>
    <t>56.792,32</t>
  </si>
  <si>
    <t>19,64</t>
  </si>
  <si>
    <t>289.226,98</t>
  </si>
  <si>
    <t>115.943,69</t>
  </si>
  <si>
    <t>0,51</t>
  </si>
  <si>
    <t>15.045,65</t>
  </si>
  <si>
    <t>3,96</t>
  </si>
  <si>
    <t>6.970.658,70</t>
  </si>
  <si>
    <t>3.052.877,63</t>
  </si>
  <si>
    <t>43,80</t>
  </si>
  <si>
    <t>2.902.047,62</t>
  </si>
  <si>
    <t>41,63</t>
  </si>
  <si>
    <t>2.755.651,31</t>
  </si>
  <si>
    <t>39,53</t>
  </si>
  <si>
    <t>8.011.121,52</t>
  </si>
  <si>
    <t>3.581.863,76</t>
  </si>
  <si>
    <t>44,71</t>
  </si>
  <si>
    <t>3.188.863,98</t>
  </si>
  <si>
    <t>39,81</t>
  </si>
  <si>
    <t>3.111.923,59</t>
  </si>
  <si>
    <t>38,85</t>
  </si>
  <si>
    <t>16.592.495,76</t>
  </si>
  <si>
    <t>9.228.984,03</t>
  </si>
  <si>
    <t>55,62</t>
  </si>
  <si>
    <t>6.190.540,50</t>
  </si>
  <si>
    <t>37,31</t>
  </si>
  <si>
    <t>6.030.696,99</t>
  </si>
  <si>
    <t>36,35</t>
  </si>
  <si>
    <t>706.378,16</t>
  </si>
  <si>
    <t>41,48</t>
  </si>
  <si>
    <t>556.908,27</t>
  </si>
  <si>
    <t>32,70</t>
  </si>
  <si>
    <t>428.939,92</t>
  </si>
  <si>
    <t>25,19</t>
  </si>
  <si>
    <t>73.654,15</t>
  </si>
  <si>
    <t>15,02</t>
  </si>
  <si>
    <t>66.441,68</t>
  </si>
  <si>
    <t>13,55</t>
  </si>
  <si>
    <t>39.469,98</t>
  </si>
  <si>
    <t>8,05</t>
  </si>
  <si>
    <t>1.040.189,60</t>
  </si>
  <si>
    <t>376.933,87</t>
  </si>
  <si>
    <t>36,24</t>
  </si>
  <si>
    <t>355.260,88</t>
  </si>
  <si>
    <t>34,15</t>
  </si>
  <si>
    <t>341.972,49</t>
  </si>
  <si>
    <t>32,88</t>
  </si>
  <si>
    <t>15.447.990,22</t>
  </si>
  <si>
    <t>6.447.135,83</t>
  </si>
  <si>
    <t>41,73</t>
  </si>
  <si>
    <t>6.186.045,14</t>
  </si>
  <si>
    <t>40,04</t>
  </si>
  <si>
    <t>3.391.486,97</t>
  </si>
  <si>
    <t>21,95</t>
  </si>
  <si>
    <t>43.285.142,45</t>
  </si>
  <si>
    <t>20.414.949,80</t>
  </si>
  <si>
    <t>47,16</t>
  </si>
  <si>
    <t>16.544.060,45</t>
  </si>
  <si>
    <t>38,22</t>
  </si>
  <si>
    <t>13.344.489,94</t>
  </si>
  <si>
    <t>30,83</t>
  </si>
  <si>
    <t>JANEIRO A JUNHO 2023/BIMESTRE MAIO-JUNHO</t>
  </si>
  <si>
    <t>11.612.284,99</t>
  </si>
  <si>
    <t>7.597.865,69</t>
  </si>
  <si>
    <t>11.612.282,99</t>
  </si>
  <si>
    <t>7.597.863,69</t>
  </si>
  <si>
    <t>FONTE: GOVBR - Responsabilidade Fiscal, SECRETARIA DE MUNICÍPIO DA FAZENDA, 26/Jul/2023, 14h e 27m.</t>
  </si>
  <si>
    <t>CPF: 610.320.420.87</t>
  </si>
  <si>
    <t>JANEIRO A JUNHO DE 2023</t>
  </si>
  <si>
    <t>Semestre</t>
  </si>
  <si>
    <t>Demais Dívidas Contratuais - Cessão onerosa da F. de Pgto</t>
  </si>
  <si>
    <t>DESPESA/2023</t>
  </si>
  <si>
    <t>com a Educação representa 30,83% e de Nº 10 que lida com a Saúde 18,20%, respectivamente da Despesa Total Líquidada.</t>
  </si>
  <si>
    <t>Restos a Pagar de exercícios anteriores pagos no período de Janeiro a Junho de 2023, totalizou:</t>
  </si>
  <si>
    <t>Período:Janeiro a junho</t>
  </si>
  <si>
    <t>POSIÇÃO DAS OBRIGAÇÕES REALIZADAS ATÉ JUNHO DE 2023.</t>
  </si>
  <si>
    <t>Disponibilidade Financeira do Recurso Vinculado - Junho de 2023</t>
  </si>
  <si>
    <t>RP NÃO PROCESSADOS - INSCRIÇÃO NO EXERCÍCIO e Pago</t>
  </si>
  <si>
    <t xml:space="preserve"> 5.3.1.7.0. (3099)</t>
  </si>
  <si>
    <t xml:space="preserve"> foi ajustado pelo constante no Demonstrativo dos Restos a Pagar por Poder e Órgão que esta de acordo com o Relatórios de RP Não Processados - e do total das </t>
  </si>
  <si>
    <t>contas dos RP NÃO PROCESSADOS A LIQUIDAR; Em Liquidação e Liquidados a Pagar</t>
  </si>
  <si>
    <t>4. Os RP NÃO-PROCESSADOS no 1º Quadrimestre  está aparececendo com o Valor de R$ 93.421.1274,30  e no 1º Semestre R$ 1.708.499,83neste Demonstrativo, portanto</t>
  </si>
  <si>
    <t>O saldo dos Restos a Pagar em 30 de Jun/23 ficou em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</si>
</sst>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9">
    <numFmt numFmtId="43" formatCode="_-* #,##0.00_-;\-* #,##0.00_-;_-* &quot;-&quot;??_-;_-@_-"/>
    <numFmt numFmtId="164" formatCode="_ * #,##0.00_ ;_ * \-#,##0.00_ ;_ * &quot;-&quot;??_ ;_ @_ "/>
    <numFmt numFmtId="165" formatCode="_(* #,##0.00_);_(* \(#,##0.00\);_(* &quot;-&quot;??_);_(@_)"/>
    <numFmt numFmtId="166" formatCode="###,###,###,##0.00"/>
    <numFmt numFmtId="167" formatCode="#,##0.00;\(#,##0.00\)"/>
    <numFmt numFmtId="168" formatCode="[$-416]_(\ #,##0.00_);_(&quot; -&quot;#,##0.00_);_(&quot; - &quot;??_);_(@_)"/>
    <numFmt numFmtId="169" formatCode="##0.00"/>
    <numFmt numFmtId="170" formatCode="[$-416]&quot;  &quot;#,##0.00&quot; &quot;;[$-416]&quot;  (&quot;#,##0.00&quot;)&quot;;[$-416]&quot;  - &quot;#&quot; &quot;;&quot; &quot;@&quot; &quot;"/>
    <numFmt numFmtId="171" formatCode="&quot;R$&quot;#,##0.00;\(&quot;R$&quot;#,##0.00\)"/>
  </numFmts>
  <fonts count="7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6"/>
      <color theme="1"/>
      <name val="Calibri"/>
      <family val="2"/>
      <scheme val="minor"/>
    </font>
    <font>
      <sz val="6"/>
      <name val="Arial"/>
      <family val="2"/>
    </font>
    <font>
      <sz val="10"/>
      <name val="Arial"/>
      <family val="2"/>
    </font>
    <font>
      <sz val="6"/>
      <color indexed="8"/>
      <name val="Arial"/>
      <family val="2"/>
    </font>
    <font>
      <b/>
      <sz val="6"/>
      <color theme="1"/>
      <name val="Calibri"/>
      <family val="2"/>
      <scheme val="minor"/>
    </font>
    <font>
      <sz val="8"/>
      <name val="Arial"/>
      <family val="2"/>
    </font>
    <font>
      <sz val="8"/>
      <color indexed="63"/>
      <name val="Times New Roman"/>
      <family val="1"/>
    </font>
    <font>
      <b/>
      <sz val="10"/>
      <name val="Arial"/>
      <family val="2"/>
    </font>
    <font>
      <b/>
      <sz val="8"/>
      <name val="Arial"/>
      <family val="2"/>
    </font>
    <font>
      <sz val="8"/>
      <name val="Times New Roman"/>
      <family val="1"/>
    </font>
    <font>
      <sz val="8"/>
      <color theme="1"/>
      <name val="Times New Roman"/>
      <family val="1"/>
    </font>
    <font>
      <b/>
      <sz val="8"/>
      <name val="Times New Roman"/>
      <family val="1"/>
    </font>
    <font>
      <b/>
      <sz val="6"/>
      <name val="Arial"/>
      <family val="2"/>
    </font>
    <font>
      <sz val="6"/>
      <color rgb="FFFF0000"/>
      <name val="Arial"/>
      <family val="2"/>
    </font>
    <font>
      <u/>
      <sz val="6"/>
      <name val="Arial"/>
      <family val="2"/>
    </font>
    <font>
      <b/>
      <u/>
      <sz val="6"/>
      <name val="Arial"/>
      <family val="2"/>
    </font>
    <font>
      <b/>
      <u/>
      <sz val="6"/>
      <color rgb="FFFF0000"/>
      <name val="Arial"/>
      <family val="2"/>
    </font>
    <font>
      <u/>
      <sz val="6"/>
      <color rgb="FFFF0000"/>
      <name val="Arial"/>
      <family val="2"/>
    </font>
    <font>
      <b/>
      <sz val="8"/>
      <color rgb="FFFF0000"/>
      <name val="Arial"/>
      <family val="2"/>
    </font>
    <font>
      <sz val="7"/>
      <name val="Arial"/>
      <family val="2"/>
    </font>
    <font>
      <sz val="8"/>
      <color rgb="FFFF0000"/>
      <name val="Arial"/>
      <family val="2"/>
    </font>
    <font>
      <sz val="7"/>
      <color rgb="FFFF0000"/>
      <name val="Arial"/>
      <family val="2"/>
    </font>
    <font>
      <sz val="6"/>
      <color indexed="8"/>
      <name val="Calibri"/>
      <family val="2"/>
    </font>
    <font>
      <b/>
      <sz val="6"/>
      <color indexed="8"/>
      <name val="Calibri"/>
      <family val="2"/>
    </font>
    <font>
      <b/>
      <sz val="9"/>
      <name val="Arial"/>
      <family val="2"/>
    </font>
    <font>
      <b/>
      <sz val="7"/>
      <name val="Arial"/>
      <family val="2"/>
    </font>
    <font>
      <b/>
      <u/>
      <sz val="8"/>
      <name val="Times New Roman"/>
      <family val="1"/>
    </font>
    <font>
      <b/>
      <u val="singleAccounting"/>
      <sz val="8"/>
      <name val="Times New Roman"/>
      <family val="1"/>
    </font>
    <font>
      <sz val="9"/>
      <name val="Arial"/>
      <family val="2"/>
    </font>
    <font>
      <sz val="12"/>
      <name val="Arial"/>
      <family val="2"/>
    </font>
    <font>
      <sz val="6"/>
      <color indexed="63"/>
      <name val="Times New Roman"/>
      <family val="1"/>
    </font>
    <font>
      <b/>
      <sz val="6"/>
      <color rgb="FF000000"/>
      <name val="Calibri"/>
      <family val="2"/>
    </font>
    <font>
      <vertAlign val="superscript"/>
      <sz val="8"/>
      <color theme="1"/>
      <name val="Calibri"/>
      <family val="2"/>
      <scheme val="minor"/>
    </font>
    <font>
      <b/>
      <sz val="8"/>
      <color theme="1"/>
      <name val="Arial"/>
      <family val="2"/>
    </font>
    <font>
      <sz val="8"/>
      <color rgb="FFFF0000"/>
      <name val="Calibri"/>
      <family val="2"/>
      <scheme val="minor"/>
    </font>
    <font>
      <sz val="8"/>
      <color rgb="FF0070C0"/>
      <name val="Calibri"/>
      <family val="2"/>
      <scheme val="minor"/>
    </font>
    <font>
      <sz val="7"/>
      <color theme="1"/>
      <name val="Calibri"/>
      <family val="2"/>
      <scheme val="minor"/>
    </font>
    <font>
      <sz val="7"/>
      <color rgb="FF0070C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7"/>
      <color rgb="FFFF0000"/>
      <name val="Arial"/>
      <family val="2"/>
    </font>
    <font>
      <b/>
      <sz val="10"/>
      <color theme="1"/>
      <name val="Calibri"/>
      <family val="2"/>
      <scheme val="minor"/>
    </font>
    <font>
      <b/>
      <sz val="8"/>
      <color rgb="FFFF0000"/>
      <name val="Calibri"/>
      <family val="2"/>
      <scheme val="minor"/>
    </font>
    <font>
      <i/>
      <sz val="8"/>
      <color theme="1"/>
      <name val="Calibri"/>
      <family val="2"/>
      <scheme val="minor"/>
    </font>
    <font>
      <i/>
      <sz val="6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color rgb="FF000000"/>
      <name val="Arial"/>
      <family val="2"/>
    </font>
    <font>
      <sz val="7"/>
      <color rgb="FF000000"/>
      <name val="Arial"/>
      <family val="2"/>
    </font>
    <font>
      <b/>
      <sz val="8"/>
      <color rgb="FF000000"/>
      <name val="Arial"/>
      <family val="2"/>
    </font>
    <font>
      <b/>
      <u/>
      <sz val="6"/>
      <color rgb="FF000000"/>
      <name val="Arial"/>
      <family val="2"/>
    </font>
    <font>
      <b/>
      <sz val="6"/>
      <color rgb="FF000000"/>
      <name val="Arial"/>
      <family val="2"/>
    </font>
    <font>
      <sz val="6"/>
      <color rgb="FF000000"/>
      <name val="Arial"/>
      <family val="2"/>
    </font>
    <font>
      <sz val="8"/>
      <color rgb="FF000000"/>
      <name val="Arial"/>
      <family val="2"/>
    </font>
    <font>
      <sz val="6"/>
      <color rgb="FF000000"/>
      <name val="Arial"/>
      <family val="2"/>
    </font>
    <font>
      <sz val="6"/>
      <color rgb="FF000000"/>
      <name val="Lucida Console"/>
      <family val="3"/>
    </font>
    <font>
      <sz val="6"/>
      <name val="Courier New"/>
      <family val="2"/>
    </font>
    <font>
      <sz val="7"/>
      <color rgb="FF000000"/>
      <name val="Liberation Sans"/>
      <family val="2"/>
    </font>
    <font>
      <sz val="8"/>
      <color rgb="FF000000"/>
      <name val="Liberation Sans"/>
      <family val="2"/>
    </font>
    <font>
      <sz val="9"/>
      <color theme="1"/>
      <name val="Calibri"/>
      <family val="2"/>
      <scheme val="minor"/>
    </font>
    <font>
      <b/>
      <sz val="6"/>
      <color rgb="FF000000"/>
      <name val="Arial"/>
      <family val="2"/>
    </font>
    <font>
      <sz val="6"/>
      <color rgb="FF000000"/>
      <name val="Microsoft Sans Serif"/>
      <family val="2"/>
    </font>
    <font>
      <sz val="8"/>
      <color rgb="FF000000"/>
      <name val="Lucida Console"/>
      <family val="3"/>
    </font>
    <font>
      <sz val="8"/>
      <color rgb="FFA9A9A9"/>
      <name val="Arial"/>
      <family val="2"/>
    </font>
    <font>
      <sz val="5"/>
      <color rgb="FF000000"/>
      <name val="Arial"/>
      <family val="2"/>
    </font>
    <font>
      <sz val="5"/>
      <color rgb="FF000000"/>
      <name val="Arial"/>
      <family val="2"/>
    </font>
    <font>
      <b/>
      <sz val="8"/>
      <color rgb="FF000000"/>
      <name val="Arial"/>
      <family val="2"/>
    </font>
    <font>
      <sz val="7"/>
      <color rgb="FF000000"/>
      <name val="Times New Roman"/>
      <family val="1"/>
    </font>
    <font>
      <b/>
      <u/>
      <sz val="7"/>
      <color rgb="FF000000"/>
      <name val="Times New Roman"/>
      <family val="1"/>
    </font>
    <font>
      <b/>
      <sz val="7"/>
      <color rgb="FF000000"/>
      <name val="Times New Roman"/>
      <family val="1"/>
    </font>
    <font>
      <b/>
      <sz val="7"/>
      <color rgb="FF000000"/>
      <name val="Arial"/>
      <family val="2"/>
    </font>
    <font>
      <sz val="8"/>
      <color rgb="FFFFFFFF"/>
      <name val="Arial"/>
      <family val="2"/>
    </font>
    <font>
      <sz val="5"/>
      <color theme="1"/>
      <name val="Calibri"/>
      <family val="2"/>
      <scheme val="minor"/>
    </font>
    <font>
      <b/>
      <sz val="6"/>
      <color indexed="8"/>
      <name val="Arial"/>
      <family val="2"/>
    </font>
    <font>
      <sz val="8"/>
      <color indexed="8"/>
      <name val="Arial"/>
      <family val="2"/>
    </font>
    <font>
      <b/>
      <sz val="8"/>
      <color indexed="63"/>
      <name val="Times New Roman"/>
      <family val="1"/>
    </font>
    <font>
      <b/>
      <sz val="5"/>
      <color rgb="FF000000"/>
      <name val="Arial"/>
      <family val="2"/>
    </font>
  </fonts>
  <fills count="12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rgb="FFD8D8D8"/>
        <bgColor indexed="64"/>
      </patternFill>
    </fill>
    <fill>
      <patternFill patternType="solid">
        <fgColor rgb="FFDCDCDC"/>
        <bgColor indexed="64"/>
      </patternFill>
    </fill>
    <fill>
      <patternFill patternType="solid">
        <fgColor rgb="FFC0C0C0"/>
        <bgColor rgb="FFCCCCFF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rgb="FFA9A9A9"/>
        <bgColor indexed="64"/>
      </patternFill>
    </fill>
    <fill>
      <patternFill patternType="solid">
        <fgColor rgb="FFE3E3E3"/>
        <bgColor indexed="64"/>
      </patternFill>
    </fill>
    <fill>
      <patternFill patternType="solid">
        <fgColor rgb="FFD3D3D3"/>
        <bgColor indexed="64"/>
      </patternFill>
    </fill>
  </fills>
  <borders count="6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</borders>
  <cellStyleXfs count="6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165" fontId="6" fillId="0" borderId="0" applyFont="0" applyFill="0" applyBorder="0" applyAlignment="0" applyProtection="0"/>
  </cellStyleXfs>
  <cellXfs count="1221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6" xfId="0" applyFont="1" applyBorder="1" applyAlignment="1">
      <alignment horizontal="center"/>
    </xf>
    <xf numFmtId="0" fontId="2" fillId="0" borderId="1" xfId="0" applyFont="1" applyBorder="1"/>
    <xf numFmtId="0" fontId="2" fillId="0" borderId="9" xfId="0" applyFont="1" applyBorder="1"/>
    <xf numFmtId="0" fontId="2" fillId="0" borderId="10" xfId="0" applyFont="1" applyBorder="1"/>
    <xf numFmtId="0" fontId="4" fillId="0" borderId="1" xfId="0" applyFont="1" applyBorder="1"/>
    <xf numFmtId="164" fontId="2" fillId="0" borderId="1" xfId="1" applyFont="1" applyBorder="1"/>
    <xf numFmtId="164" fontId="3" fillId="0" borderId="1" xfId="1" applyFont="1" applyBorder="1"/>
    <xf numFmtId="164" fontId="2" fillId="0" borderId="1" xfId="0" applyNumberFormat="1" applyFont="1" applyBorder="1"/>
    <xf numFmtId="0" fontId="4" fillId="0" borderId="15" xfId="0" applyFont="1" applyBorder="1"/>
    <xf numFmtId="0" fontId="4" fillId="0" borderId="2" xfId="0" applyFont="1" applyBorder="1"/>
    <xf numFmtId="0" fontId="4" fillId="0" borderId="3" xfId="0" applyFont="1" applyBorder="1"/>
    <xf numFmtId="0" fontId="8" fillId="0" borderId="0" xfId="0" applyFont="1"/>
    <xf numFmtId="0" fontId="4" fillId="0" borderId="19" xfId="0" applyFont="1" applyBorder="1"/>
    <xf numFmtId="0" fontId="4" fillId="0" borderId="10" xfId="0" applyFont="1" applyBorder="1"/>
    <xf numFmtId="0" fontId="8" fillId="0" borderId="19" xfId="0" applyFont="1" applyBorder="1"/>
    <xf numFmtId="0" fontId="4" fillId="0" borderId="0" xfId="0" applyFont="1" applyBorder="1"/>
    <xf numFmtId="17" fontId="5" fillId="0" borderId="20" xfId="0" applyNumberFormat="1" applyFont="1" applyBorder="1" applyAlignment="1">
      <alignment horizontal="center"/>
    </xf>
    <xf numFmtId="0" fontId="5" fillId="0" borderId="21" xfId="0" applyFont="1" applyBorder="1" applyAlignment="1">
      <alignment horizontal="center"/>
    </xf>
    <xf numFmtId="0" fontId="5" fillId="0" borderId="18" xfId="0" applyFont="1" applyBorder="1" applyAlignment="1">
      <alignment horizontal="center"/>
    </xf>
    <xf numFmtId="17" fontId="5" fillId="0" borderId="8" xfId="0" applyNumberFormat="1" applyFont="1" applyBorder="1" applyAlignment="1">
      <alignment horizontal="center"/>
    </xf>
    <xf numFmtId="0" fontId="5" fillId="0" borderId="9" xfId="0" applyFont="1" applyBorder="1" applyAlignment="1">
      <alignment horizontal="center"/>
    </xf>
    <xf numFmtId="17" fontId="5" fillId="0" borderId="17" xfId="0" applyNumberFormat="1" applyFont="1" applyBorder="1" applyAlignment="1">
      <alignment horizontal="center"/>
    </xf>
    <xf numFmtId="165" fontId="5" fillId="0" borderId="1" xfId="1" applyNumberFormat="1" applyFont="1" applyBorder="1"/>
    <xf numFmtId="164" fontId="4" fillId="0" borderId="1" xfId="1" applyFont="1" applyBorder="1"/>
    <xf numFmtId="0" fontId="9" fillId="0" borderId="0" xfId="0" applyFont="1" applyProtection="1">
      <protection hidden="1"/>
    </xf>
    <xf numFmtId="0" fontId="10" fillId="0" borderId="0" xfId="0" applyFont="1" applyAlignment="1">
      <alignment horizontal="center"/>
    </xf>
    <xf numFmtId="0" fontId="10" fillId="0" borderId="0" xfId="0" applyFont="1" applyAlignment="1"/>
    <xf numFmtId="0" fontId="9" fillId="0" borderId="0" xfId="0" applyFont="1"/>
    <xf numFmtId="0" fontId="10" fillId="0" borderId="0" xfId="0" applyFont="1" applyAlignment="1" applyProtection="1">
      <alignment horizontal="center"/>
      <protection hidden="1"/>
    </xf>
    <xf numFmtId="0" fontId="5" fillId="0" borderId="0" xfId="0" applyFont="1"/>
    <xf numFmtId="4" fontId="5" fillId="0" borderId="0" xfId="0" applyNumberFormat="1" applyFont="1"/>
    <xf numFmtId="165" fontId="5" fillId="0" borderId="0" xfId="1" applyNumberFormat="1" applyFont="1"/>
    <xf numFmtId="0" fontId="5" fillId="0" borderId="0" xfId="0" applyFont="1" applyBorder="1" applyAlignment="1">
      <alignment horizontal="center"/>
    </xf>
    <xf numFmtId="0" fontId="11" fillId="0" borderId="0" xfId="0" applyFont="1"/>
    <xf numFmtId="164" fontId="0" fillId="0" borderId="0" xfId="1" applyNumberFormat="1" applyFont="1"/>
    <xf numFmtId="0" fontId="2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0" fontId="9" fillId="0" borderId="1" xfId="0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164" fontId="2" fillId="0" borderId="1" xfId="1" applyNumberFormat="1" applyFont="1" applyBorder="1" applyAlignment="1">
      <alignment horizontal="center"/>
    </xf>
    <xf numFmtId="0" fontId="12" fillId="0" borderId="1" xfId="0" applyFont="1" applyBorder="1"/>
    <xf numFmtId="4" fontId="13" fillId="0" borderId="1" xfId="0" applyNumberFormat="1" applyFont="1" applyBorder="1"/>
    <xf numFmtId="4" fontId="14" fillId="0" borderId="1" xfId="0" applyNumberFormat="1" applyFont="1" applyBorder="1" applyAlignment="1">
      <alignment horizontal="right"/>
    </xf>
    <xf numFmtId="164" fontId="2" fillId="0" borderId="1" xfId="1" applyNumberFormat="1" applyFont="1" applyBorder="1"/>
    <xf numFmtId="4" fontId="12" fillId="0" borderId="15" xfId="0" applyNumberFormat="1" applyFont="1" applyBorder="1"/>
    <xf numFmtId="0" fontId="12" fillId="0" borderId="14" xfId="0" applyFont="1" applyFill="1" applyBorder="1"/>
    <xf numFmtId="164" fontId="2" fillId="0" borderId="0" xfId="1" applyNumberFormat="1" applyFont="1"/>
    <xf numFmtId="0" fontId="12" fillId="0" borderId="0" xfId="0" applyFont="1" applyFill="1" applyBorder="1"/>
    <xf numFmtId="4" fontId="15" fillId="0" borderId="1" xfId="0" applyNumberFormat="1" applyFont="1" applyBorder="1"/>
    <xf numFmtId="165" fontId="12" fillId="0" borderId="1" xfId="1" applyNumberFormat="1" applyFont="1" applyBorder="1"/>
    <xf numFmtId="4" fontId="12" fillId="0" borderId="1" xfId="0" applyNumberFormat="1" applyFont="1" applyBorder="1"/>
    <xf numFmtId="0" fontId="16" fillId="0" borderId="0" xfId="0" applyFont="1" applyAlignment="1">
      <alignment horizontal="right"/>
    </xf>
    <xf numFmtId="0" fontId="5" fillId="0" borderId="0" xfId="0" applyFont="1" applyAlignment="1">
      <alignment horizontal="right"/>
    </xf>
    <xf numFmtId="0" fontId="5" fillId="0" borderId="0" xfId="0" applyFont="1" applyAlignment="1">
      <alignment horizontal="center"/>
    </xf>
    <xf numFmtId="3" fontId="5" fillId="0" borderId="0" xfId="0" applyNumberFormat="1" applyFont="1" applyAlignment="1">
      <alignment horizontal="center"/>
    </xf>
    <xf numFmtId="165" fontId="5" fillId="0" borderId="0" xfId="1" applyNumberFormat="1" applyFont="1" applyAlignment="1">
      <alignment horizontal="center"/>
    </xf>
    <xf numFmtId="165" fontId="16" fillId="0" borderId="0" xfId="1" applyNumberFormat="1" applyFont="1" applyAlignment="1">
      <alignment horizontal="center"/>
    </xf>
    <xf numFmtId="165" fontId="16" fillId="0" borderId="0" xfId="1" applyNumberFormat="1" applyFont="1"/>
    <xf numFmtId="4" fontId="17" fillId="0" borderId="0" xfId="0" applyNumberFormat="1" applyFont="1"/>
    <xf numFmtId="3" fontId="5" fillId="0" borderId="1" xfId="0" applyNumberFormat="1" applyFont="1" applyBorder="1" applyAlignment="1">
      <alignment horizontal="center"/>
    </xf>
    <xf numFmtId="3" fontId="16" fillId="0" borderId="1" xfId="0" applyNumberFormat="1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165" fontId="16" fillId="0" borderId="1" xfId="1" applyNumberFormat="1" applyFont="1" applyBorder="1" applyAlignment="1">
      <alignment horizontal="center"/>
    </xf>
    <xf numFmtId="165" fontId="5" fillId="0" borderId="1" xfId="1" applyNumberFormat="1" applyFont="1" applyBorder="1" applyAlignment="1">
      <alignment horizontal="center"/>
    </xf>
    <xf numFmtId="4" fontId="5" fillId="0" borderId="1" xfId="0" applyNumberFormat="1" applyFont="1" applyBorder="1"/>
    <xf numFmtId="4" fontId="17" fillId="0" borderId="1" xfId="0" applyNumberFormat="1" applyFont="1" applyBorder="1"/>
    <xf numFmtId="165" fontId="17" fillId="0" borderId="1" xfId="1" applyNumberFormat="1" applyFont="1" applyBorder="1"/>
    <xf numFmtId="4" fontId="5" fillId="0" borderId="1" xfId="0" applyNumberFormat="1" applyFont="1" applyBorder="1" applyAlignment="1">
      <alignment horizontal="center"/>
    </xf>
    <xf numFmtId="0" fontId="16" fillId="0" borderId="1" xfId="0" applyFont="1" applyBorder="1"/>
    <xf numFmtId="4" fontId="18" fillId="0" borderId="1" xfId="0" applyNumberFormat="1" applyFont="1" applyBorder="1"/>
    <xf numFmtId="4" fontId="19" fillId="0" borderId="1" xfId="0" applyNumberFormat="1" applyFont="1" applyBorder="1"/>
    <xf numFmtId="4" fontId="20" fillId="0" borderId="1" xfId="0" applyNumberFormat="1" applyFont="1" applyBorder="1"/>
    <xf numFmtId="4" fontId="21" fillId="0" borderId="1" xfId="0" applyNumberFormat="1" applyFont="1" applyBorder="1"/>
    <xf numFmtId="0" fontId="16" fillId="0" borderId="0" xfId="0" applyFont="1"/>
    <xf numFmtId="0" fontId="16" fillId="0" borderId="0" xfId="0" applyFont="1" applyBorder="1"/>
    <xf numFmtId="4" fontId="18" fillId="0" borderId="0" xfId="0" applyNumberFormat="1" applyFont="1" applyBorder="1"/>
    <xf numFmtId="4" fontId="19" fillId="0" borderId="0" xfId="0" applyNumberFormat="1" applyFont="1" applyBorder="1"/>
    <xf numFmtId="4" fontId="20" fillId="0" borderId="0" xfId="0" applyNumberFormat="1" applyFont="1" applyBorder="1"/>
    <xf numFmtId="4" fontId="16" fillId="0" borderId="0" xfId="0" applyNumberFormat="1" applyFont="1"/>
    <xf numFmtId="10" fontId="20" fillId="0" borderId="0" xfId="2" applyNumberFormat="1" applyFont="1" applyBorder="1" applyAlignment="1">
      <alignment horizontal="center"/>
    </xf>
    <xf numFmtId="0" fontId="16" fillId="0" borderId="2" xfId="0" applyFont="1" applyBorder="1"/>
    <xf numFmtId="4" fontId="19" fillId="0" borderId="0" xfId="0" applyNumberFormat="1" applyFont="1"/>
    <xf numFmtId="0" fontId="19" fillId="0" borderId="0" xfId="0" applyFont="1"/>
    <xf numFmtId="3" fontId="5" fillId="0" borderId="0" xfId="0" applyNumberFormat="1" applyFont="1"/>
    <xf numFmtId="2" fontId="5" fillId="0" borderId="0" xfId="0" applyNumberFormat="1" applyFont="1" applyAlignment="1">
      <alignment horizontal="center"/>
    </xf>
    <xf numFmtId="164" fontId="5" fillId="0" borderId="0" xfId="0" applyNumberFormat="1" applyFont="1"/>
    <xf numFmtId="0" fontId="16" fillId="0" borderId="1" xfId="0" applyFont="1" applyBorder="1" applyAlignment="1">
      <alignment horizontal="right"/>
    </xf>
    <xf numFmtId="4" fontId="16" fillId="0" borderId="1" xfId="0" applyNumberFormat="1" applyFont="1" applyBorder="1"/>
    <xf numFmtId="0" fontId="16" fillId="0" borderId="19" xfId="0" applyFont="1" applyBorder="1" applyAlignment="1">
      <alignment horizontal="center"/>
    </xf>
    <xf numFmtId="0" fontId="16" fillId="0" borderId="19" xfId="0" applyFont="1" applyBorder="1"/>
    <xf numFmtId="2" fontId="16" fillId="0" borderId="19" xfId="0" applyNumberFormat="1" applyFont="1" applyBorder="1" applyAlignment="1">
      <alignment horizontal="center"/>
    </xf>
    <xf numFmtId="165" fontId="17" fillId="0" borderId="19" xfId="1" applyNumberFormat="1" applyFont="1" applyBorder="1" applyAlignment="1">
      <alignment horizontal="center"/>
    </xf>
    <xf numFmtId="165" fontId="5" fillId="0" borderId="19" xfId="1" applyNumberFormat="1" applyFont="1" applyBorder="1" applyAlignment="1">
      <alignment horizontal="center"/>
    </xf>
    <xf numFmtId="10" fontId="16" fillId="0" borderId="0" xfId="0" applyNumberFormat="1" applyFont="1"/>
    <xf numFmtId="10" fontId="5" fillId="0" borderId="0" xfId="2" applyNumberFormat="1" applyFont="1"/>
    <xf numFmtId="10" fontId="5" fillId="0" borderId="0" xfId="0" applyNumberFormat="1" applyFont="1"/>
    <xf numFmtId="164" fontId="16" fillId="0" borderId="0" xfId="0" applyNumberFormat="1" applyFont="1" applyAlignment="1">
      <alignment horizontal="right"/>
    </xf>
    <xf numFmtId="4" fontId="16" fillId="0" borderId="19" xfId="0" applyNumberFormat="1" applyFont="1" applyBorder="1"/>
    <xf numFmtId="0" fontId="16" fillId="0" borderId="19" xfId="0" applyFont="1" applyBorder="1" applyAlignment="1">
      <alignment horizontal="right"/>
    </xf>
    <xf numFmtId="10" fontId="16" fillId="0" borderId="19" xfId="2" applyNumberFormat="1" applyFont="1" applyBorder="1"/>
    <xf numFmtId="0" fontId="12" fillId="0" borderId="0" xfId="0" applyFont="1"/>
    <xf numFmtId="165" fontId="9" fillId="0" borderId="0" xfId="1" applyNumberFormat="1" applyFont="1"/>
    <xf numFmtId="0" fontId="9" fillId="0" borderId="17" xfId="0" applyFont="1" applyBorder="1" applyAlignment="1">
      <alignment horizontal="center"/>
    </xf>
    <xf numFmtId="0" fontId="9" fillId="0" borderId="8" xfId="0" applyFont="1" applyBorder="1" applyAlignment="1">
      <alignment horizontal="center"/>
    </xf>
    <xf numFmtId="0" fontId="9" fillId="0" borderId="10" xfId="0" applyFont="1" applyBorder="1"/>
    <xf numFmtId="0" fontId="9" fillId="0" borderId="0" xfId="0" applyFont="1" applyBorder="1"/>
    <xf numFmtId="4" fontId="9" fillId="0" borderId="10" xfId="0" applyNumberFormat="1" applyFont="1" applyBorder="1"/>
    <xf numFmtId="165" fontId="9" fillId="0" borderId="8" xfId="1" applyNumberFormat="1" applyFont="1" applyBorder="1"/>
    <xf numFmtId="165" fontId="9" fillId="0" borderId="14" xfId="1" applyNumberFormat="1" applyFont="1" applyBorder="1"/>
    <xf numFmtId="165" fontId="9" fillId="0" borderId="0" xfId="1" applyNumberFormat="1" applyFont="1" applyBorder="1"/>
    <xf numFmtId="165" fontId="9" fillId="0" borderId="13" xfId="1" applyNumberFormat="1" applyFont="1" applyBorder="1"/>
    <xf numFmtId="4" fontId="9" fillId="0" borderId="0" xfId="0" applyNumberFormat="1" applyFont="1" applyBorder="1"/>
    <xf numFmtId="165" fontId="9" fillId="0" borderId="10" xfId="1" applyNumberFormat="1" applyFont="1" applyBorder="1"/>
    <xf numFmtId="165" fontId="23" fillId="0" borderId="10" xfId="1" applyNumberFormat="1" applyFont="1" applyBorder="1"/>
    <xf numFmtId="0" fontId="24" fillId="0" borderId="0" xfId="0" applyFont="1" applyBorder="1"/>
    <xf numFmtId="165" fontId="24" fillId="0" borderId="10" xfId="1" applyNumberFormat="1" applyFont="1" applyBorder="1"/>
    <xf numFmtId="165" fontId="24" fillId="0" borderId="14" xfId="1" applyNumberFormat="1" applyFont="1" applyBorder="1"/>
    <xf numFmtId="165" fontId="24" fillId="0" borderId="0" xfId="1" applyNumberFormat="1" applyFont="1" applyBorder="1"/>
    <xf numFmtId="4" fontId="9" fillId="0" borderId="0" xfId="0" applyNumberFormat="1" applyFont="1"/>
    <xf numFmtId="165" fontId="17" fillId="0" borderId="10" xfId="1" applyNumberFormat="1" applyFont="1" applyBorder="1"/>
    <xf numFmtId="165" fontId="22" fillId="0" borderId="14" xfId="1" applyNumberFormat="1" applyFont="1" applyBorder="1"/>
    <xf numFmtId="165" fontId="17" fillId="0" borderId="0" xfId="1" applyNumberFormat="1" applyFont="1" applyBorder="1"/>
    <xf numFmtId="4" fontId="9" fillId="0" borderId="13" xfId="0" applyNumberFormat="1" applyFont="1" applyBorder="1"/>
    <xf numFmtId="0" fontId="9" fillId="0" borderId="3" xfId="0" applyFont="1" applyBorder="1" applyAlignment="1">
      <alignment horizontal="center"/>
    </xf>
    <xf numFmtId="4" fontId="12" fillId="0" borderId="3" xfId="0" applyNumberFormat="1" applyFont="1" applyBorder="1"/>
    <xf numFmtId="4" fontId="12" fillId="0" borderId="2" xfId="0" applyNumberFormat="1" applyFont="1" applyBorder="1"/>
    <xf numFmtId="10" fontId="9" fillId="0" borderId="0" xfId="2" applyNumberFormat="1" applyFont="1" applyAlignment="1">
      <alignment horizontal="center"/>
    </xf>
    <xf numFmtId="165" fontId="9" fillId="0" borderId="1" xfId="1" applyNumberFormat="1" applyFont="1" applyBorder="1"/>
    <xf numFmtId="0" fontId="9" fillId="0" borderId="0" xfId="0" applyFont="1" applyAlignment="1">
      <alignment horizontal="right"/>
    </xf>
    <xf numFmtId="165" fontId="9" fillId="0" borderId="0" xfId="0" applyNumberFormat="1" applyFont="1"/>
    <xf numFmtId="165" fontId="16" fillId="0" borderId="1" xfId="1" applyNumberFormat="1" applyFont="1" applyBorder="1"/>
    <xf numFmtId="164" fontId="9" fillId="0" borderId="0" xfId="0" applyNumberFormat="1" applyFont="1"/>
    <xf numFmtId="165" fontId="23" fillId="0" borderId="1" xfId="1" applyNumberFormat="1" applyFont="1" applyBorder="1"/>
    <xf numFmtId="0" fontId="9" fillId="0" borderId="1" xfId="0" applyFont="1" applyBorder="1"/>
    <xf numFmtId="0" fontId="9" fillId="0" borderId="0" xfId="0" applyFont="1" applyBorder="1" applyAlignment="1">
      <alignment horizontal="center"/>
    </xf>
    <xf numFmtId="0" fontId="5" fillId="0" borderId="1" xfId="0" applyFont="1" applyBorder="1" applyAlignment="1"/>
    <xf numFmtId="165" fontId="25" fillId="0" borderId="1" xfId="1" applyNumberFormat="1" applyFont="1" applyBorder="1"/>
    <xf numFmtId="10" fontId="9" fillId="0" borderId="0" xfId="2" applyNumberFormat="1" applyFont="1" applyBorder="1" applyAlignment="1">
      <alignment horizontal="center"/>
    </xf>
    <xf numFmtId="0" fontId="5" fillId="0" borderId="1" xfId="0" applyFont="1" applyBorder="1" applyAlignment="1">
      <alignment horizontal="left"/>
    </xf>
    <xf numFmtId="165" fontId="5" fillId="0" borderId="1" xfId="0" applyNumberFormat="1" applyFont="1" applyBorder="1"/>
    <xf numFmtId="0" fontId="9" fillId="0" borderId="1" xfId="0" applyFont="1" applyBorder="1" applyAlignment="1">
      <alignment horizontal="right"/>
    </xf>
    <xf numFmtId="165" fontId="9" fillId="0" borderId="0" xfId="2" quotePrefix="1" applyNumberFormat="1" applyFont="1" applyBorder="1" applyAlignment="1">
      <alignment horizontal="center"/>
    </xf>
    <xf numFmtId="0" fontId="12" fillId="0" borderId="0" xfId="0" applyFont="1" applyAlignment="1">
      <alignment horizontal="center"/>
    </xf>
    <xf numFmtId="165" fontId="9" fillId="0" borderId="1" xfId="0" applyNumberFormat="1" applyFont="1" applyBorder="1"/>
    <xf numFmtId="10" fontId="9" fillId="0" borderId="1" xfId="2" applyNumberFormat="1" applyFont="1" applyBorder="1" applyAlignment="1">
      <alignment horizontal="center"/>
    </xf>
    <xf numFmtId="10" fontId="9" fillId="0" borderId="1" xfId="2" applyNumberFormat="1" applyFont="1" applyBorder="1"/>
    <xf numFmtId="165" fontId="9" fillId="0" borderId="1" xfId="1" applyNumberFormat="1" applyFont="1" applyFill="1" applyBorder="1" applyAlignment="1">
      <alignment horizontal="right"/>
    </xf>
    <xf numFmtId="10" fontId="12" fillId="2" borderId="1" xfId="2" applyNumberFormat="1" applyFont="1" applyFill="1" applyBorder="1" applyAlignment="1">
      <alignment horizontal="center"/>
    </xf>
    <xf numFmtId="165" fontId="12" fillId="2" borderId="1" xfId="1" applyNumberFormat="1" applyFont="1" applyFill="1" applyBorder="1"/>
    <xf numFmtId="10" fontId="12" fillId="0" borderId="1" xfId="2" applyNumberFormat="1" applyFont="1" applyBorder="1"/>
    <xf numFmtId="0" fontId="12" fillId="0" borderId="0" xfId="0" applyFont="1" applyAlignment="1">
      <alignment horizontal="left"/>
    </xf>
    <xf numFmtId="164" fontId="5" fillId="0" borderId="0" xfId="0" applyNumberFormat="1" applyFont="1" applyBorder="1" applyAlignment="1">
      <alignment horizontal="center"/>
    </xf>
    <xf numFmtId="165" fontId="24" fillId="0" borderId="1" xfId="1" applyNumberFormat="1" applyFont="1" applyBorder="1"/>
    <xf numFmtId="165" fontId="12" fillId="0" borderId="1" xfId="0" applyNumberFormat="1" applyFont="1" applyBorder="1"/>
    <xf numFmtId="165" fontId="9" fillId="0" borderId="1" xfId="1" applyNumberFormat="1" applyFont="1" applyBorder="1" applyAlignment="1">
      <alignment horizontal="center"/>
    </xf>
    <xf numFmtId="10" fontId="9" fillId="0" borderId="0" xfId="2" applyNumberFormat="1" applyFont="1" applyBorder="1"/>
    <xf numFmtId="4" fontId="9" fillId="0" borderId="1" xfId="0" applyNumberFormat="1" applyFont="1" applyBorder="1"/>
    <xf numFmtId="165" fontId="16" fillId="0" borderId="1" xfId="0" applyNumberFormat="1" applyFont="1" applyBorder="1"/>
    <xf numFmtId="165" fontId="9" fillId="0" borderId="0" xfId="1" applyNumberFormat="1" applyFont="1" applyBorder="1" applyAlignment="1">
      <alignment horizontal="center"/>
    </xf>
    <xf numFmtId="165" fontId="12" fillId="0" borderId="0" xfId="1" applyNumberFormat="1" applyFont="1" applyBorder="1"/>
    <xf numFmtId="165" fontId="5" fillId="0" borderId="0" xfId="0" applyNumberFormat="1" applyFont="1"/>
    <xf numFmtId="0" fontId="12" fillId="0" borderId="0" xfId="0" applyFont="1" applyAlignment="1">
      <alignment horizontal="right"/>
    </xf>
    <xf numFmtId="4" fontId="12" fillId="0" borderId="0" xfId="0" applyNumberFormat="1" applyFont="1"/>
    <xf numFmtId="0" fontId="26" fillId="0" borderId="0" xfId="0" applyFont="1"/>
    <xf numFmtId="0" fontId="27" fillId="0" borderId="0" xfId="0" applyFont="1"/>
    <xf numFmtId="0" fontId="5" fillId="0" borderId="1" xfId="3" applyFont="1" applyBorder="1"/>
    <xf numFmtId="0" fontId="16" fillId="0" borderId="0" xfId="0" applyFont="1" applyBorder="1" applyAlignment="1">
      <alignment horizontal="center"/>
    </xf>
    <xf numFmtId="0" fontId="16" fillId="0" borderId="1" xfId="0" applyFont="1" applyBorder="1" applyAlignment="1">
      <alignment horizontal="center"/>
    </xf>
    <xf numFmtId="0" fontId="5" fillId="0" borderId="1" xfId="3" applyFont="1" applyBorder="1" applyAlignment="1">
      <alignment horizontal="center"/>
    </xf>
    <xf numFmtId="10" fontId="5" fillId="0" borderId="1" xfId="4" quotePrefix="1" applyNumberFormat="1" applyFont="1" applyBorder="1" applyAlignment="1">
      <alignment horizontal="center"/>
    </xf>
    <xf numFmtId="10" fontId="5" fillId="0" borderId="0" xfId="4" applyNumberFormat="1" applyFont="1" applyAlignment="1">
      <alignment horizontal="center"/>
    </xf>
    <xf numFmtId="10" fontId="5" fillId="0" borderId="1" xfId="4" applyNumberFormat="1" applyFont="1" applyBorder="1"/>
    <xf numFmtId="165" fontId="5" fillId="0" borderId="1" xfId="5" applyFont="1" applyBorder="1"/>
    <xf numFmtId="165" fontId="5" fillId="0" borderId="0" xfId="1" applyNumberFormat="1" applyFont="1" applyBorder="1"/>
    <xf numFmtId="165" fontId="5" fillId="0" borderId="1" xfId="1" applyNumberFormat="1" applyFont="1" applyBorder="1" applyProtection="1">
      <protection hidden="1"/>
    </xf>
    <xf numFmtId="165" fontId="16" fillId="0" borderId="0" xfId="1" applyNumberFormat="1" applyFont="1" applyBorder="1"/>
    <xf numFmtId="10" fontId="5" fillId="0" borderId="1" xfId="4" applyNumberFormat="1" applyFont="1" applyBorder="1" applyAlignment="1">
      <alignment horizontal="center"/>
    </xf>
    <xf numFmtId="10" fontId="5" fillId="0" borderId="1" xfId="4" applyNumberFormat="1" applyFont="1" applyFill="1" applyBorder="1" applyAlignment="1">
      <alignment horizontal="center"/>
    </xf>
    <xf numFmtId="10" fontId="5" fillId="0" borderId="1" xfId="0" applyNumberFormat="1" applyFont="1" applyBorder="1" applyAlignment="1">
      <alignment horizontal="center"/>
    </xf>
    <xf numFmtId="0" fontId="5" fillId="0" borderId="0" xfId="3" applyFont="1"/>
    <xf numFmtId="165" fontId="5" fillId="0" borderId="0" xfId="3" applyNumberFormat="1" applyFont="1"/>
    <xf numFmtId="0" fontId="5" fillId="0" borderId="1" xfId="0" quotePrefix="1" applyFont="1" applyBorder="1" applyAlignment="1">
      <alignment horizontal="center"/>
    </xf>
    <xf numFmtId="0" fontId="16" fillId="0" borderId="2" xfId="0" applyFont="1" applyBorder="1" applyAlignment="1">
      <alignment horizontal="left"/>
    </xf>
    <xf numFmtId="0" fontId="16" fillId="0" borderId="3" xfId="0" applyFont="1" applyBorder="1"/>
    <xf numFmtId="165" fontId="5" fillId="0" borderId="2" xfId="4" applyNumberFormat="1" applyFont="1" applyBorder="1" applyAlignment="1">
      <alignment horizontal="center"/>
    </xf>
    <xf numFmtId="165" fontId="5" fillId="0" borderId="19" xfId="4" applyNumberFormat="1" applyFont="1" applyBorder="1" applyAlignment="1">
      <alignment horizontal="center"/>
    </xf>
    <xf numFmtId="0" fontId="16" fillId="0" borderId="1" xfId="3" applyFont="1" applyBorder="1"/>
    <xf numFmtId="10" fontId="5" fillId="0" borderId="0" xfId="4" applyNumberFormat="1" applyFont="1"/>
    <xf numFmtId="165" fontId="5" fillId="0" borderId="1" xfId="3" applyNumberFormat="1" applyFont="1" applyBorder="1"/>
    <xf numFmtId="0" fontId="5" fillId="0" borderId="1" xfId="0" applyFont="1" applyBorder="1"/>
    <xf numFmtId="0" fontId="16" fillId="0" borderId="1" xfId="0" quotePrefix="1" applyFont="1" applyBorder="1" applyAlignment="1">
      <alignment horizontal="center"/>
    </xf>
    <xf numFmtId="2" fontId="5" fillId="0" borderId="1" xfId="0" applyNumberFormat="1" applyFont="1" applyBorder="1"/>
    <xf numFmtId="0" fontId="5" fillId="0" borderId="2" xfId="0" applyFont="1" applyBorder="1" applyAlignment="1">
      <alignment horizontal="center"/>
    </xf>
    <xf numFmtId="0" fontId="5" fillId="0" borderId="19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16" fillId="0" borderId="9" xfId="0" applyFont="1" applyBorder="1"/>
    <xf numFmtId="0" fontId="5" fillId="0" borderId="13" xfId="0" applyFont="1" applyBorder="1" applyAlignment="1">
      <alignment horizontal="left"/>
    </xf>
    <xf numFmtId="0" fontId="5" fillId="0" borderId="14" xfId="0" applyFont="1" applyBorder="1"/>
    <xf numFmtId="165" fontId="5" fillId="0" borderId="3" xfId="1" applyNumberFormat="1" applyFont="1" applyBorder="1"/>
    <xf numFmtId="0" fontId="5" fillId="0" borderId="2" xfId="0" applyFont="1" applyBorder="1" applyAlignment="1">
      <alignment horizontal="left"/>
    </xf>
    <xf numFmtId="0" fontId="5" fillId="0" borderId="3" xfId="0" applyFont="1" applyBorder="1"/>
    <xf numFmtId="0" fontId="16" fillId="0" borderId="8" xfId="0" applyFont="1" applyBorder="1"/>
    <xf numFmtId="0" fontId="5" fillId="0" borderId="2" xfId="0" applyFont="1" applyBorder="1"/>
    <xf numFmtId="0" fontId="16" fillId="0" borderId="19" xfId="0" quotePrefix="1" applyFont="1" applyBorder="1" applyAlignment="1">
      <alignment horizontal="left"/>
    </xf>
    <xf numFmtId="0" fontId="5" fillId="0" borderId="19" xfId="0" applyFont="1" applyBorder="1"/>
    <xf numFmtId="165" fontId="5" fillId="0" borderId="0" xfId="1" applyNumberFormat="1" applyFont="1" applyAlignment="1">
      <alignment horizontal="right"/>
    </xf>
    <xf numFmtId="0" fontId="5" fillId="0" borderId="0" xfId="0" applyFont="1" applyBorder="1"/>
    <xf numFmtId="165" fontId="5" fillId="0" borderId="0" xfId="0" applyNumberFormat="1" applyFont="1" applyAlignment="1"/>
    <xf numFmtId="0" fontId="16" fillId="0" borderId="2" xfId="0" applyFont="1" applyBorder="1" applyAlignment="1">
      <alignment horizontal="center"/>
    </xf>
    <xf numFmtId="0" fontId="16" fillId="0" borderId="3" xfId="0" applyFont="1" applyBorder="1" applyAlignment="1">
      <alignment horizontal="center"/>
    </xf>
    <xf numFmtId="4" fontId="5" fillId="0" borderId="13" xfId="0" applyNumberFormat="1" applyFont="1" applyBorder="1"/>
    <xf numFmtId="4" fontId="5" fillId="0" borderId="10" xfId="0" applyNumberFormat="1" applyFont="1" applyBorder="1"/>
    <xf numFmtId="165" fontId="5" fillId="0" borderId="8" xfId="1" applyNumberFormat="1" applyFont="1" applyBorder="1"/>
    <xf numFmtId="4" fontId="5" fillId="0" borderId="8" xfId="0" applyNumberFormat="1" applyFont="1" applyBorder="1"/>
    <xf numFmtId="0" fontId="5" fillId="0" borderId="13" xfId="0" applyFont="1" applyBorder="1"/>
    <xf numFmtId="0" fontId="5" fillId="0" borderId="10" xfId="0" applyFont="1" applyBorder="1"/>
    <xf numFmtId="165" fontId="5" fillId="0" borderId="10" xfId="1" applyNumberFormat="1" applyFont="1" applyBorder="1"/>
    <xf numFmtId="164" fontId="5" fillId="0" borderId="1" xfId="0" applyNumberFormat="1" applyFont="1" applyBorder="1"/>
    <xf numFmtId="4" fontId="5" fillId="0" borderId="2" xfId="0" applyNumberFormat="1" applyFont="1" applyBorder="1"/>
    <xf numFmtId="4" fontId="5" fillId="0" borderId="19" xfId="0" applyNumberFormat="1" applyFont="1" applyBorder="1"/>
    <xf numFmtId="165" fontId="5" fillId="0" borderId="19" xfId="0" applyNumberFormat="1" applyFont="1" applyBorder="1"/>
    <xf numFmtId="165" fontId="12" fillId="0" borderId="0" xfId="1" applyNumberFormat="1" applyFont="1"/>
    <xf numFmtId="0" fontId="28" fillId="0" borderId="0" xfId="0" applyFont="1" applyAlignment="1">
      <alignment horizontal="center"/>
    </xf>
    <xf numFmtId="0" fontId="12" fillId="0" borderId="17" xfId="0" applyFont="1" applyBorder="1" applyAlignment="1">
      <alignment horizontal="left"/>
    </xf>
    <xf numFmtId="0" fontId="12" fillId="0" borderId="12" xfId="0" applyFont="1" applyBorder="1" applyAlignment="1">
      <alignment horizontal="center"/>
    </xf>
    <xf numFmtId="0" fontId="12" fillId="0" borderId="8" xfId="0" applyFont="1" applyBorder="1" applyAlignment="1">
      <alignment horizontal="center"/>
    </xf>
    <xf numFmtId="0" fontId="12" fillId="0" borderId="17" xfId="0" applyFont="1" applyBorder="1" applyAlignment="1">
      <alignment horizontal="center"/>
    </xf>
    <xf numFmtId="0" fontId="12" fillId="0" borderId="8" xfId="0" quotePrefix="1" applyFont="1" applyBorder="1" applyAlignment="1">
      <alignment horizontal="center"/>
    </xf>
    <xf numFmtId="0" fontId="9" fillId="0" borderId="18" xfId="0" applyFont="1" applyBorder="1" applyAlignment="1">
      <alignment horizontal="right"/>
    </xf>
    <xf numFmtId="0" fontId="12" fillId="0" borderId="9" xfId="0" applyFont="1" applyBorder="1" applyAlignment="1">
      <alignment horizontal="center"/>
    </xf>
    <xf numFmtId="0" fontId="12" fillId="0" borderId="18" xfId="0" applyFont="1" applyBorder="1" applyAlignment="1">
      <alignment horizontal="center"/>
    </xf>
    <xf numFmtId="0" fontId="12" fillId="0" borderId="16" xfId="0" applyFont="1" applyBorder="1" applyAlignment="1">
      <alignment horizontal="center"/>
    </xf>
    <xf numFmtId="0" fontId="12" fillId="0" borderId="10" xfId="0" applyFont="1" applyBorder="1" applyAlignment="1">
      <alignment horizontal="center"/>
    </xf>
    <xf numFmtId="0" fontId="11" fillId="0" borderId="2" xfId="0" applyFont="1" applyBorder="1" applyAlignment="1">
      <alignment horizontal="center"/>
    </xf>
    <xf numFmtId="0" fontId="11" fillId="0" borderId="19" xfId="0" applyFont="1" applyBorder="1" applyAlignment="1">
      <alignment horizontal="center"/>
    </xf>
    <xf numFmtId="0" fontId="11" fillId="0" borderId="8" xfId="0" applyFont="1" applyBorder="1" applyAlignment="1">
      <alignment horizontal="center"/>
    </xf>
    <xf numFmtId="0" fontId="11" fillId="0" borderId="1" xfId="0" applyFont="1" applyBorder="1" applyAlignment="1">
      <alignment horizontal="center"/>
    </xf>
    <xf numFmtId="0" fontId="11" fillId="0" borderId="0" xfId="0" applyFont="1" applyAlignment="1">
      <alignment horizontal="center"/>
    </xf>
    <xf numFmtId="0" fontId="12" fillId="0" borderId="10" xfId="0" applyFont="1" applyBorder="1"/>
    <xf numFmtId="0" fontId="9" fillId="0" borderId="11" xfId="0" applyFont="1" applyBorder="1"/>
    <xf numFmtId="0" fontId="12" fillId="0" borderId="17" xfId="0" applyFont="1" applyBorder="1"/>
    <xf numFmtId="0" fontId="11" fillId="0" borderId="12" xfId="0" applyFont="1" applyBorder="1"/>
    <xf numFmtId="4" fontId="13" fillId="0" borderId="0" xfId="0" applyNumberFormat="1" applyFont="1" applyBorder="1"/>
    <xf numFmtId="4" fontId="13" fillId="0" borderId="8" xfId="0" applyNumberFormat="1" applyFont="1" applyBorder="1"/>
    <xf numFmtId="4" fontId="15" fillId="0" borderId="0" xfId="0" applyNumberFormat="1" applyFont="1"/>
    <xf numFmtId="4" fontId="12" fillId="0" borderId="14" xfId="0" applyNumberFormat="1" applyFont="1" applyBorder="1"/>
    <xf numFmtId="165" fontId="12" fillId="0" borderId="10" xfId="1" applyNumberFormat="1" applyFont="1" applyBorder="1"/>
    <xf numFmtId="4" fontId="11" fillId="0" borderId="0" xfId="0" applyNumberFormat="1" applyFont="1"/>
    <xf numFmtId="0" fontId="9" fillId="0" borderId="13" xfId="0" applyFont="1" applyBorder="1"/>
    <xf numFmtId="0" fontId="12" fillId="0" borderId="0" xfId="0" applyFont="1" applyBorder="1"/>
    <xf numFmtId="0" fontId="11" fillId="0" borderId="14" xfId="0" applyFont="1" applyBorder="1"/>
    <xf numFmtId="4" fontId="13" fillId="0" borderId="10" xfId="0" applyNumberFormat="1" applyFont="1" applyBorder="1"/>
    <xf numFmtId="165" fontId="11" fillId="0" borderId="0" xfId="1" applyNumberFormat="1" applyFont="1"/>
    <xf numFmtId="0" fontId="11" fillId="0" borderId="0" xfId="0" applyFont="1" applyBorder="1"/>
    <xf numFmtId="164" fontId="11" fillId="0" borderId="0" xfId="0" applyNumberFormat="1" applyFont="1"/>
    <xf numFmtId="0" fontId="12" fillId="0" borderId="9" xfId="0" applyFont="1" applyBorder="1"/>
    <xf numFmtId="0" fontId="9" fillId="0" borderId="15" xfId="0" applyFont="1" applyBorder="1"/>
    <xf numFmtId="0" fontId="11" fillId="0" borderId="18" xfId="0" applyFont="1" applyBorder="1"/>
    <xf numFmtId="0" fontId="11" fillId="0" borderId="16" xfId="0" applyFont="1" applyBorder="1"/>
    <xf numFmtId="4" fontId="13" fillId="0" borderId="9" xfId="0" applyNumberFormat="1" applyFont="1" applyBorder="1"/>
    <xf numFmtId="0" fontId="11" fillId="0" borderId="19" xfId="0" applyFont="1" applyBorder="1"/>
    <xf numFmtId="0" fontId="11" fillId="0" borderId="3" xfId="0" applyFont="1" applyBorder="1"/>
    <xf numFmtId="4" fontId="9" fillId="0" borderId="2" xfId="0" applyNumberFormat="1" applyFont="1" applyBorder="1"/>
    <xf numFmtId="4" fontId="29" fillId="0" borderId="9" xfId="0" applyNumberFormat="1" applyFont="1" applyBorder="1"/>
    <xf numFmtId="165" fontId="16" fillId="0" borderId="0" xfId="0" applyNumberFormat="1" applyFont="1"/>
    <xf numFmtId="0" fontId="30" fillId="0" borderId="0" xfId="0" applyFont="1"/>
    <xf numFmtId="0" fontId="9" fillId="0" borderId="0" xfId="0" applyFont="1" applyFill="1" applyBorder="1" applyAlignment="1">
      <alignment horizontal="left"/>
    </xf>
    <xf numFmtId="165" fontId="31" fillId="0" borderId="0" xfId="1" applyNumberFormat="1" applyFont="1"/>
    <xf numFmtId="0" fontId="12" fillId="0" borderId="0" xfId="0" applyFont="1" applyFill="1" applyBorder="1" applyAlignment="1">
      <alignment horizontal="right"/>
    </xf>
    <xf numFmtId="4" fontId="22" fillId="0" borderId="0" xfId="0" applyNumberFormat="1" applyFont="1" applyAlignment="1">
      <alignment horizontal="center"/>
    </xf>
    <xf numFmtId="0" fontId="28" fillId="0" borderId="0" xfId="0" applyFont="1"/>
    <xf numFmtId="165" fontId="11" fillId="0" borderId="0" xfId="0" applyNumberFormat="1" applyFont="1"/>
    <xf numFmtId="165" fontId="12" fillId="0" borderId="0" xfId="4" applyNumberFormat="1" applyFont="1"/>
    <xf numFmtId="0" fontId="32" fillId="0" borderId="0" xfId="0" applyFont="1" applyBorder="1"/>
    <xf numFmtId="165" fontId="28" fillId="0" borderId="0" xfId="1" applyNumberFormat="1" applyFont="1"/>
    <xf numFmtId="165" fontId="11" fillId="0" borderId="0" xfId="0" applyNumberFormat="1" applyFont="1" applyBorder="1"/>
    <xf numFmtId="17" fontId="5" fillId="0" borderId="11" xfId="0" applyNumberFormat="1" applyFont="1" applyBorder="1" applyAlignment="1">
      <alignment horizontal="center"/>
    </xf>
    <xf numFmtId="0" fontId="5" fillId="0" borderId="15" xfId="0" applyFont="1" applyBorder="1" applyAlignment="1">
      <alignment horizontal="center"/>
    </xf>
    <xf numFmtId="4" fontId="2" fillId="0" borderId="1" xfId="0" applyNumberFormat="1" applyFont="1" applyBorder="1"/>
    <xf numFmtId="164" fontId="2" fillId="0" borderId="2" xfId="1" applyFont="1" applyBorder="1"/>
    <xf numFmtId="0" fontId="33" fillId="0" borderId="0" xfId="0" applyFont="1"/>
    <xf numFmtId="0" fontId="5" fillId="0" borderId="4" xfId="0" applyFont="1" applyBorder="1"/>
    <xf numFmtId="0" fontId="5" fillId="0" borderId="22" xfId="0" applyFont="1" applyBorder="1"/>
    <xf numFmtId="0" fontId="16" fillId="0" borderId="5" xfId="0" applyFont="1" applyBorder="1"/>
    <xf numFmtId="0" fontId="5" fillId="0" borderId="7" xfId="0" applyFont="1" applyBorder="1"/>
    <xf numFmtId="0" fontId="5" fillId="0" borderId="7" xfId="0" applyFont="1" applyBorder="1" applyAlignment="1">
      <alignment horizontal="center"/>
    </xf>
    <xf numFmtId="0" fontId="5" fillId="0" borderId="15" xfId="0" applyFont="1" applyBorder="1"/>
    <xf numFmtId="165" fontId="5" fillId="0" borderId="9" xfId="0" applyNumberFormat="1" applyFont="1" applyBorder="1"/>
    <xf numFmtId="165" fontId="5" fillId="0" borderId="9" xfId="1" applyNumberFormat="1" applyFont="1" applyBorder="1"/>
    <xf numFmtId="10" fontId="16" fillId="0" borderId="1" xfId="4" applyNumberFormat="1" applyFont="1" applyBorder="1" applyAlignment="1">
      <alignment horizontal="center"/>
    </xf>
    <xf numFmtId="10" fontId="5" fillId="0" borderId="0" xfId="0" applyNumberFormat="1" applyFont="1" applyBorder="1" applyAlignment="1">
      <alignment horizontal="center"/>
    </xf>
    <xf numFmtId="0" fontId="5" fillId="0" borderId="2" xfId="0" quotePrefix="1" applyFont="1" applyBorder="1" applyAlignment="1">
      <alignment horizontal="center"/>
    </xf>
    <xf numFmtId="0" fontId="5" fillId="0" borderId="3" xfId="0" quotePrefix="1" applyFont="1" applyBorder="1" applyAlignment="1">
      <alignment horizontal="center"/>
    </xf>
    <xf numFmtId="0" fontId="5" fillId="0" borderId="0" xfId="0" quotePrefix="1" applyFont="1"/>
    <xf numFmtId="0" fontId="2" fillId="0" borderId="18" xfId="0" applyFont="1" applyBorder="1"/>
    <xf numFmtId="4" fontId="4" fillId="0" borderId="1" xfId="0" applyNumberFormat="1" applyFont="1" applyBorder="1"/>
    <xf numFmtId="164" fontId="4" fillId="0" borderId="1" xfId="0" applyNumberFormat="1" applyFont="1" applyBorder="1"/>
    <xf numFmtId="164" fontId="4" fillId="0" borderId="0" xfId="0" applyNumberFormat="1" applyFont="1"/>
    <xf numFmtId="0" fontId="4" fillId="0" borderId="0" xfId="0" applyFont="1" applyAlignment="1">
      <alignment horizontal="right"/>
    </xf>
    <xf numFmtId="0" fontId="34" fillId="0" borderId="0" xfId="0" applyFont="1" applyAlignment="1">
      <alignment horizontal="center"/>
    </xf>
    <xf numFmtId="0" fontId="5" fillId="0" borderId="0" xfId="0" applyFont="1" applyProtection="1">
      <protection hidden="1"/>
    </xf>
    <xf numFmtId="0" fontId="34" fillId="0" borderId="0" xfId="0" applyFont="1" applyAlignment="1"/>
    <xf numFmtId="0" fontId="34" fillId="0" borderId="0" xfId="0" applyFont="1" applyAlignment="1" applyProtection="1">
      <alignment horizontal="center"/>
      <protection hidden="1"/>
    </xf>
    <xf numFmtId="0" fontId="5" fillId="0" borderId="0" xfId="0" applyFont="1" applyAlignment="1">
      <alignment horizontal="left"/>
    </xf>
    <xf numFmtId="0" fontId="35" fillId="0" borderId="0" xfId="0" applyFont="1"/>
    <xf numFmtId="0" fontId="5" fillId="0" borderId="0" xfId="0" applyFont="1" applyAlignment="1"/>
    <xf numFmtId="164" fontId="5" fillId="0" borderId="0" xfId="0" applyNumberFormat="1" applyFont="1" applyAlignment="1">
      <alignment horizontal="left"/>
    </xf>
    <xf numFmtId="164" fontId="5" fillId="0" borderId="0" xfId="0" applyNumberFormat="1" applyFont="1" applyProtection="1">
      <protection hidden="1"/>
    </xf>
    <xf numFmtId="165" fontId="12" fillId="0" borderId="0" xfId="0" applyNumberFormat="1" applyFont="1"/>
    <xf numFmtId="164" fontId="2" fillId="0" borderId="0" xfId="1" applyFont="1"/>
    <xf numFmtId="0" fontId="9" fillId="0" borderId="0" xfId="0" applyFont="1" applyAlignment="1">
      <alignment horizontal="left"/>
    </xf>
    <xf numFmtId="4" fontId="5" fillId="0" borderId="15" xfId="0" applyNumberFormat="1" applyFont="1" applyBorder="1"/>
    <xf numFmtId="0" fontId="5" fillId="0" borderId="16" xfId="0" applyFont="1" applyBorder="1"/>
    <xf numFmtId="0" fontId="16" fillId="0" borderId="11" xfId="0" applyFont="1" applyBorder="1" applyAlignment="1">
      <alignment horizontal="center"/>
    </xf>
    <xf numFmtId="0" fontId="5" fillId="0" borderId="12" xfId="0" applyFont="1" applyBorder="1"/>
    <xf numFmtId="4" fontId="5" fillId="0" borderId="18" xfId="0" applyNumberFormat="1" applyFont="1" applyBorder="1"/>
    <xf numFmtId="4" fontId="5" fillId="0" borderId="11" xfId="0" applyNumberFormat="1" applyFont="1" applyBorder="1"/>
    <xf numFmtId="4" fontId="5" fillId="0" borderId="0" xfId="0" applyNumberFormat="1" applyFont="1" applyBorder="1"/>
    <xf numFmtId="4" fontId="2" fillId="0" borderId="0" xfId="0" applyNumberFormat="1" applyFont="1"/>
    <xf numFmtId="164" fontId="9" fillId="0" borderId="0" xfId="1" applyFont="1"/>
    <xf numFmtId="164" fontId="2" fillId="0" borderId="19" xfId="1" applyNumberFormat="1" applyFont="1" applyBorder="1"/>
    <xf numFmtId="4" fontId="2" fillId="0" borderId="19" xfId="0" applyNumberFormat="1" applyFont="1" applyBorder="1"/>
    <xf numFmtId="164" fontId="2" fillId="0" borderId="0" xfId="0" applyNumberFormat="1" applyFont="1"/>
    <xf numFmtId="4" fontId="12" fillId="0" borderId="13" xfId="0" applyNumberFormat="1" applyFont="1" applyBorder="1"/>
    <xf numFmtId="164" fontId="4" fillId="0" borderId="0" xfId="1" applyFont="1"/>
    <xf numFmtId="4" fontId="2" fillId="0" borderId="9" xfId="0" applyNumberFormat="1" applyFont="1" applyBorder="1"/>
    <xf numFmtId="0" fontId="12" fillId="0" borderId="1" xfId="0" applyFont="1" applyFill="1" applyBorder="1" applyAlignment="1">
      <alignment horizontal="right"/>
    </xf>
    <xf numFmtId="4" fontId="2" fillId="0" borderId="0" xfId="0" applyNumberFormat="1" applyFont="1" applyAlignment="1">
      <alignment horizontal="right"/>
    </xf>
    <xf numFmtId="4" fontId="37" fillId="0" borderId="8" xfId="0" applyNumberFormat="1" applyFont="1" applyBorder="1" applyAlignment="1">
      <alignment horizontal="right"/>
    </xf>
    <xf numFmtId="4" fontId="9" fillId="0" borderId="0" xfId="0" applyNumberFormat="1" applyFont="1" applyAlignment="1">
      <alignment horizontal="right"/>
    </xf>
    <xf numFmtId="164" fontId="3" fillId="0" borderId="0" xfId="0" applyNumberFormat="1" applyFont="1"/>
    <xf numFmtId="0" fontId="0" fillId="0" borderId="0" xfId="0" applyFont="1"/>
    <xf numFmtId="164" fontId="38" fillId="0" borderId="1" xfId="1" applyFont="1" applyBorder="1"/>
    <xf numFmtId="164" fontId="5" fillId="0" borderId="0" xfId="1" applyFont="1"/>
    <xf numFmtId="0" fontId="10" fillId="0" borderId="0" xfId="0" applyFont="1" applyAlignment="1" applyProtection="1">
      <alignment horizontal="right"/>
      <protection hidden="1"/>
    </xf>
    <xf numFmtId="164" fontId="7" fillId="0" borderId="1" xfId="1" applyFont="1" applyBorder="1"/>
    <xf numFmtId="164" fontId="5" fillId="0" borderId="1" xfId="1" applyFont="1" applyBorder="1"/>
    <xf numFmtId="164" fontId="4" fillId="0" borderId="0" xfId="1" applyNumberFormat="1" applyFont="1"/>
    <xf numFmtId="165" fontId="16" fillId="0" borderId="19" xfId="1" applyNumberFormat="1" applyFont="1" applyBorder="1"/>
    <xf numFmtId="0" fontId="8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10" fontId="4" fillId="0" borderId="0" xfId="0" applyNumberFormat="1" applyFont="1" applyAlignment="1">
      <alignment horizontal="center"/>
    </xf>
    <xf numFmtId="3" fontId="4" fillId="0" borderId="19" xfId="0" applyNumberFormat="1" applyFont="1" applyBorder="1" applyAlignment="1">
      <alignment horizontal="center"/>
    </xf>
    <xf numFmtId="10" fontId="4" fillId="0" borderId="0" xfId="0" applyNumberFormat="1" applyFont="1"/>
    <xf numFmtId="9" fontId="4" fillId="0" borderId="0" xfId="0" applyNumberFormat="1" applyFont="1" applyAlignment="1">
      <alignment horizontal="center"/>
    </xf>
    <xf numFmtId="3" fontId="8" fillId="0" borderId="19" xfId="0" applyNumberFormat="1" applyFont="1" applyBorder="1" applyAlignment="1">
      <alignment horizontal="center"/>
    </xf>
    <xf numFmtId="3" fontId="4" fillId="0" borderId="19" xfId="0" applyNumberFormat="1" applyFont="1" applyBorder="1"/>
    <xf numFmtId="164" fontId="4" fillId="0" borderId="19" xfId="1" applyNumberFormat="1" applyFont="1" applyBorder="1" applyAlignment="1">
      <alignment horizontal="center"/>
    </xf>
    <xf numFmtId="164" fontId="8" fillId="0" borderId="1" xfId="1" applyNumberFormat="1" applyFont="1" applyBorder="1" applyAlignment="1">
      <alignment horizontal="center"/>
    </xf>
    <xf numFmtId="164" fontId="4" fillId="0" borderId="10" xfId="1" applyNumberFormat="1" applyFont="1" applyBorder="1"/>
    <xf numFmtId="0" fontId="4" fillId="0" borderId="19" xfId="0" applyFont="1" applyBorder="1" applyAlignment="1">
      <alignment horizontal="center"/>
    </xf>
    <xf numFmtId="164" fontId="4" fillId="0" borderId="19" xfId="1" applyNumberFormat="1" applyFont="1" applyBorder="1"/>
    <xf numFmtId="4" fontId="4" fillId="0" borderId="19" xfId="0" applyNumberFormat="1" applyFont="1" applyBorder="1"/>
    <xf numFmtId="164" fontId="8" fillId="0" borderId="0" xfId="1" applyNumberFormat="1" applyFont="1"/>
    <xf numFmtId="0" fontId="4" fillId="0" borderId="19" xfId="0" applyFont="1" applyBorder="1" applyAlignment="1">
      <alignment horizontal="right"/>
    </xf>
    <xf numFmtId="165" fontId="4" fillId="0" borderId="0" xfId="1" applyNumberFormat="1" applyFont="1"/>
    <xf numFmtId="4" fontId="4" fillId="0" borderId="0" xfId="0" applyNumberFormat="1" applyFont="1"/>
    <xf numFmtId="0" fontId="4" fillId="0" borderId="1" xfId="0" applyFont="1" applyBorder="1" applyAlignment="1">
      <alignment horizontal="center"/>
    </xf>
    <xf numFmtId="164" fontId="4" fillId="0" borderId="10" xfId="0" applyNumberFormat="1" applyFont="1" applyBorder="1"/>
    <xf numFmtId="10" fontId="4" fillId="0" borderId="19" xfId="2" applyNumberFormat="1" applyFont="1" applyBorder="1" applyAlignment="1">
      <alignment horizontal="center"/>
    </xf>
    <xf numFmtId="10" fontId="8" fillId="0" borderId="1" xfId="2" applyNumberFormat="1" applyFont="1" applyBorder="1" applyAlignment="1">
      <alignment horizontal="center"/>
    </xf>
    <xf numFmtId="164" fontId="4" fillId="0" borderId="19" xfId="1" applyFont="1" applyBorder="1"/>
    <xf numFmtId="164" fontId="39" fillId="0" borderId="1" xfId="1" applyFont="1" applyBorder="1"/>
    <xf numFmtId="10" fontId="11" fillId="0" borderId="0" xfId="2" applyNumberFormat="1" applyFont="1"/>
    <xf numFmtId="164" fontId="4" fillId="0" borderId="1" xfId="1" applyNumberFormat="1" applyFont="1" applyBorder="1"/>
    <xf numFmtId="164" fontId="8" fillId="0" borderId="0" xfId="0" applyNumberFormat="1" applyFont="1"/>
    <xf numFmtId="164" fontId="3" fillId="0" borderId="1" xfId="1" applyNumberFormat="1" applyFont="1" applyBorder="1" applyAlignment="1">
      <alignment horizontal="center"/>
    </xf>
    <xf numFmtId="0" fontId="3" fillId="0" borderId="1" xfId="0" applyFont="1" applyBorder="1" applyAlignment="1">
      <alignment horizontal="right"/>
    </xf>
    <xf numFmtId="0" fontId="3" fillId="0" borderId="2" xfId="0" applyFont="1" applyBorder="1" applyAlignment="1"/>
    <xf numFmtId="0" fontId="3" fillId="0" borderId="3" xfId="0" applyFont="1" applyBorder="1" applyAlignment="1"/>
    <xf numFmtId="4" fontId="5" fillId="0" borderId="14" xfId="0" applyNumberFormat="1" applyFont="1" applyBorder="1"/>
    <xf numFmtId="164" fontId="40" fillId="0" borderId="1" xfId="0" applyNumberFormat="1" applyFont="1" applyBorder="1"/>
    <xf numFmtId="164" fontId="40" fillId="0" borderId="1" xfId="1" applyFont="1" applyBorder="1"/>
    <xf numFmtId="0" fontId="40" fillId="0" borderId="1" xfId="0" applyFont="1" applyBorder="1" applyAlignment="1">
      <alignment horizontal="center"/>
    </xf>
    <xf numFmtId="4" fontId="29" fillId="0" borderId="1" xfId="0" applyNumberFormat="1" applyFont="1" applyBorder="1"/>
    <xf numFmtId="164" fontId="41" fillId="0" borderId="1" xfId="1" applyFont="1" applyBorder="1"/>
    <xf numFmtId="0" fontId="12" fillId="0" borderId="2" xfId="0" applyFont="1" applyFill="1" applyBorder="1"/>
    <xf numFmtId="0" fontId="2" fillId="0" borderId="19" xfId="0" applyFont="1" applyBorder="1"/>
    <xf numFmtId="164" fontId="2" fillId="0" borderId="3" xfId="1" applyNumberFormat="1" applyFont="1" applyBorder="1"/>
    <xf numFmtId="164" fontId="2" fillId="0" borderId="19" xfId="0" applyNumberFormat="1" applyFont="1" applyBorder="1"/>
    <xf numFmtId="164" fontId="2" fillId="0" borderId="3" xfId="1" applyFont="1" applyBorder="1"/>
    <xf numFmtId="4" fontId="23" fillId="0" borderId="1" xfId="0" applyNumberFormat="1" applyFont="1" applyBorder="1"/>
    <xf numFmtId="164" fontId="2" fillId="0" borderId="10" xfId="1" applyFont="1" applyBorder="1"/>
    <xf numFmtId="4" fontId="43" fillId="0" borderId="1" xfId="0" applyNumberFormat="1" applyFont="1" applyBorder="1"/>
    <xf numFmtId="4" fontId="5" fillId="0" borderId="12" xfId="0" applyNumberFormat="1" applyFont="1" applyBorder="1"/>
    <xf numFmtId="4" fontId="5" fillId="0" borderId="16" xfId="0" applyNumberFormat="1" applyFont="1" applyBorder="1"/>
    <xf numFmtId="165" fontId="23" fillId="0" borderId="1" xfId="0" applyNumberFormat="1" applyFont="1" applyBorder="1"/>
    <xf numFmtId="164" fontId="2" fillId="0" borderId="18" xfId="1" applyNumberFormat="1" applyFont="1" applyBorder="1"/>
    <xf numFmtId="4" fontId="2" fillId="0" borderId="18" xfId="0" applyNumberFormat="1" applyFont="1" applyBorder="1"/>
    <xf numFmtId="3" fontId="2" fillId="0" borderId="0" xfId="0" applyNumberFormat="1" applyFont="1"/>
    <xf numFmtId="164" fontId="40" fillId="0" borderId="0" xfId="0" applyNumberFormat="1" applyFont="1"/>
    <xf numFmtId="165" fontId="4" fillId="0" borderId="0" xfId="0" applyNumberFormat="1" applyFont="1"/>
    <xf numFmtId="0" fontId="18" fillId="0" borderId="0" xfId="0" applyFont="1"/>
    <xf numFmtId="164" fontId="4" fillId="0" borderId="10" xfId="1" applyFont="1" applyBorder="1"/>
    <xf numFmtId="0" fontId="3" fillId="0" borderId="0" xfId="0" applyFont="1" applyAlignment="1">
      <alignment horizontal="center"/>
    </xf>
    <xf numFmtId="0" fontId="10" fillId="0" borderId="0" xfId="0" applyFont="1" applyAlignment="1" applyProtection="1">
      <alignment horizontal="center"/>
      <protection hidden="1"/>
    </xf>
    <xf numFmtId="3" fontId="4" fillId="0" borderId="0" xfId="0" applyNumberFormat="1" applyFont="1" applyAlignment="1">
      <alignment horizontal="center"/>
    </xf>
    <xf numFmtId="10" fontId="8" fillId="0" borderId="0" xfId="0" applyNumberFormat="1" applyFont="1" applyAlignment="1">
      <alignment horizontal="center"/>
    </xf>
    <xf numFmtId="164" fontId="5" fillId="0" borderId="0" xfId="1" applyFont="1" applyAlignment="1">
      <alignment horizontal="center"/>
    </xf>
    <xf numFmtId="164" fontId="5" fillId="0" borderId="0" xfId="0" applyNumberFormat="1" applyFont="1" applyAlignment="1">
      <alignment horizontal="center"/>
    </xf>
    <xf numFmtId="0" fontId="16" fillId="0" borderId="17" xfId="0" applyFont="1" applyBorder="1" applyAlignment="1">
      <alignment horizontal="center"/>
    </xf>
    <xf numFmtId="0" fontId="16" fillId="0" borderId="8" xfId="0" applyFont="1" applyBorder="1" applyAlignment="1">
      <alignment horizontal="center"/>
    </xf>
    <xf numFmtId="4" fontId="5" fillId="0" borderId="9" xfId="0" applyNumberFormat="1" applyFont="1" applyBorder="1"/>
    <xf numFmtId="4" fontId="5" fillId="0" borderId="17" xfId="0" applyNumberFormat="1" applyFont="1" applyBorder="1"/>
    <xf numFmtId="0" fontId="5" fillId="0" borderId="17" xfId="0" applyFont="1" applyBorder="1" applyAlignment="1">
      <alignment horizontal="center"/>
    </xf>
    <xf numFmtId="0" fontId="5" fillId="0" borderId="17" xfId="0" applyFont="1" applyBorder="1"/>
    <xf numFmtId="0" fontId="5" fillId="0" borderId="18" xfId="0" applyFont="1" applyBorder="1"/>
    <xf numFmtId="165" fontId="5" fillId="0" borderId="18" xfId="1" applyNumberFormat="1" applyFont="1" applyBorder="1"/>
    <xf numFmtId="0" fontId="2" fillId="0" borderId="2" xfId="0" applyFont="1" applyBorder="1" applyAlignment="1">
      <alignment horizontal="center"/>
    </xf>
    <xf numFmtId="0" fontId="2" fillId="0" borderId="19" xfId="0" applyFont="1" applyBorder="1" applyAlignment="1">
      <alignment horizontal="center"/>
    </xf>
    <xf numFmtId="0" fontId="2" fillId="0" borderId="3" xfId="0" applyFont="1" applyBorder="1"/>
    <xf numFmtId="0" fontId="3" fillId="0" borderId="19" xfId="0" applyFont="1" applyBorder="1" applyAlignment="1">
      <alignment horizontal="left"/>
    </xf>
    <xf numFmtId="0" fontId="2" fillId="0" borderId="2" xfId="0" applyFont="1" applyBorder="1"/>
    <xf numFmtId="0" fontId="2" fillId="0" borderId="3" xfId="0" applyFont="1" applyBorder="1" applyAlignment="1">
      <alignment horizontal="center"/>
    </xf>
    <xf numFmtId="0" fontId="16" fillId="0" borderId="23" xfId="0" applyFont="1" applyBorder="1" applyAlignment="1">
      <alignment horizontal="center"/>
    </xf>
    <xf numFmtId="4" fontId="5" fillId="0" borderId="23" xfId="0" applyNumberFormat="1" applyFont="1" applyBorder="1"/>
    <xf numFmtId="164" fontId="12" fillId="0" borderId="0" xfId="1" applyFont="1" applyAlignment="1">
      <alignment horizontal="center"/>
    </xf>
    <xf numFmtId="0" fontId="2" fillId="0" borderId="24" xfId="0" applyFont="1" applyBorder="1"/>
    <xf numFmtId="165" fontId="5" fillId="0" borderId="0" xfId="0" applyNumberFormat="1" applyFont="1" applyAlignment="1">
      <alignment horizontal="center"/>
    </xf>
    <xf numFmtId="165" fontId="2" fillId="0" borderId="0" xfId="0" applyNumberFormat="1" applyFont="1"/>
    <xf numFmtId="0" fontId="0" fillId="0" borderId="25" xfId="0" applyBorder="1"/>
    <xf numFmtId="0" fontId="0" fillId="0" borderId="30" xfId="0" applyBorder="1"/>
    <xf numFmtId="0" fontId="0" fillId="0" borderId="28" xfId="0" applyBorder="1"/>
    <xf numFmtId="0" fontId="0" fillId="0" borderId="35" xfId="0" applyBorder="1"/>
    <xf numFmtId="0" fontId="0" fillId="0" borderId="38" xfId="0" applyBorder="1"/>
    <xf numFmtId="0" fontId="0" fillId="0" borderId="32" xfId="0" applyBorder="1"/>
    <xf numFmtId="0" fontId="0" fillId="0" borderId="42" xfId="0" applyBorder="1"/>
    <xf numFmtId="0" fontId="16" fillId="0" borderId="0" xfId="0" applyFont="1" applyAlignment="1">
      <alignment horizontal="left"/>
    </xf>
    <xf numFmtId="164" fontId="5" fillId="0" borderId="0" xfId="1" applyFont="1" applyAlignment="1">
      <alignment horizontal="right"/>
    </xf>
    <xf numFmtId="164" fontId="0" fillId="0" borderId="0" xfId="1" applyFont="1"/>
    <xf numFmtId="164" fontId="5" fillId="0" borderId="1" xfId="1" applyFont="1" applyBorder="1" applyAlignment="1">
      <alignment horizontal="center"/>
    </xf>
    <xf numFmtId="164" fontId="5" fillId="0" borderId="8" xfId="1" applyFont="1" applyBorder="1" applyAlignment="1">
      <alignment horizontal="center"/>
    </xf>
    <xf numFmtId="164" fontId="18" fillId="0" borderId="1" xfId="1" applyFont="1" applyBorder="1"/>
    <xf numFmtId="0" fontId="16" fillId="0" borderId="0" xfId="0" applyFont="1" applyAlignment="1">
      <alignment horizontal="right"/>
    </xf>
    <xf numFmtId="0" fontId="5" fillId="0" borderId="0" xfId="0" applyFont="1" applyAlignment="1">
      <alignment horizontal="left"/>
    </xf>
    <xf numFmtId="0" fontId="2" fillId="0" borderId="0" xfId="0" applyNumberFormat="1" applyFont="1" applyAlignment="1">
      <alignment horizontal="left"/>
    </xf>
    <xf numFmtId="0" fontId="42" fillId="0" borderId="0" xfId="0" applyNumberFormat="1" applyFont="1" applyAlignment="1">
      <alignment horizontal="left"/>
    </xf>
    <xf numFmtId="0" fontId="44" fillId="0" borderId="0" xfId="0" applyNumberFormat="1" applyFont="1" applyAlignment="1">
      <alignment horizontal="left"/>
    </xf>
    <xf numFmtId="10" fontId="4" fillId="0" borderId="24" xfId="0" applyNumberFormat="1" applyFont="1" applyBorder="1" applyAlignment="1">
      <alignment wrapText="1"/>
    </xf>
    <xf numFmtId="10" fontId="8" fillId="0" borderId="24" xfId="2" applyNumberFormat="1" applyFont="1" applyBorder="1" applyAlignment="1">
      <alignment horizontal="center"/>
    </xf>
    <xf numFmtId="10" fontId="4" fillId="0" borderId="24" xfId="0" applyNumberFormat="1" applyFont="1" applyBorder="1"/>
    <xf numFmtId="164" fontId="5" fillId="0" borderId="18" xfId="1" applyFont="1" applyBorder="1"/>
    <xf numFmtId="164" fontId="45" fillId="0" borderId="1" xfId="1" applyFont="1" applyBorder="1"/>
    <xf numFmtId="4" fontId="25" fillId="0" borderId="1" xfId="0" applyNumberFormat="1" applyFont="1" applyBorder="1"/>
    <xf numFmtId="14" fontId="5" fillId="0" borderId="0" xfId="0" applyNumberFormat="1" applyFont="1" applyAlignment="1">
      <alignment horizontal="left"/>
    </xf>
    <xf numFmtId="0" fontId="42" fillId="0" borderId="0" xfId="0" applyNumberFormat="1" applyFont="1" applyAlignment="1">
      <alignment horizontal="right"/>
    </xf>
    <xf numFmtId="0" fontId="2" fillId="3" borderId="22" xfId="0" applyNumberFormat="1" applyFont="1" applyFill="1" applyBorder="1" applyAlignment="1">
      <alignment horizontal="center"/>
    </xf>
    <xf numFmtId="0" fontId="2" fillId="3" borderId="20" xfId="0" applyNumberFormat="1" applyFont="1" applyFill="1" applyBorder="1" applyAlignment="1">
      <alignment horizontal="center"/>
    </xf>
    <xf numFmtId="0" fontId="2" fillId="3" borderId="4" xfId="0" applyNumberFormat="1" applyFont="1" applyFill="1" applyBorder="1" applyAlignment="1">
      <alignment horizontal="center"/>
    </xf>
    <xf numFmtId="0" fontId="2" fillId="0" borderId="22" xfId="0" applyNumberFormat="1" applyFont="1" applyBorder="1" applyAlignment="1">
      <alignment horizontal="left"/>
    </xf>
    <xf numFmtId="0" fontId="2" fillId="0" borderId="20" xfId="0" applyNumberFormat="1" applyFont="1" applyBorder="1" applyAlignment="1">
      <alignment horizontal="left"/>
    </xf>
    <xf numFmtId="0" fontId="0" fillId="0" borderId="20" xfId="0" applyBorder="1" applyAlignment="1"/>
    <xf numFmtId="0" fontId="0" fillId="0" borderId="4" xfId="0" applyBorder="1" applyAlignment="1"/>
    <xf numFmtId="0" fontId="2" fillId="0" borderId="49" xfId="0" applyNumberFormat="1" applyFont="1" applyBorder="1" applyAlignment="1">
      <alignment horizontal="left"/>
    </xf>
    <xf numFmtId="0" fontId="2" fillId="0" borderId="50" xfId="0" applyNumberFormat="1" applyFont="1" applyBorder="1" applyAlignment="1">
      <alignment horizontal="left"/>
    </xf>
    <xf numFmtId="164" fontId="2" fillId="0" borderId="51" xfId="1" applyFont="1" applyBorder="1" applyAlignment="1"/>
    <xf numFmtId="166" fontId="2" fillId="0" borderId="50" xfId="0" applyNumberFormat="1" applyFont="1" applyBorder="1" applyAlignment="1">
      <alignment horizontal="right"/>
    </xf>
    <xf numFmtId="166" fontId="2" fillId="0" borderId="51" xfId="0" applyNumberFormat="1" applyFont="1" applyBorder="1" applyAlignment="1">
      <alignment horizontal="right"/>
    </xf>
    <xf numFmtId="0" fontId="2" fillId="0" borderId="50" xfId="0" applyNumberFormat="1" applyFont="1" applyBorder="1" applyAlignment="1">
      <alignment horizontal="center"/>
    </xf>
    <xf numFmtId="0" fontId="2" fillId="0" borderId="51" xfId="0" applyNumberFormat="1" applyFont="1" applyBorder="1" applyAlignment="1">
      <alignment horizontal="center"/>
    </xf>
    <xf numFmtId="164" fontId="0" fillId="0" borderId="51" xfId="1" applyFont="1" applyBorder="1" applyAlignment="1"/>
    <xf numFmtId="0" fontId="0" fillId="0" borderId="50" xfId="0" applyBorder="1" applyAlignment="1"/>
    <xf numFmtId="0" fontId="0" fillId="0" borderId="51" xfId="0" applyBorder="1" applyAlignment="1"/>
    <xf numFmtId="0" fontId="0" fillId="0" borderId="52" xfId="0" applyBorder="1"/>
    <xf numFmtId="0" fontId="2" fillId="3" borderId="53" xfId="0" applyNumberFormat="1" applyFont="1" applyFill="1" applyBorder="1" applyAlignment="1">
      <alignment horizontal="center"/>
    </xf>
    <xf numFmtId="0" fontId="0" fillId="0" borderId="20" xfId="0" applyBorder="1"/>
    <xf numFmtId="166" fontId="2" fillId="0" borderId="4" xfId="0" applyNumberFormat="1" applyFont="1" applyBorder="1" applyAlignment="1"/>
    <xf numFmtId="166" fontId="2" fillId="0" borderId="20" xfId="0" applyNumberFormat="1" applyFont="1" applyBorder="1" applyAlignment="1">
      <alignment horizontal="right"/>
    </xf>
    <xf numFmtId="166" fontId="2" fillId="0" borderId="4" xfId="0" applyNumberFormat="1" applyFont="1" applyBorder="1" applyAlignment="1">
      <alignment horizontal="right"/>
    </xf>
    <xf numFmtId="166" fontId="2" fillId="0" borderId="51" xfId="0" applyNumberFormat="1" applyFont="1" applyBorder="1" applyAlignment="1"/>
    <xf numFmtId="164" fontId="0" fillId="0" borderId="0" xfId="0" applyNumberFormat="1"/>
    <xf numFmtId="0" fontId="2" fillId="3" borderId="50" xfId="0" applyNumberFormat="1" applyFont="1" applyFill="1" applyBorder="1" applyAlignment="1">
      <alignment horizontal="center"/>
    </xf>
    <xf numFmtId="0" fontId="2" fillId="3" borderId="51" xfId="0" applyNumberFormat="1" applyFont="1" applyFill="1" applyBorder="1" applyAlignment="1">
      <alignment horizontal="center"/>
    </xf>
    <xf numFmtId="0" fontId="2" fillId="0" borderId="52" xfId="0" applyNumberFormat="1" applyFont="1" applyBorder="1" applyAlignment="1">
      <alignment horizontal="left"/>
    </xf>
    <xf numFmtId="0" fontId="46" fillId="0" borderId="49" xfId="0" applyNumberFormat="1" applyFont="1" applyBorder="1" applyAlignment="1">
      <alignment horizontal="left"/>
    </xf>
    <xf numFmtId="0" fontId="2" fillId="0" borderId="55" xfId="0" applyNumberFormat="1" applyFont="1" applyBorder="1" applyAlignment="1">
      <alignment horizontal="left"/>
    </xf>
    <xf numFmtId="0" fontId="2" fillId="0" borderId="53" xfId="0" applyNumberFormat="1" applyFont="1" applyBorder="1" applyAlignment="1">
      <alignment horizontal="left"/>
    </xf>
    <xf numFmtId="166" fontId="2" fillId="0" borderId="53" xfId="0" applyNumberFormat="1" applyFont="1" applyBorder="1" applyAlignment="1">
      <alignment horizontal="right"/>
    </xf>
    <xf numFmtId="166" fontId="2" fillId="0" borderId="56" xfId="0" applyNumberFormat="1" applyFont="1" applyBorder="1" applyAlignment="1">
      <alignment horizontal="right"/>
    </xf>
    <xf numFmtId="0" fontId="2" fillId="3" borderId="52" xfId="0" applyNumberFormat="1" applyFont="1" applyFill="1" applyBorder="1" applyAlignment="1">
      <alignment horizontal="center"/>
    </xf>
    <xf numFmtId="0" fontId="2" fillId="3" borderId="21" xfId="0" applyNumberFormat="1" applyFont="1" applyFill="1" applyBorder="1" applyAlignment="1">
      <alignment horizontal="center"/>
    </xf>
    <xf numFmtId="0" fontId="2" fillId="3" borderId="5" xfId="0" applyNumberFormat="1" applyFont="1" applyFill="1" applyBorder="1" applyAlignment="1">
      <alignment horizontal="center"/>
    </xf>
    <xf numFmtId="9" fontId="2" fillId="0" borderId="50" xfId="0" applyNumberFormat="1" applyFont="1" applyBorder="1" applyAlignment="1">
      <alignment horizontal="right"/>
    </xf>
    <xf numFmtId="0" fontId="42" fillId="0" borderId="0" xfId="0" applyFont="1"/>
    <xf numFmtId="0" fontId="10" fillId="0" borderId="0" xfId="0" applyFont="1" applyAlignment="1">
      <alignment horizontal="left"/>
    </xf>
    <xf numFmtId="0" fontId="4" fillId="0" borderId="46" xfId="0" applyFont="1" applyBorder="1"/>
    <xf numFmtId="0" fontId="4" fillId="0" borderId="48" xfId="0" applyFont="1" applyBorder="1" applyAlignment="1">
      <alignment horizontal="right"/>
    </xf>
    <xf numFmtId="0" fontId="2" fillId="3" borderId="6" xfId="0" applyNumberFormat="1" applyFont="1" applyFill="1" applyBorder="1" applyAlignment="1">
      <alignment horizontal="center" vertical="center"/>
    </xf>
    <xf numFmtId="0" fontId="2" fillId="3" borderId="56" xfId="0" applyNumberFormat="1" applyFont="1" applyFill="1" applyBorder="1" applyAlignment="1">
      <alignment horizontal="center"/>
    </xf>
    <xf numFmtId="0" fontId="2" fillId="3" borderId="54" xfId="0" applyNumberFormat="1" applyFont="1" applyFill="1" applyBorder="1" applyAlignment="1">
      <alignment horizontal="center"/>
    </xf>
    <xf numFmtId="0" fontId="2" fillId="3" borderId="55" xfId="0" applyNumberFormat="1" applyFont="1" applyFill="1" applyBorder="1" applyAlignment="1">
      <alignment horizontal="center"/>
    </xf>
    <xf numFmtId="0" fontId="2" fillId="3" borderId="0" xfId="0" applyNumberFormat="1" applyFont="1" applyFill="1" applyBorder="1" applyAlignment="1">
      <alignment horizontal="center" vertical="center"/>
    </xf>
    <xf numFmtId="165" fontId="17" fillId="0" borderId="43" xfId="1" applyNumberFormat="1" applyFont="1" applyBorder="1"/>
    <xf numFmtId="164" fontId="2" fillId="0" borderId="50" xfId="1" applyFont="1" applyBorder="1"/>
    <xf numFmtId="164" fontId="2" fillId="0" borderId="51" xfId="1" applyFont="1" applyBorder="1"/>
    <xf numFmtId="0" fontId="0" fillId="0" borderId="0" xfId="0" applyBorder="1"/>
    <xf numFmtId="166" fontId="2" fillId="0" borderId="21" xfId="0" applyNumberFormat="1" applyFont="1" applyBorder="1" applyAlignment="1">
      <alignment horizontal="right"/>
    </xf>
    <xf numFmtId="166" fontId="2" fillId="0" borderId="5" xfId="0" applyNumberFormat="1" applyFont="1" applyBorder="1" applyAlignment="1">
      <alignment horizontal="right"/>
    </xf>
    <xf numFmtId="0" fontId="2" fillId="3" borderId="0" xfId="0" applyNumberFormat="1" applyFont="1" applyFill="1" applyBorder="1" applyAlignment="1">
      <alignment horizontal="center"/>
    </xf>
    <xf numFmtId="0" fontId="2" fillId="0" borderId="0" xfId="0" applyNumberFormat="1" applyFont="1" applyBorder="1" applyAlignment="1">
      <alignment horizontal="left"/>
    </xf>
    <xf numFmtId="166" fontId="2" fillId="0" borderId="0" xfId="0" applyNumberFormat="1" applyFont="1" applyBorder="1" applyAlignment="1">
      <alignment horizontal="right"/>
    </xf>
    <xf numFmtId="0" fontId="46" fillId="0" borderId="0" xfId="0" applyNumberFormat="1" applyFont="1" applyBorder="1" applyAlignment="1">
      <alignment horizontal="left"/>
    </xf>
    <xf numFmtId="0" fontId="2" fillId="0" borderId="0" xfId="0" applyFont="1" applyBorder="1"/>
    <xf numFmtId="0" fontId="2" fillId="0" borderId="0" xfId="0" applyNumberFormat="1" applyFont="1" applyFill="1" applyBorder="1" applyAlignment="1">
      <alignment vertical="center"/>
    </xf>
    <xf numFmtId="0" fontId="2" fillId="0" borderId="0" xfId="0" applyNumberFormat="1" applyFont="1" applyFill="1" applyBorder="1" applyAlignment="1">
      <alignment horizontal="center"/>
    </xf>
    <xf numFmtId="164" fontId="2" fillId="0" borderId="0" xfId="1" applyFont="1" applyFill="1" applyBorder="1" applyAlignment="1">
      <alignment horizontal="center"/>
    </xf>
    <xf numFmtId="0" fontId="2" fillId="3" borderId="4" xfId="0" applyNumberFormat="1" applyFont="1" applyFill="1" applyBorder="1" applyAlignment="1">
      <alignment vertical="center"/>
    </xf>
    <xf numFmtId="0" fontId="2" fillId="3" borderId="52" xfId="0" applyNumberFormat="1" applyFont="1" applyFill="1" applyBorder="1" applyAlignment="1">
      <alignment vertical="center"/>
    </xf>
    <xf numFmtId="0" fontId="2" fillId="0" borderId="51" xfId="0" applyNumberFormat="1" applyFont="1" applyFill="1" applyBorder="1" applyAlignment="1">
      <alignment vertical="center"/>
    </xf>
    <xf numFmtId="0" fontId="2" fillId="0" borderId="51" xfId="0" applyFont="1" applyBorder="1"/>
    <xf numFmtId="0" fontId="2" fillId="0" borderId="5" xfId="0" applyFont="1" applyBorder="1"/>
    <xf numFmtId="0" fontId="2" fillId="0" borderId="6" xfId="0" applyNumberFormat="1" applyFont="1" applyFill="1" applyBorder="1" applyAlignment="1">
      <alignment vertical="center"/>
    </xf>
    <xf numFmtId="0" fontId="46" fillId="0" borderId="6" xfId="0" applyNumberFormat="1" applyFont="1" applyBorder="1" applyAlignment="1">
      <alignment horizontal="left"/>
    </xf>
    <xf numFmtId="166" fontId="2" fillId="0" borderId="6" xfId="0" applyNumberFormat="1" applyFont="1" applyBorder="1" applyAlignment="1">
      <alignment horizontal="right"/>
    </xf>
    <xf numFmtId="166" fontId="2" fillId="0" borderId="7" xfId="0" applyNumberFormat="1" applyFont="1" applyBorder="1" applyAlignment="1">
      <alignment horizontal="right"/>
    </xf>
    <xf numFmtId="0" fontId="2" fillId="3" borderId="56" xfId="0" applyNumberFormat="1" applyFont="1" applyFill="1" applyBorder="1" applyAlignment="1">
      <alignment vertical="center"/>
    </xf>
    <xf numFmtId="0" fontId="2" fillId="3" borderId="54" xfId="0" applyNumberFormat="1" applyFont="1" applyFill="1" applyBorder="1" applyAlignment="1">
      <alignment vertical="center"/>
    </xf>
    <xf numFmtId="164" fontId="2" fillId="0" borderId="50" xfId="1" applyFont="1" applyFill="1" applyBorder="1" applyAlignment="1">
      <alignment horizontal="center"/>
    </xf>
    <xf numFmtId="0" fontId="2" fillId="0" borderId="50" xfId="0" applyNumberFormat="1" applyFont="1" applyFill="1" applyBorder="1" applyAlignment="1">
      <alignment horizontal="center"/>
    </xf>
    <xf numFmtId="164" fontId="2" fillId="0" borderId="0" xfId="1" applyFont="1" applyBorder="1"/>
    <xf numFmtId="0" fontId="0" fillId="0" borderId="5" xfId="0" applyBorder="1"/>
    <xf numFmtId="0" fontId="2" fillId="0" borderId="6" xfId="0" applyNumberFormat="1" applyFont="1" applyBorder="1" applyAlignment="1">
      <alignment horizontal="left"/>
    </xf>
    <xf numFmtId="0" fontId="2" fillId="3" borderId="52" xfId="0" applyNumberFormat="1" applyFont="1" applyFill="1" applyBorder="1" applyAlignment="1">
      <alignment horizontal="right"/>
    </xf>
    <xf numFmtId="0" fontId="2" fillId="3" borderId="20" xfId="0" applyNumberFormat="1" applyFont="1" applyFill="1" applyBorder="1" applyAlignment="1">
      <alignment horizontal="right"/>
    </xf>
    <xf numFmtId="0" fontId="2" fillId="3" borderId="53" xfId="0" applyNumberFormat="1" applyFont="1" applyFill="1" applyBorder="1" applyAlignment="1">
      <alignment horizontal="right"/>
    </xf>
    <xf numFmtId="0" fontId="47" fillId="0" borderId="0" xfId="0" applyNumberFormat="1" applyFont="1" applyBorder="1" applyAlignment="1">
      <alignment horizontal="left"/>
    </xf>
    <xf numFmtId="166" fontId="4" fillId="0" borderId="0" xfId="0" applyNumberFormat="1" applyFont="1" applyBorder="1" applyAlignment="1">
      <alignment horizontal="right"/>
    </xf>
    <xf numFmtId="164" fontId="4" fillId="0" borderId="0" xfId="1" applyFont="1" applyBorder="1"/>
    <xf numFmtId="9" fontId="2" fillId="0" borderId="53" xfId="0" applyNumberFormat="1" applyFont="1" applyBorder="1" applyAlignment="1">
      <alignment horizontal="right"/>
    </xf>
    <xf numFmtId="169" fontId="2" fillId="0" borderId="56" xfId="0" applyNumberFormat="1" applyFont="1" applyBorder="1" applyAlignment="1">
      <alignment horizontal="right"/>
    </xf>
    <xf numFmtId="0" fontId="2" fillId="3" borderId="6" xfId="0" applyNumberFormat="1" applyFont="1" applyFill="1" applyBorder="1" applyAlignment="1">
      <alignment horizontal="center"/>
    </xf>
    <xf numFmtId="0" fontId="2" fillId="0" borderId="21" xfId="0" applyNumberFormat="1" applyFont="1" applyBorder="1" applyAlignment="1">
      <alignment horizontal="left"/>
    </xf>
    <xf numFmtId="0" fontId="2" fillId="0" borderId="5" xfId="0" applyNumberFormat="1" applyFont="1" applyBorder="1" applyAlignment="1">
      <alignment horizontal="left"/>
    </xf>
    <xf numFmtId="0" fontId="2" fillId="0" borderId="7" xfId="0" applyNumberFormat="1" applyFont="1" applyBorder="1" applyAlignment="1">
      <alignment horizontal="left"/>
    </xf>
    <xf numFmtId="0" fontId="2" fillId="3" borderId="51" xfId="0" applyNumberFormat="1" applyFont="1" applyFill="1" applyBorder="1" applyAlignment="1">
      <alignment horizontal="center" vertical="center"/>
    </xf>
    <xf numFmtId="0" fontId="2" fillId="3" borderId="5" xfId="0" applyNumberFormat="1" applyFont="1" applyFill="1" applyBorder="1" applyAlignment="1">
      <alignment horizontal="center" vertical="center"/>
    </xf>
    <xf numFmtId="0" fontId="2" fillId="3" borderId="56" xfId="0" applyNumberFormat="1" applyFont="1" applyFill="1" applyBorder="1" applyAlignment="1">
      <alignment horizontal="left"/>
    </xf>
    <xf numFmtId="0" fontId="2" fillId="3" borderId="20" xfId="0" applyNumberFormat="1" applyFont="1" applyFill="1" applyBorder="1" applyAlignment="1">
      <alignment horizontal="left"/>
    </xf>
    <xf numFmtId="0" fontId="10" fillId="0" borderId="44" xfId="0" applyFont="1" applyBorder="1" applyAlignment="1">
      <alignment horizontal="left"/>
    </xf>
    <xf numFmtId="0" fontId="9" fillId="0" borderId="44" xfId="0" applyFont="1" applyBorder="1" applyProtection="1">
      <protection hidden="1"/>
    </xf>
    <xf numFmtId="0" fontId="0" fillId="0" borderId="46" xfId="0" applyBorder="1"/>
    <xf numFmtId="164" fontId="2" fillId="0" borderId="20" xfId="1" applyFont="1" applyBorder="1" applyAlignment="1"/>
    <xf numFmtId="164" fontId="2" fillId="0" borderId="50" xfId="1" applyFont="1" applyBorder="1" applyAlignment="1"/>
    <xf numFmtId="0" fontId="2" fillId="0" borderId="4" xfId="0" applyFont="1" applyBorder="1" applyAlignment="1"/>
    <xf numFmtId="0" fontId="2" fillId="0" borderId="51" xfId="0" applyFont="1" applyBorder="1" applyAlignment="1"/>
    <xf numFmtId="0" fontId="2" fillId="0" borderId="5" xfId="0" applyFont="1" applyBorder="1" applyAlignment="1"/>
    <xf numFmtId="0" fontId="4" fillId="0" borderId="52" xfId="0" applyFont="1" applyBorder="1"/>
    <xf numFmtId="10" fontId="2" fillId="0" borderId="0" xfId="0" applyNumberFormat="1" applyFont="1"/>
    <xf numFmtId="164" fontId="16" fillId="0" borderId="1" xfId="1" applyFont="1" applyBorder="1"/>
    <xf numFmtId="0" fontId="0" fillId="0" borderId="0" xfId="0" applyAlignment="1">
      <alignment horizontal="center"/>
    </xf>
    <xf numFmtId="0" fontId="48" fillId="0" borderId="0" xfId="0" applyFont="1"/>
    <xf numFmtId="0" fontId="48" fillId="0" borderId="0" xfId="0" applyFont="1" applyAlignment="1">
      <alignment horizontal="center"/>
    </xf>
    <xf numFmtId="0" fontId="48" fillId="7" borderId="24" xfId="0" applyFont="1" applyFill="1" applyBorder="1" applyAlignment="1">
      <alignment horizontal="center" vertical="center"/>
    </xf>
    <xf numFmtId="0" fontId="3" fillId="7" borderId="24" xfId="0" applyFont="1" applyFill="1" applyBorder="1" applyAlignment="1">
      <alignment horizontal="center" wrapText="1"/>
    </xf>
    <xf numFmtId="0" fontId="0" fillId="7" borderId="24" xfId="0" applyFill="1" applyBorder="1"/>
    <xf numFmtId="0" fontId="0" fillId="7" borderId="24" xfId="0" applyFill="1" applyBorder="1" applyAlignment="1">
      <alignment horizontal="center"/>
    </xf>
    <xf numFmtId="0" fontId="2" fillId="7" borderId="24" xfId="0" applyFont="1" applyFill="1" applyBorder="1"/>
    <xf numFmtId="0" fontId="0" fillId="0" borderId="24" xfId="0" applyBorder="1"/>
    <xf numFmtId="164" fontId="0" fillId="0" borderId="24" xfId="1" applyFont="1" applyBorder="1"/>
    <xf numFmtId="164" fontId="3" fillId="7" borderId="24" xfId="1" applyFont="1" applyFill="1" applyBorder="1" applyAlignment="1">
      <alignment horizontal="center" wrapText="1"/>
    </xf>
    <xf numFmtId="164" fontId="3" fillId="7" borderId="24" xfId="1" applyFont="1" applyFill="1" applyBorder="1" applyAlignment="1">
      <alignment horizontal="center" vertical="center"/>
    </xf>
    <xf numFmtId="0" fontId="48" fillId="7" borderId="24" xfId="0" applyFont="1" applyFill="1" applyBorder="1" applyAlignment="1">
      <alignment horizontal="center"/>
    </xf>
    <xf numFmtId="0" fontId="3" fillId="7" borderId="24" xfId="0" applyFont="1" applyFill="1" applyBorder="1" applyAlignment="1">
      <alignment horizontal="center" vertical="center" wrapText="1"/>
    </xf>
    <xf numFmtId="0" fontId="0" fillId="0" borderId="24" xfId="0" applyBorder="1" applyAlignment="1">
      <alignment horizontal="center"/>
    </xf>
    <xf numFmtId="2" fontId="0" fillId="0" borderId="24" xfId="0" applyNumberFormat="1" applyBorder="1" applyAlignment="1">
      <alignment horizontal="center"/>
    </xf>
    <xf numFmtId="0" fontId="3" fillId="7" borderId="24" xfId="0" applyFont="1" applyFill="1" applyBorder="1" applyAlignment="1">
      <alignment horizontal="center"/>
    </xf>
    <xf numFmtId="0" fontId="0" fillId="0" borderId="44" xfId="0" applyBorder="1"/>
    <xf numFmtId="0" fontId="0" fillId="0" borderId="0" xfId="0" applyFill="1" applyBorder="1"/>
    <xf numFmtId="0" fontId="2" fillId="0" borderId="46" xfId="0" applyFont="1" applyBorder="1"/>
    <xf numFmtId="0" fontId="10" fillId="0" borderId="44" xfId="0" applyFont="1" applyBorder="1" applyAlignment="1">
      <alignment horizontal="center"/>
    </xf>
    <xf numFmtId="0" fontId="3" fillId="7" borderId="24" xfId="0" applyFont="1" applyFill="1" applyBorder="1" applyAlignment="1">
      <alignment horizontal="center" vertical="center"/>
    </xf>
    <xf numFmtId="0" fontId="2" fillId="0" borderId="0" xfId="0" applyFont="1" applyFill="1" applyBorder="1"/>
    <xf numFmtId="0" fontId="3" fillId="7" borderId="39" xfId="0" applyFont="1" applyFill="1" applyBorder="1" applyAlignment="1">
      <alignment horizontal="center"/>
    </xf>
    <xf numFmtId="0" fontId="48" fillId="7" borderId="39" xfId="0" applyFont="1" applyFill="1" applyBorder="1" applyAlignment="1">
      <alignment horizontal="center"/>
    </xf>
    <xf numFmtId="0" fontId="2" fillId="0" borderId="45" xfId="0" applyFont="1" applyBorder="1"/>
    <xf numFmtId="0" fontId="2" fillId="0" borderId="41" xfId="0" applyFont="1" applyBorder="1"/>
    <xf numFmtId="0" fontId="2" fillId="7" borderId="24" xfId="0" applyFont="1" applyFill="1" applyBorder="1" applyAlignment="1">
      <alignment horizontal="center"/>
    </xf>
    <xf numFmtId="164" fontId="0" fillId="0" borderId="24" xfId="1" applyFont="1" applyBorder="1" applyAlignment="1">
      <alignment horizontal="center"/>
    </xf>
    <xf numFmtId="10" fontId="0" fillId="0" borderId="24" xfId="1" applyNumberFormat="1" applyFont="1" applyBorder="1"/>
    <xf numFmtId="0" fontId="3" fillId="0" borderId="24" xfId="0" applyFont="1" applyBorder="1"/>
    <xf numFmtId="0" fontId="16" fillId="0" borderId="24" xfId="0" applyFont="1" applyBorder="1" applyAlignment="1">
      <alignment horizontal="center"/>
    </xf>
    <xf numFmtId="0" fontId="5" fillId="0" borderId="24" xfId="0" applyFont="1" applyBorder="1"/>
    <xf numFmtId="0" fontId="5" fillId="0" borderId="24" xfId="0" applyFont="1" applyBorder="1" applyAlignment="1">
      <alignment horizontal="center"/>
    </xf>
    <xf numFmtId="164" fontId="5" fillId="0" borderId="24" xfId="1" applyFont="1" applyBorder="1"/>
    <xf numFmtId="165" fontId="5" fillId="0" borderId="45" xfId="1" applyNumberFormat="1" applyFont="1" applyBorder="1"/>
    <xf numFmtId="165" fontId="5" fillId="0" borderId="13" xfId="1" applyNumberFormat="1" applyFont="1" applyBorder="1"/>
    <xf numFmtId="4" fontId="5" fillId="0" borderId="47" xfId="0" applyNumberFormat="1" applyFont="1" applyBorder="1"/>
    <xf numFmtId="164" fontId="5" fillId="0" borderId="3" xfId="1" applyFont="1" applyBorder="1"/>
    <xf numFmtId="164" fontId="5" fillId="0" borderId="10" xfId="1" applyFont="1" applyBorder="1"/>
    <xf numFmtId="164" fontId="5" fillId="0" borderId="2" xfId="1" applyFont="1" applyBorder="1"/>
    <xf numFmtId="0" fontId="5" fillId="0" borderId="2" xfId="0" applyFont="1" applyBorder="1" applyAlignment="1">
      <alignment horizontal="right"/>
    </xf>
    <xf numFmtId="165" fontId="5" fillId="0" borderId="19" xfId="1" applyNumberFormat="1" applyFont="1" applyBorder="1"/>
    <xf numFmtId="165" fontId="5" fillId="0" borderId="24" xfId="1" applyNumberFormat="1" applyFont="1" applyBorder="1"/>
    <xf numFmtId="164" fontId="11" fillId="0" borderId="0" xfId="1" applyFont="1"/>
    <xf numFmtId="164" fontId="0" fillId="0" borderId="0" xfId="1" applyFont="1" applyBorder="1"/>
    <xf numFmtId="164" fontId="4" fillId="0" borderId="3" xfId="1" applyFont="1" applyBorder="1"/>
    <xf numFmtId="0" fontId="2" fillId="0" borderId="42" xfId="0" applyFont="1" applyBorder="1"/>
    <xf numFmtId="164" fontId="3" fillId="0" borderId="42" xfId="0" applyNumberFormat="1" applyFont="1" applyBorder="1"/>
    <xf numFmtId="4" fontId="2" fillId="0" borderId="42" xfId="0" applyNumberFormat="1" applyFont="1" applyBorder="1"/>
    <xf numFmtId="164" fontId="2" fillId="0" borderId="42" xfId="1" applyFont="1" applyBorder="1"/>
    <xf numFmtId="164" fontId="16" fillId="0" borderId="0" xfId="1" applyFont="1" applyAlignment="1">
      <alignment horizontal="right" vertical="center" wrapText="1"/>
    </xf>
    <xf numFmtId="165" fontId="5" fillId="0" borderId="1" xfId="1" applyNumberFormat="1" applyFont="1" applyFill="1" applyBorder="1" applyAlignment="1">
      <alignment horizontal="center"/>
    </xf>
    <xf numFmtId="166" fontId="2" fillId="0" borderId="20" xfId="0" applyNumberFormat="1" applyFont="1" applyBorder="1" applyAlignment="1"/>
    <xf numFmtId="166" fontId="2" fillId="0" borderId="21" xfId="0" applyNumberFormat="1" applyFont="1" applyBorder="1" applyAlignment="1"/>
    <xf numFmtId="164" fontId="2" fillId="0" borderId="20" xfId="1" applyFont="1" applyBorder="1" applyAlignment="1">
      <alignment horizontal="right"/>
    </xf>
    <xf numFmtId="9" fontId="2" fillId="0" borderId="50" xfId="2" applyFont="1" applyBorder="1" applyAlignment="1">
      <alignment horizontal="right"/>
    </xf>
    <xf numFmtId="9" fontId="2" fillId="0" borderId="20" xfId="2" applyFont="1" applyBorder="1" applyAlignment="1">
      <alignment horizontal="right"/>
    </xf>
    <xf numFmtId="164" fontId="2" fillId="0" borderId="50" xfId="1" applyFont="1" applyBorder="1" applyAlignment="1">
      <alignment horizontal="right"/>
    </xf>
    <xf numFmtId="3" fontId="4" fillId="0" borderId="0" xfId="0" applyNumberFormat="1" applyFont="1"/>
    <xf numFmtId="10" fontId="8" fillId="0" borderId="0" xfId="0" applyNumberFormat="1" applyFont="1"/>
    <xf numFmtId="0" fontId="4" fillId="0" borderId="0" xfId="0" applyFont="1" applyBorder="1" applyAlignment="1">
      <alignment horizontal="right"/>
    </xf>
    <xf numFmtId="10" fontId="4" fillId="0" borderId="0" xfId="0" applyNumberFormat="1" applyFont="1" applyBorder="1"/>
    <xf numFmtId="10" fontId="8" fillId="0" borderId="0" xfId="2" applyNumberFormat="1" applyFont="1" applyBorder="1" applyAlignment="1">
      <alignment horizontal="center"/>
    </xf>
    <xf numFmtId="0" fontId="2" fillId="0" borderId="20" xfId="0" applyFont="1" applyBorder="1" applyAlignment="1"/>
    <xf numFmtId="0" fontId="2" fillId="0" borderId="50" xfId="0" applyFont="1" applyBorder="1" applyAlignment="1"/>
    <xf numFmtId="0" fontId="2" fillId="0" borderId="50" xfId="0" applyFont="1" applyFill="1" applyBorder="1"/>
    <xf numFmtId="0" fontId="2" fillId="0" borderId="0" xfId="0" applyFont="1" applyFill="1"/>
    <xf numFmtId="4" fontId="5" fillId="0" borderId="24" xfId="0" applyNumberFormat="1" applyFont="1" applyBorder="1"/>
    <xf numFmtId="4" fontId="16" fillId="0" borderId="24" xfId="0" applyNumberFormat="1" applyFont="1" applyBorder="1"/>
    <xf numFmtId="0" fontId="54" fillId="0" borderId="26" xfId="0" applyFont="1" applyFill="1" applyBorder="1" applyAlignment="1">
      <alignment vertical="center"/>
    </xf>
    <xf numFmtId="0" fontId="4" fillId="0" borderId="0" xfId="0" applyFont="1" applyAlignment="1">
      <alignment horizontal="left"/>
    </xf>
    <xf numFmtId="49" fontId="5" fillId="0" borderId="0" xfId="0" applyNumberFormat="1" applyFont="1" applyAlignment="1">
      <alignment horizontal="right"/>
    </xf>
    <xf numFmtId="0" fontId="5" fillId="6" borderId="12" xfId="0" applyFont="1" applyFill="1" applyBorder="1" applyAlignment="1">
      <alignment horizontal="center" vertical="center"/>
    </xf>
    <xf numFmtId="0" fontId="5" fillId="0" borderId="11" xfId="0" applyFont="1" applyBorder="1" applyAlignment="1"/>
    <xf numFmtId="0" fontId="5" fillId="6" borderId="24" xfId="0" applyFont="1" applyFill="1" applyBorder="1" applyAlignment="1">
      <alignment horizontal="center"/>
    </xf>
    <xf numFmtId="0" fontId="5" fillId="6" borderId="23" xfId="0" applyFont="1" applyFill="1" applyBorder="1" applyAlignment="1">
      <alignment horizontal="center" vertical="center"/>
    </xf>
    <xf numFmtId="0" fontId="5" fillId="6" borderId="10" xfId="0" applyFont="1" applyFill="1" applyBorder="1" applyAlignment="1">
      <alignment horizontal="center"/>
    </xf>
    <xf numFmtId="0" fontId="5" fillId="6" borderId="9" xfId="0" applyFont="1" applyFill="1" applyBorder="1" applyAlignment="1">
      <alignment horizontal="center"/>
    </xf>
    <xf numFmtId="0" fontId="5" fillId="6" borderId="15" xfId="0" applyFont="1" applyFill="1" applyBorder="1" applyAlignment="1">
      <alignment horizontal="center"/>
    </xf>
    <xf numFmtId="0" fontId="5" fillId="0" borderId="14" xfId="0" applyFont="1" applyBorder="1" applyAlignment="1">
      <alignment horizontal="left"/>
    </xf>
    <xf numFmtId="168" fontId="5" fillId="0" borderId="10" xfId="0" applyNumberFormat="1" applyFont="1" applyBorder="1" applyAlignment="1">
      <alignment horizontal="right"/>
    </xf>
    <xf numFmtId="168" fontId="5" fillId="0" borderId="13" xfId="0" applyNumberFormat="1" applyFont="1" applyBorder="1" applyAlignment="1">
      <alignment horizontal="right"/>
    </xf>
    <xf numFmtId="0" fontId="5" fillId="0" borderId="14" xfId="0" applyFont="1" applyBorder="1" applyAlignment="1">
      <alignment horizontal="left" indent="1"/>
    </xf>
    <xf numFmtId="0" fontId="5" fillId="0" borderId="14" xfId="0" applyFont="1" applyBorder="1" applyAlignment="1">
      <alignment horizontal="left" indent="2"/>
    </xf>
    <xf numFmtId="0" fontId="5" fillId="6" borderId="3" xfId="0" applyFont="1" applyFill="1" applyBorder="1" applyAlignment="1">
      <alignment horizontal="left"/>
    </xf>
    <xf numFmtId="168" fontId="5" fillId="6" borderId="24" xfId="0" applyNumberFormat="1" applyFont="1" applyFill="1" applyBorder="1" applyAlignment="1">
      <alignment horizontal="right"/>
    </xf>
    <xf numFmtId="168" fontId="5" fillId="6" borderId="2" xfId="0" applyNumberFormat="1" applyFont="1" applyFill="1" applyBorder="1" applyAlignment="1">
      <alignment horizontal="right"/>
    </xf>
    <xf numFmtId="0" fontId="58" fillId="0" borderId="0" xfId="0" applyFont="1" applyAlignment="1"/>
    <xf numFmtId="164" fontId="2" fillId="0" borderId="42" xfId="1" applyNumberFormat="1" applyFont="1" applyBorder="1"/>
    <xf numFmtId="164" fontId="40" fillId="0" borderId="3" xfId="1" applyFont="1" applyBorder="1"/>
    <xf numFmtId="0" fontId="12" fillId="0" borderId="41" xfId="0" applyFont="1" applyFill="1" applyBorder="1"/>
    <xf numFmtId="0" fontId="2" fillId="0" borderId="48" xfId="0" applyFont="1" applyBorder="1"/>
    <xf numFmtId="4" fontId="2" fillId="0" borderId="43" xfId="0" applyNumberFormat="1" applyFont="1" applyBorder="1"/>
    <xf numFmtId="0" fontId="2" fillId="0" borderId="43" xfId="0" applyFont="1" applyBorder="1"/>
    <xf numFmtId="164" fontId="2" fillId="0" borderId="9" xfId="1" applyFont="1" applyBorder="1"/>
    <xf numFmtId="164" fontId="2" fillId="0" borderId="42" xfId="0" applyNumberFormat="1" applyFont="1" applyBorder="1" applyAlignment="1">
      <alignment horizontal="left"/>
    </xf>
    <xf numFmtId="0" fontId="42" fillId="0" borderId="2" xfId="0" applyFont="1" applyBorder="1" applyAlignment="1">
      <alignment horizontal="center"/>
    </xf>
    <xf numFmtId="0" fontId="9" fillId="0" borderId="41" xfId="0" applyFont="1" applyBorder="1"/>
    <xf numFmtId="0" fontId="42" fillId="0" borderId="10" xfId="0" applyFont="1" applyBorder="1"/>
    <xf numFmtId="0" fontId="9" fillId="0" borderId="43" xfId="0" applyFont="1" applyBorder="1" applyAlignment="1">
      <alignment horizontal="center"/>
    </xf>
    <xf numFmtId="0" fontId="9" fillId="0" borderId="46" xfId="0" applyFont="1" applyBorder="1"/>
    <xf numFmtId="4" fontId="12" fillId="0" borderId="9" xfId="0" applyNumberFormat="1" applyFont="1" applyBorder="1"/>
    <xf numFmtId="165" fontId="9" fillId="0" borderId="47" xfId="1" applyNumberFormat="1" applyFont="1" applyBorder="1"/>
    <xf numFmtId="165" fontId="25" fillId="0" borderId="14" xfId="1" applyNumberFormat="1" applyFont="1" applyBorder="1"/>
    <xf numFmtId="165" fontId="17" fillId="0" borderId="14" xfId="1" applyNumberFormat="1" applyFont="1" applyBorder="1"/>
    <xf numFmtId="4" fontId="9" fillId="0" borderId="14" xfId="0" applyNumberFormat="1" applyFont="1" applyBorder="1"/>
    <xf numFmtId="4" fontId="12" fillId="0" borderId="46" xfId="0" applyNumberFormat="1" applyFont="1" applyBorder="1"/>
    <xf numFmtId="4" fontId="42" fillId="0" borderId="39" xfId="0" applyNumberFormat="1" applyFont="1" applyBorder="1"/>
    <xf numFmtId="4" fontId="42" fillId="0" borderId="10" xfId="0" applyNumberFormat="1" applyFont="1" applyBorder="1"/>
    <xf numFmtId="164" fontId="42" fillId="0" borderId="10" xfId="1" applyFont="1" applyBorder="1"/>
    <xf numFmtId="4" fontId="42" fillId="0" borderId="9" xfId="0" applyNumberFormat="1" applyFont="1" applyBorder="1"/>
    <xf numFmtId="164" fontId="42" fillId="0" borderId="39" xfId="1" applyFont="1" applyBorder="1"/>
    <xf numFmtId="164" fontId="19" fillId="0" borderId="1" xfId="1" applyFont="1" applyBorder="1"/>
    <xf numFmtId="166" fontId="2" fillId="0" borderId="47" xfId="0" applyNumberFormat="1" applyFont="1" applyBorder="1" applyAlignment="1">
      <alignment horizontal="right"/>
    </xf>
    <xf numFmtId="166" fontId="2" fillId="0" borderId="48" xfId="0" applyNumberFormat="1" applyFont="1" applyBorder="1" applyAlignment="1">
      <alignment horizontal="right"/>
    </xf>
    <xf numFmtId="168" fontId="4" fillId="0" borderId="0" xfId="0" applyNumberFormat="1" applyFont="1"/>
    <xf numFmtId="165" fontId="7" fillId="0" borderId="43" xfId="1" applyNumberFormat="1" applyFont="1" applyBorder="1"/>
    <xf numFmtId="164" fontId="3" fillId="0" borderId="43" xfId="1" applyFont="1" applyBorder="1"/>
    <xf numFmtId="165" fontId="7" fillId="0" borderId="39" xfId="1" applyNumberFormat="1" applyFont="1" applyBorder="1"/>
    <xf numFmtId="164" fontId="2" fillId="0" borderId="43" xfId="1" applyFont="1" applyBorder="1"/>
    <xf numFmtId="164" fontId="2" fillId="0" borderId="43" xfId="0" applyNumberFormat="1" applyFont="1" applyBorder="1"/>
    <xf numFmtId="164" fontId="3" fillId="0" borderId="0" xfId="1" applyFont="1"/>
    <xf numFmtId="164" fontId="16" fillId="0" borderId="24" xfId="1" applyFont="1" applyBorder="1"/>
    <xf numFmtId="164" fontId="38" fillId="0" borderId="0" xfId="1" applyFont="1"/>
    <xf numFmtId="0" fontId="60" fillId="8" borderId="30" xfId="0" applyFont="1" applyFill="1" applyBorder="1" applyAlignment="1">
      <alignment horizontal="right"/>
    </xf>
    <xf numFmtId="164" fontId="2" fillId="0" borderId="0" xfId="1" applyFont="1" applyFill="1"/>
    <xf numFmtId="0" fontId="60" fillId="0" borderId="43" xfId="0" applyFont="1" applyFill="1" applyBorder="1" applyAlignment="1">
      <alignment horizontal="right"/>
    </xf>
    <xf numFmtId="0" fontId="2" fillId="0" borderId="43" xfId="0" applyFont="1" applyFill="1" applyBorder="1"/>
    <xf numFmtId="170" fontId="59" fillId="0" borderId="43" xfId="0" applyNumberFormat="1" applyFont="1" applyFill="1" applyBorder="1" applyAlignment="1">
      <alignment horizontal="right"/>
    </xf>
    <xf numFmtId="0" fontId="60" fillId="0" borderId="43" xfId="0" applyFont="1" applyFill="1" applyBorder="1" applyAlignment="1">
      <alignment horizontal="left"/>
    </xf>
    <xf numFmtId="0" fontId="60" fillId="0" borderId="43" xfId="0" applyFont="1" applyFill="1" applyBorder="1" applyAlignment="1">
      <alignment horizontal="center"/>
    </xf>
    <xf numFmtId="0" fontId="34" fillId="0" borderId="0" xfId="0" applyFont="1" applyAlignment="1" applyProtection="1">
      <alignment horizontal="right"/>
      <protection hidden="1"/>
    </xf>
    <xf numFmtId="164" fontId="40" fillId="0" borderId="43" xfId="1" applyFont="1" applyBorder="1" applyAlignment="1">
      <alignment horizontal="right"/>
    </xf>
    <xf numFmtId="164" fontId="2" fillId="0" borderId="48" xfId="1" applyFont="1" applyBorder="1"/>
    <xf numFmtId="166" fontId="2" fillId="0" borderId="50" xfId="0" applyNumberFormat="1" applyFont="1" applyBorder="1" applyAlignment="1"/>
    <xf numFmtId="166" fontId="2" fillId="0" borderId="43" xfId="0" applyNumberFormat="1" applyFont="1" applyBorder="1" applyAlignment="1">
      <alignment horizontal="right"/>
    </xf>
    <xf numFmtId="10" fontId="0" fillId="0" borderId="24" xfId="2" applyNumberFormat="1" applyFont="1" applyBorder="1" applyAlignment="1">
      <alignment horizontal="center"/>
    </xf>
    <xf numFmtId="0" fontId="61" fillId="0" borderId="0" xfId="0" applyFont="1"/>
    <xf numFmtId="0" fontId="5" fillId="6" borderId="2" xfId="0" applyFont="1" applyFill="1" applyBorder="1" applyAlignment="1">
      <alignment horizontal="center" vertical="center"/>
    </xf>
    <xf numFmtId="0" fontId="5" fillId="6" borderId="19" xfId="0" applyFont="1" applyFill="1" applyBorder="1" applyAlignment="1">
      <alignment horizontal="center" vertical="center"/>
    </xf>
    <xf numFmtId="0" fontId="62" fillId="4" borderId="26" xfId="0" applyFont="1" applyFill="1" applyBorder="1" applyAlignment="1">
      <alignment vertical="center"/>
    </xf>
    <xf numFmtId="0" fontId="63" fillId="0" borderId="26" xfId="0" applyFont="1" applyFill="1" applyBorder="1" applyAlignment="1">
      <alignment horizontal="justify" vertical="center"/>
    </xf>
    <xf numFmtId="0" fontId="53" fillId="0" borderId="36" xfId="0" applyFont="1" applyFill="1" applyBorder="1" applyAlignment="1">
      <alignment vertical="center" wrapText="1"/>
    </xf>
    <xf numFmtId="0" fontId="53" fillId="0" borderId="31" xfId="0" applyFont="1" applyFill="1" applyBorder="1" applyAlignment="1">
      <alignment vertical="center" wrapText="1"/>
    </xf>
    <xf numFmtId="0" fontId="53" fillId="5" borderId="26" xfId="0" applyFont="1" applyFill="1" applyBorder="1" applyAlignment="1">
      <alignment vertical="center" wrapText="1"/>
    </xf>
    <xf numFmtId="0" fontId="67" fillId="0" borderId="31" xfId="0" applyFont="1" applyFill="1" applyBorder="1" applyAlignment="1">
      <alignment vertical="center"/>
    </xf>
    <xf numFmtId="0" fontId="71" fillId="0" borderId="36" xfId="0" applyFont="1" applyFill="1" applyBorder="1" applyAlignment="1">
      <alignment horizontal="center" vertical="center"/>
    </xf>
    <xf numFmtId="0" fontId="2" fillId="0" borderId="44" xfId="0" applyFont="1" applyBorder="1"/>
    <xf numFmtId="0" fontId="2" fillId="0" borderId="47" xfId="0" applyFont="1" applyBorder="1"/>
    <xf numFmtId="0" fontId="2" fillId="0" borderId="40" xfId="0" applyFont="1" applyBorder="1"/>
    <xf numFmtId="0" fontId="2" fillId="0" borderId="14" xfId="0" applyFont="1" applyBorder="1"/>
    <xf numFmtId="164" fontId="2" fillId="0" borderId="44" xfId="1" applyFont="1" applyBorder="1"/>
    <xf numFmtId="164" fontId="2" fillId="0" borderId="14" xfId="1" applyFont="1" applyBorder="1"/>
    <xf numFmtId="164" fontId="2" fillId="0" borderId="46" xfId="1" applyFont="1" applyBorder="1"/>
    <xf numFmtId="164" fontId="2" fillId="0" borderId="40" xfId="1" applyFont="1" applyBorder="1"/>
    <xf numFmtId="0" fontId="2" fillId="0" borderId="39" xfId="0" applyFont="1" applyBorder="1"/>
    <xf numFmtId="164" fontId="2" fillId="0" borderId="39" xfId="1" applyFont="1" applyBorder="1"/>
    <xf numFmtId="0" fontId="2" fillId="0" borderId="39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3" fillId="0" borderId="42" xfId="0" applyFont="1" applyBorder="1"/>
    <xf numFmtId="164" fontId="3" fillId="0" borderId="42" xfId="1" applyFont="1" applyBorder="1"/>
    <xf numFmtId="164" fontId="3" fillId="0" borderId="3" xfId="1" applyFont="1" applyBorder="1"/>
    <xf numFmtId="0" fontId="3" fillId="0" borderId="45" xfId="0" applyFont="1" applyBorder="1"/>
    <xf numFmtId="164" fontId="0" fillId="0" borderId="0" xfId="0" applyNumberFormat="1" applyBorder="1"/>
    <xf numFmtId="164" fontId="2" fillId="0" borderId="43" xfId="1" applyFont="1" applyBorder="1" applyAlignment="1">
      <alignment horizontal="center"/>
    </xf>
    <xf numFmtId="164" fontId="2" fillId="0" borderId="42" xfId="1" applyFont="1" applyBorder="1" applyAlignment="1">
      <alignment horizontal="center"/>
    </xf>
    <xf numFmtId="164" fontId="74" fillId="0" borderId="0" xfId="0" applyNumberFormat="1" applyFont="1"/>
    <xf numFmtId="164" fontId="16" fillId="0" borderId="0" xfId="1" applyFont="1" applyAlignment="1">
      <alignment horizontal="center" vertical="center" wrapText="1"/>
    </xf>
    <xf numFmtId="3" fontId="5" fillId="0" borderId="39" xfId="0" applyNumberFormat="1" applyFont="1" applyBorder="1" applyAlignment="1">
      <alignment horizontal="center"/>
    </xf>
    <xf numFmtId="3" fontId="5" fillId="0" borderId="10" xfId="0" applyNumberFormat="1" applyFont="1" applyBorder="1" applyAlignment="1">
      <alignment horizontal="center"/>
    </xf>
    <xf numFmtId="0" fontId="5" fillId="0" borderId="10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0" fillId="0" borderId="43" xfId="0" applyBorder="1"/>
    <xf numFmtId="0" fontId="0" fillId="0" borderId="45" xfId="0" applyBorder="1" applyAlignment="1">
      <alignment horizontal="center"/>
    </xf>
    <xf numFmtId="0" fontId="0" fillId="0" borderId="10" xfId="0" applyBorder="1"/>
    <xf numFmtId="0" fontId="48" fillId="0" borderId="57" xfId="0" applyFont="1" applyBorder="1"/>
    <xf numFmtId="43" fontId="48" fillId="0" borderId="58" xfId="1" applyNumberFormat="1" applyFont="1" applyBorder="1"/>
    <xf numFmtId="0" fontId="0" fillId="0" borderId="9" xfId="0" applyBorder="1"/>
    <xf numFmtId="43" fontId="0" fillId="0" borderId="48" xfId="1" applyNumberFormat="1" applyFont="1" applyBorder="1"/>
    <xf numFmtId="0" fontId="0" fillId="0" borderId="39" xfId="0" applyBorder="1"/>
    <xf numFmtId="43" fontId="0" fillId="0" borderId="47" xfId="1" applyNumberFormat="1" applyFont="1" applyBorder="1"/>
    <xf numFmtId="43" fontId="48" fillId="0" borderId="48" xfId="1" applyNumberFormat="1" applyFont="1" applyBorder="1"/>
    <xf numFmtId="0" fontId="4" fillId="0" borderId="43" xfId="0" applyFont="1" applyBorder="1"/>
    <xf numFmtId="0" fontId="3" fillId="0" borderId="43" xfId="0" applyFont="1" applyBorder="1"/>
    <xf numFmtId="43" fontId="48" fillId="0" borderId="3" xfId="1" applyNumberFormat="1" applyFont="1" applyBorder="1"/>
    <xf numFmtId="43" fontId="0" fillId="0" borderId="14" xfId="1" applyNumberFormat="1" applyFont="1" applyBorder="1"/>
    <xf numFmtId="43" fontId="3" fillId="0" borderId="59" xfId="1" applyNumberFormat="1" applyFont="1" applyBorder="1"/>
    <xf numFmtId="43" fontId="2" fillId="0" borderId="9" xfId="1" applyNumberFormat="1" applyFont="1" applyBorder="1"/>
    <xf numFmtId="43" fontId="2" fillId="0" borderId="39" xfId="1" applyNumberFormat="1" applyFont="1" applyBorder="1"/>
    <xf numFmtId="43" fontId="3" fillId="0" borderId="48" xfId="1" applyNumberFormat="1" applyFont="1" applyBorder="1"/>
    <xf numFmtId="43" fontId="2" fillId="0" borderId="43" xfId="1" applyNumberFormat="1" applyFont="1" applyBorder="1"/>
    <xf numFmtId="43" fontId="3" fillId="0" borderId="43" xfId="1" applyNumberFormat="1" applyFont="1" applyBorder="1"/>
    <xf numFmtId="43" fontId="3" fillId="0" borderId="3" xfId="1" applyNumberFormat="1" applyFont="1" applyBorder="1"/>
    <xf numFmtId="43" fontId="3" fillId="0" borderId="58" xfId="1" applyNumberFormat="1" applyFont="1" applyBorder="1"/>
    <xf numFmtId="43" fontId="2" fillId="0" borderId="10" xfId="1" applyNumberFormat="1" applyFont="1" applyBorder="1"/>
    <xf numFmtId="0" fontId="48" fillId="0" borderId="59" xfId="0" applyFont="1" applyBorder="1"/>
    <xf numFmtId="0" fontId="48" fillId="0" borderId="59" xfId="0" applyFont="1" applyBorder="1" applyAlignment="1">
      <alignment horizontal="center"/>
    </xf>
    <xf numFmtId="0" fontId="48" fillId="0" borderId="10" xfId="0" applyFont="1" applyFill="1" applyBorder="1"/>
    <xf numFmtId="0" fontId="48" fillId="0" borderId="57" xfId="0" applyFont="1" applyFill="1" applyBorder="1"/>
    <xf numFmtId="0" fontId="0" fillId="0" borderId="59" xfId="0" applyBorder="1"/>
    <xf numFmtId="43" fontId="2" fillId="0" borderId="0" xfId="1" applyNumberFormat="1" applyFont="1"/>
    <xf numFmtId="43" fontId="2" fillId="0" borderId="59" xfId="1" applyNumberFormat="1" applyFont="1" applyBorder="1"/>
    <xf numFmtId="165" fontId="75" fillId="0" borderId="1" xfId="1" applyNumberFormat="1" applyFont="1" applyBorder="1"/>
    <xf numFmtId="165" fontId="75" fillId="0" borderId="43" xfId="1" applyNumberFormat="1" applyFont="1" applyBorder="1"/>
    <xf numFmtId="43" fontId="2" fillId="0" borderId="3" xfId="1" applyNumberFormat="1" applyFont="1" applyBorder="1"/>
    <xf numFmtId="43" fontId="2" fillId="0" borderId="3" xfId="1" applyNumberFormat="1" applyFont="1" applyBorder="1" applyAlignment="1">
      <alignment horizontal="center"/>
    </xf>
    <xf numFmtId="43" fontId="2" fillId="0" borderId="14" xfId="1" applyNumberFormat="1" applyFont="1" applyBorder="1"/>
    <xf numFmtId="0" fontId="48" fillId="0" borderId="56" xfId="0" applyFont="1" applyBorder="1"/>
    <xf numFmtId="43" fontId="0" fillId="0" borderId="53" xfId="1" applyNumberFormat="1" applyFont="1" applyBorder="1"/>
    <xf numFmtId="0" fontId="48" fillId="0" borderId="43" xfId="0" applyFont="1" applyBorder="1"/>
    <xf numFmtId="165" fontId="76" fillId="0" borderId="43" xfId="1" applyNumberFormat="1" applyFont="1" applyBorder="1"/>
    <xf numFmtId="165" fontId="24" fillId="0" borderId="43" xfId="1" applyNumberFormat="1" applyFont="1" applyBorder="1"/>
    <xf numFmtId="165" fontId="76" fillId="0" borderId="1" xfId="1" applyNumberFormat="1" applyFont="1" applyBorder="1"/>
    <xf numFmtId="0" fontId="8" fillId="0" borderId="53" xfId="0" applyFont="1" applyBorder="1"/>
    <xf numFmtId="0" fontId="8" fillId="0" borderId="39" xfId="0" applyFont="1" applyBorder="1"/>
    <xf numFmtId="43" fontId="3" fillId="0" borderId="57" xfId="1" applyNumberFormat="1" applyFont="1" applyBorder="1"/>
    <xf numFmtId="0" fontId="48" fillId="0" borderId="60" xfId="0" applyFont="1" applyBorder="1"/>
    <xf numFmtId="164" fontId="4" fillId="0" borderId="9" xfId="1" applyFont="1" applyBorder="1"/>
    <xf numFmtId="43" fontId="2" fillId="0" borderId="57" xfId="1" applyNumberFormat="1" applyFont="1" applyBorder="1"/>
    <xf numFmtId="164" fontId="4" fillId="0" borderId="43" xfId="1" applyFont="1" applyBorder="1"/>
    <xf numFmtId="164" fontId="2" fillId="0" borderId="24" xfId="0" applyNumberFormat="1" applyFont="1" applyBorder="1"/>
    <xf numFmtId="43" fontId="4" fillId="0" borderId="53" xfId="1" applyNumberFormat="1" applyFont="1" applyBorder="1"/>
    <xf numFmtId="43" fontId="48" fillId="0" borderId="53" xfId="1" applyNumberFormat="1" applyFont="1" applyBorder="1"/>
    <xf numFmtId="10" fontId="0" fillId="0" borderId="10" xfId="0" applyNumberFormat="1" applyBorder="1"/>
    <xf numFmtId="0" fontId="0" fillId="0" borderId="14" xfId="0" applyFill="1" applyBorder="1"/>
    <xf numFmtId="0" fontId="77" fillId="0" borderId="0" xfId="0" applyFont="1" applyAlignment="1" applyProtection="1">
      <alignment horizontal="center"/>
      <protection hidden="1"/>
    </xf>
    <xf numFmtId="164" fontId="4" fillId="0" borderId="43" xfId="0" applyNumberFormat="1" applyFont="1" applyBorder="1"/>
    <xf numFmtId="0" fontId="49" fillId="0" borderId="25" xfId="0" applyFont="1" applyFill="1" applyBorder="1" applyAlignment="1">
      <alignment vertical="top"/>
    </xf>
    <xf numFmtId="0" fontId="54" fillId="0" borderId="36" xfId="0" applyFont="1" applyFill="1" applyBorder="1" applyAlignment="1">
      <alignment horizontal="right" vertical="center"/>
    </xf>
    <xf numFmtId="0" fontId="54" fillId="0" borderId="37" xfId="0" applyFont="1" applyFill="1" applyBorder="1" applyAlignment="1">
      <alignment horizontal="right" vertical="center"/>
    </xf>
    <xf numFmtId="0" fontId="62" fillId="4" borderId="26" xfId="0" applyFont="1" applyFill="1" applyBorder="1" applyAlignment="1">
      <alignment horizontal="center" vertical="center"/>
    </xf>
    <xf numFmtId="0" fontId="53" fillId="4" borderId="26" xfId="0" applyFont="1" applyFill="1" applyBorder="1" applyAlignment="1">
      <alignment horizontal="center" vertical="center" wrapText="1"/>
    </xf>
    <xf numFmtId="0" fontId="54" fillId="0" borderId="31" xfId="0" applyFont="1" applyFill="1" applyBorder="1" applyAlignment="1">
      <alignment horizontal="right" vertical="center"/>
    </xf>
    <xf numFmtId="0" fontId="54" fillId="0" borderId="33" xfId="0" applyFont="1" applyFill="1" applyBorder="1" applyAlignment="1">
      <alignment horizontal="right" vertical="center"/>
    </xf>
    <xf numFmtId="4" fontId="54" fillId="0" borderId="34" xfId="0" applyNumberFormat="1" applyFont="1" applyFill="1" applyBorder="1" applyAlignment="1">
      <alignment horizontal="right" vertical="center"/>
    </xf>
    <xf numFmtId="4" fontId="54" fillId="0" borderId="36" xfId="0" applyNumberFormat="1" applyFont="1" applyFill="1" applyBorder="1" applyAlignment="1">
      <alignment horizontal="right" vertical="center"/>
    </xf>
    <xf numFmtId="4" fontId="54" fillId="0" borderId="31" xfId="0" applyNumberFormat="1" applyFont="1" applyFill="1" applyBorder="1" applyAlignment="1">
      <alignment horizontal="right" vertical="center"/>
    </xf>
    <xf numFmtId="4" fontId="53" fillId="5" borderId="26" xfId="0" applyNumberFormat="1" applyFont="1" applyFill="1" applyBorder="1" applyAlignment="1">
      <alignment horizontal="right" vertical="center"/>
    </xf>
    <xf numFmtId="4" fontId="54" fillId="0" borderId="26" xfId="0" applyNumberFormat="1" applyFont="1" applyFill="1" applyBorder="1" applyAlignment="1">
      <alignment horizontal="right" vertical="center"/>
    </xf>
    <xf numFmtId="0" fontId="55" fillId="0" borderId="0" xfId="0" applyFont="1" applyFill="1" applyAlignment="1">
      <alignment vertical="top"/>
    </xf>
    <xf numFmtId="0" fontId="55" fillId="0" borderId="30" xfId="0" applyFont="1" applyFill="1" applyBorder="1" applyAlignment="1">
      <alignment vertical="top"/>
    </xf>
    <xf numFmtId="4" fontId="53" fillId="0" borderId="34" xfId="0" applyNumberFormat="1" applyFont="1" applyFill="1" applyBorder="1" applyAlignment="1">
      <alignment horizontal="right" vertical="center"/>
    </xf>
    <xf numFmtId="4" fontId="53" fillId="0" borderId="36" xfId="0" applyNumberFormat="1" applyFont="1" applyFill="1" applyBorder="1" applyAlignment="1">
      <alignment horizontal="right" vertical="center"/>
    </xf>
    <xf numFmtId="0" fontId="54" fillId="0" borderId="36" xfId="0" applyFont="1" applyFill="1" applyBorder="1" applyAlignment="1">
      <alignment vertical="center"/>
    </xf>
    <xf numFmtId="0" fontId="54" fillId="0" borderId="34" xfId="0" applyFont="1" applyFill="1" applyBorder="1" applyAlignment="1">
      <alignment horizontal="right" vertical="center"/>
    </xf>
    <xf numFmtId="0" fontId="54" fillId="0" borderId="27" xfId="0" applyFont="1" applyFill="1" applyBorder="1" applyAlignment="1">
      <alignment horizontal="right" vertical="center"/>
    </xf>
    <xf numFmtId="0" fontId="54" fillId="0" borderId="31" xfId="0" applyFont="1" applyFill="1" applyBorder="1" applyAlignment="1">
      <alignment vertical="center"/>
    </xf>
    <xf numFmtId="0" fontId="54" fillId="4" borderId="26" xfId="0" applyFont="1" applyFill="1" applyBorder="1" applyAlignment="1">
      <alignment horizontal="right" vertical="center"/>
    </xf>
    <xf numFmtId="0" fontId="54" fillId="0" borderId="0" xfId="0" applyFont="1" applyFill="1"/>
    <xf numFmtId="0" fontId="50" fillId="0" borderId="0" xfId="0" applyFont="1" applyFill="1" applyAlignment="1">
      <alignment horizontal="right" vertical="top"/>
    </xf>
    <xf numFmtId="0" fontId="54" fillId="0" borderId="34" xfId="0" applyFont="1" applyFill="1" applyBorder="1" applyAlignment="1">
      <alignment vertical="center"/>
    </xf>
    <xf numFmtId="0" fontId="56" fillId="0" borderId="34" xfId="0" applyFont="1" applyFill="1" applyBorder="1" applyAlignment="1">
      <alignment vertical="center"/>
    </xf>
    <xf numFmtId="0" fontId="56" fillId="0" borderId="36" xfId="0" applyFont="1" applyFill="1" applyBorder="1" applyAlignment="1">
      <alignment vertical="center"/>
    </xf>
    <xf numFmtId="0" fontId="53" fillId="5" borderId="26" xfId="0" applyFont="1" applyFill="1" applyBorder="1" applyAlignment="1">
      <alignment vertical="center"/>
    </xf>
    <xf numFmtId="0" fontId="56" fillId="0" borderId="31" xfId="0" applyFont="1" applyFill="1" applyBorder="1" applyAlignment="1">
      <alignment vertical="center"/>
    </xf>
    <xf numFmtId="0" fontId="71" fillId="0" borderId="34" xfId="0" applyFont="1" applyFill="1" applyBorder="1" applyAlignment="1">
      <alignment horizontal="center" vertical="center"/>
    </xf>
    <xf numFmtId="0" fontId="71" fillId="0" borderId="31" xfId="0" applyFont="1" applyFill="1" applyBorder="1" applyAlignment="1">
      <alignment horizontal="center" vertical="center"/>
    </xf>
    <xf numFmtId="171" fontId="50" fillId="0" borderId="26" xfId="0" applyNumberFormat="1" applyFont="1" applyFill="1" applyBorder="1" applyAlignment="1">
      <alignment horizontal="right" vertical="center" wrapText="1"/>
    </xf>
    <xf numFmtId="0" fontId="2" fillId="0" borderId="44" xfId="0" applyFont="1" applyBorder="1" applyAlignment="1">
      <alignment horizontal="center"/>
    </xf>
    <xf numFmtId="0" fontId="53" fillId="0" borderId="34" xfId="0" applyFont="1" applyFill="1" applyBorder="1" applyAlignment="1">
      <alignment vertical="center"/>
    </xf>
    <xf numFmtId="0" fontId="56" fillId="0" borderId="34" xfId="0" applyFont="1" applyFill="1" applyBorder="1" applyAlignment="1">
      <alignment horizontal="right" vertical="center"/>
    </xf>
    <xf numFmtId="0" fontId="56" fillId="0" borderId="36" xfId="0" applyFont="1" applyFill="1" applyBorder="1" applyAlignment="1">
      <alignment horizontal="right" vertical="center"/>
    </xf>
    <xf numFmtId="0" fontId="53" fillId="0" borderId="36" xfId="0" applyFont="1" applyFill="1" applyBorder="1" applyAlignment="1">
      <alignment vertical="center"/>
    </xf>
    <xf numFmtId="0" fontId="56" fillId="0" borderId="26" xfId="0" applyFont="1" applyFill="1" applyBorder="1" applyAlignment="1">
      <alignment horizontal="right" vertical="center"/>
    </xf>
    <xf numFmtId="0" fontId="56" fillId="0" borderId="26" xfId="0" applyFont="1" applyFill="1" applyBorder="1" applyAlignment="1">
      <alignment vertical="center"/>
    </xf>
    <xf numFmtId="0" fontId="56" fillId="0" borderId="31" xfId="0" applyFont="1" applyFill="1" applyBorder="1" applyAlignment="1">
      <alignment vertical="center" wrapText="1"/>
    </xf>
    <xf numFmtId="0" fontId="56" fillId="0" borderId="36" xfId="0" applyFont="1" applyFill="1" applyBorder="1" applyAlignment="1">
      <alignment vertical="center" wrapText="1"/>
    </xf>
    <xf numFmtId="0" fontId="66" fillId="0" borderId="36" xfId="0" applyFont="1" applyFill="1" applyBorder="1" applyAlignment="1">
      <alignment vertical="center"/>
    </xf>
    <xf numFmtId="0" fontId="56" fillId="0" borderId="34" xfId="0" applyFont="1" applyFill="1" applyBorder="1" applyAlignment="1">
      <alignment vertical="center" wrapText="1"/>
    </xf>
    <xf numFmtId="0" fontId="2" fillId="0" borderId="45" xfId="0" applyFont="1" applyBorder="1" applyAlignment="1">
      <alignment horizontal="center"/>
    </xf>
    <xf numFmtId="0" fontId="2" fillId="0" borderId="47" xfId="0" applyFont="1" applyBorder="1" applyAlignment="1">
      <alignment horizontal="center"/>
    </xf>
    <xf numFmtId="0" fontId="2" fillId="0" borderId="40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2" fillId="0" borderId="41" xfId="0" applyFont="1" applyBorder="1" applyAlignment="1">
      <alignment horizontal="center"/>
    </xf>
    <xf numFmtId="0" fontId="2" fillId="0" borderId="46" xfId="0" applyFont="1" applyBorder="1" applyAlignment="1">
      <alignment horizontal="center"/>
    </xf>
    <xf numFmtId="0" fontId="2" fillId="0" borderId="48" xfId="0" applyFont="1" applyBorder="1" applyAlignment="1">
      <alignment horizontal="center"/>
    </xf>
    <xf numFmtId="166" fontId="38" fillId="0" borderId="20" xfId="0" applyNumberFormat="1" applyFont="1" applyBorder="1" applyAlignment="1">
      <alignment horizontal="right"/>
    </xf>
    <xf numFmtId="166" fontId="38" fillId="0" borderId="53" xfId="0" applyNumberFormat="1" applyFont="1" applyBorder="1" applyAlignment="1">
      <alignment horizontal="right"/>
    </xf>
    <xf numFmtId="4" fontId="2" fillId="0" borderId="10" xfId="0" applyNumberFormat="1" applyFont="1" applyBorder="1"/>
    <xf numFmtId="4" fontId="0" fillId="0" borderId="0" xfId="0" applyNumberFormat="1"/>
    <xf numFmtId="0" fontId="56" fillId="5" borderId="26" xfId="0" applyFont="1" applyFill="1" applyBorder="1" applyAlignment="1">
      <alignment vertical="center"/>
    </xf>
    <xf numFmtId="4" fontId="54" fillId="5" borderId="26" xfId="0" applyNumberFormat="1" applyFont="1" applyFill="1" applyBorder="1" applyAlignment="1">
      <alignment horizontal="right" vertical="center"/>
    </xf>
    <xf numFmtId="164" fontId="38" fillId="0" borderId="46" xfId="1" applyFont="1" applyBorder="1"/>
    <xf numFmtId="164" fontId="39" fillId="0" borderId="10" xfId="1" applyFont="1" applyBorder="1"/>
    <xf numFmtId="0" fontId="38" fillId="0" borderId="0" xfId="0" applyFont="1"/>
    <xf numFmtId="164" fontId="38" fillId="0" borderId="10" xfId="1" applyFont="1" applyBorder="1"/>
    <xf numFmtId="164" fontId="38" fillId="0" borderId="0" xfId="1" applyFont="1" applyBorder="1"/>
    <xf numFmtId="164" fontId="38" fillId="0" borderId="14" xfId="1" applyFont="1" applyBorder="1"/>
    <xf numFmtId="10" fontId="4" fillId="0" borderId="24" xfId="0" applyNumberFormat="1" applyFont="1" applyBorder="1" applyAlignment="1">
      <alignment horizontal="center" wrapText="1"/>
    </xf>
    <xf numFmtId="10" fontId="4" fillId="0" borderId="24" xfId="0" applyNumberFormat="1" applyFont="1" applyBorder="1" applyAlignment="1">
      <alignment horizontal="left"/>
    </xf>
    <xf numFmtId="10" fontId="4" fillId="0" borderId="24" xfId="0" applyNumberFormat="1" applyFont="1" applyBorder="1" applyAlignment="1">
      <alignment horizontal="center"/>
    </xf>
    <xf numFmtId="164" fontId="38" fillId="0" borderId="1" xfId="1" applyNumberFormat="1" applyFont="1" applyBorder="1"/>
    <xf numFmtId="164" fontId="16" fillId="0" borderId="0" xfId="1" applyFont="1" applyAlignment="1">
      <alignment horizontal="center" vertical="center" wrapText="1"/>
    </xf>
    <xf numFmtId="0" fontId="3" fillId="0" borderId="2" xfId="0" applyFont="1" applyBorder="1"/>
    <xf numFmtId="0" fontId="40" fillId="0" borderId="0" xfId="0" applyFont="1"/>
    <xf numFmtId="0" fontId="2" fillId="3" borderId="56" xfId="0" applyNumberFormat="1" applyFont="1" applyFill="1" applyBorder="1" applyAlignment="1">
      <alignment horizontal="center"/>
    </xf>
    <xf numFmtId="0" fontId="2" fillId="3" borderId="55" xfId="0" applyNumberFormat="1" applyFont="1" applyFill="1" applyBorder="1" applyAlignment="1">
      <alignment horizontal="center"/>
    </xf>
    <xf numFmtId="0" fontId="2" fillId="3" borderId="52" xfId="0" applyNumberFormat="1" applyFont="1" applyFill="1" applyBorder="1" applyAlignment="1">
      <alignment horizontal="center" vertical="center"/>
    </xf>
    <xf numFmtId="0" fontId="2" fillId="3" borderId="22" xfId="0" applyNumberFormat="1" applyFont="1" applyFill="1" applyBorder="1" applyAlignment="1">
      <alignment horizontal="center" vertical="center"/>
    </xf>
    <xf numFmtId="0" fontId="2" fillId="3" borderId="6" xfId="0" applyNumberFormat="1" applyFont="1" applyFill="1" applyBorder="1" applyAlignment="1">
      <alignment horizontal="center" vertical="center"/>
    </xf>
    <xf numFmtId="0" fontId="2" fillId="3" borderId="7" xfId="0" applyNumberFormat="1" applyFont="1" applyFill="1" applyBorder="1" applyAlignment="1">
      <alignment horizontal="center" vertical="center"/>
    </xf>
    <xf numFmtId="0" fontId="2" fillId="3" borderId="54" xfId="0" applyNumberFormat="1" applyFont="1" applyFill="1" applyBorder="1" applyAlignment="1">
      <alignment horizontal="center"/>
    </xf>
    <xf numFmtId="0" fontId="0" fillId="0" borderId="56" xfId="0" applyBorder="1" applyAlignment="1">
      <alignment horizontal="center"/>
    </xf>
    <xf numFmtId="0" fontId="0" fillId="0" borderId="55" xfId="0" applyBorder="1" applyAlignment="1">
      <alignment horizontal="center"/>
    </xf>
    <xf numFmtId="0" fontId="2" fillId="3" borderId="0" xfId="0" applyNumberFormat="1" applyFont="1" applyFill="1" applyBorder="1" applyAlignment="1">
      <alignment horizontal="center" vertical="center"/>
    </xf>
    <xf numFmtId="0" fontId="2" fillId="3" borderId="49" xfId="0" applyNumberFormat="1" applyFont="1" applyFill="1" applyBorder="1" applyAlignment="1">
      <alignment horizontal="center" vertical="center"/>
    </xf>
    <xf numFmtId="0" fontId="2" fillId="0" borderId="0" xfId="0" applyNumberFormat="1" applyFont="1" applyBorder="1" applyAlignment="1">
      <alignment horizontal="center" wrapText="1"/>
    </xf>
    <xf numFmtId="0" fontId="2" fillId="0" borderId="49" xfId="0" applyNumberFormat="1" applyFont="1" applyBorder="1" applyAlignment="1">
      <alignment horizontal="center" wrapText="1"/>
    </xf>
    <xf numFmtId="0" fontId="2" fillId="3" borderId="4" xfId="0" applyNumberFormat="1" applyFont="1" applyFill="1" applyBorder="1" applyAlignment="1">
      <alignment horizontal="center" vertical="center" wrapText="1"/>
    </xf>
    <xf numFmtId="0" fontId="2" fillId="3" borderId="52" xfId="0" applyNumberFormat="1" applyFont="1" applyFill="1" applyBorder="1" applyAlignment="1">
      <alignment horizontal="center" vertical="center" wrapText="1"/>
    </xf>
    <xf numFmtId="0" fontId="2" fillId="3" borderId="22" xfId="0" applyNumberFormat="1" applyFont="1" applyFill="1" applyBorder="1" applyAlignment="1">
      <alignment horizontal="center" vertical="center" wrapText="1"/>
    </xf>
    <xf numFmtId="0" fontId="2" fillId="3" borderId="51" xfId="0" applyNumberFormat="1" applyFont="1" applyFill="1" applyBorder="1" applyAlignment="1">
      <alignment horizontal="center" vertical="center" wrapText="1"/>
    </xf>
    <xf numFmtId="0" fontId="2" fillId="3" borderId="0" xfId="0" applyNumberFormat="1" applyFont="1" applyFill="1" applyBorder="1" applyAlignment="1">
      <alignment horizontal="center" vertical="center" wrapText="1"/>
    </xf>
    <xf numFmtId="0" fontId="2" fillId="3" borderId="49" xfId="0" applyNumberFormat="1" applyFont="1" applyFill="1" applyBorder="1" applyAlignment="1">
      <alignment horizontal="center" vertical="center" wrapText="1"/>
    </xf>
    <xf numFmtId="0" fontId="2" fillId="3" borderId="5" xfId="0" applyNumberFormat="1" applyFont="1" applyFill="1" applyBorder="1" applyAlignment="1">
      <alignment horizontal="center" vertical="center" wrapText="1"/>
    </xf>
    <xf numFmtId="0" fontId="2" fillId="3" borderId="6" xfId="0" applyNumberFormat="1" applyFont="1" applyFill="1" applyBorder="1" applyAlignment="1">
      <alignment horizontal="center" vertical="center" wrapText="1"/>
    </xf>
    <xf numFmtId="0" fontId="2" fillId="3" borderId="7" xfId="0" applyNumberFormat="1" applyFont="1" applyFill="1" applyBorder="1" applyAlignment="1">
      <alignment horizontal="center" vertical="center" wrapText="1"/>
    </xf>
    <xf numFmtId="0" fontId="2" fillId="3" borderId="20" xfId="0" applyNumberFormat="1" applyFont="1" applyFill="1" applyBorder="1" applyAlignment="1">
      <alignment horizontal="center" wrapText="1"/>
    </xf>
    <xf numFmtId="0" fontId="2" fillId="3" borderId="50" xfId="0" applyNumberFormat="1" applyFont="1" applyFill="1" applyBorder="1" applyAlignment="1">
      <alignment horizontal="center" wrapText="1"/>
    </xf>
    <xf numFmtId="0" fontId="2" fillId="0" borderId="54" xfId="0" applyNumberFormat="1" applyFont="1" applyBorder="1" applyAlignment="1">
      <alignment horizontal="center" wrapText="1"/>
    </xf>
    <xf numFmtId="0" fontId="2" fillId="0" borderId="55" xfId="0" applyNumberFormat="1" applyFont="1" applyBorder="1" applyAlignment="1">
      <alignment horizontal="center" wrapText="1"/>
    </xf>
    <xf numFmtId="0" fontId="2" fillId="0" borderId="52" xfId="0" applyNumberFormat="1" applyFont="1" applyBorder="1" applyAlignment="1">
      <alignment horizontal="center" wrapText="1"/>
    </xf>
    <xf numFmtId="0" fontId="2" fillId="0" borderId="22" xfId="0" applyNumberFormat="1" applyFont="1" applyBorder="1" applyAlignment="1">
      <alignment horizontal="center" wrapText="1"/>
    </xf>
    <xf numFmtId="0" fontId="3" fillId="7" borderId="39" xfId="0" applyFont="1" applyFill="1" applyBorder="1" applyAlignment="1">
      <alignment horizontal="center"/>
    </xf>
    <xf numFmtId="0" fontId="54" fillId="0" borderId="36" xfId="0" applyFont="1" applyFill="1" applyBorder="1" applyAlignment="1">
      <alignment horizontal="right" vertical="center"/>
    </xf>
    <xf numFmtId="0" fontId="54" fillId="0" borderId="0" xfId="0" applyFont="1" applyFill="1" applyAlignment="1">
      <alignment horizontal="right" vertical="center"/>
    </xf>
    <xf numFmtId="0" fontId="54" fillId="0" borderId="37" xfId="0" applyFont="1" applyFill="1" applyBorder="1" applyAlignment="1">
      <alignment horizontal="right" vertical="center"/>
    </xf>
    <xf numFmtId="4" fontId="54" fillId="0" borderId="36" xfId="0" applyNumberFormat="1" applyFont="1" applyFill="1" applyBorder="1" applyAlignment="1">
      <alignment horizontal="right" vertical="center"/>
    </xf>
    <xf numFmtId="4" fontId="54" fillId="0" borderId="37" xfId="0" applyNumberFormat="1" applyFont="1" applyFill="1" applyBorder="1" applyAlignment="1">
      <alignment horizontal="right" vertical="center"/>
    </xf>
    <xf numFmtId="0" fontId="54" fillId="0" borderId="34" xfId="0" applyFont="1" applyFill="1" applyBorder="1" applyAlignment="1">
      <alignment horizontal="right" vertical="center"/>
    </xf>
    <xf numFmtId="0" fontId="54" fillId="0" borderId="27" xfId="0" applyFont="1" applyFill="1" applyBorder="1" applyAlignment="1">
      <alignment horizontal="right" vertical="center"/>
    </xf>
    <xf numFmtId="0" fontId="54" fillId="0" borderId="35" xfId="0" applyFont="1" applyFill="1" applyBorder="1" applyAlignment="1">
      <alignment horizontal="right" vertical="center"/>
    </xf>
    <xf numFmtId="0" fontId="50" fillId="0" borderId="0" xfId="0" applyFont="1" applyFill="1" applyAlignment="1">
      <alignment horizontal="right" vertical="top" wrapText="1"/>
    </xf>
    <xf numFmtId="0" fontId="52" fillId="4" borderId="26" xfId="0" applyFont="1" applyFill="1" applyBorder="1" applyAlignment="1">
      <alignment horizontal="center" vertical="center"/>
    </xf>
    <xf numFmtId="0" fontId="52" fillId="4" borderId="31" xfId="0" applyFont="1" applyFill="1" applyBorder="1" applyAlignment="1">
      <alignment horizontal="center" vertical="center"/>
    </xf>
    <xf numFmtId="0" fontId="53" fillId="4" borderId="26" xfId="0" applyFont="1" applyFill="1" applyBorder="1" applyAlignment="1">
      <alignment horizontal="center" vertical="center" wrapText="1"/>
    </xf>
    <xf numFmtId="0" fontId="53" fillId="4" borderId="27" xfId="0" applyFont="1" applyFill="1" applyBorder="1" applyAlignment="1">
      <alignment horizontal="center" vertical="center" wrapText="1"/>
    </xf>
    <xf numFmtId="0" fontId="53" fillId="4" borderId="32" xfId="0" applyFont="1" applyFill="1" applyBorder="1" applyAlignment="1">
      <alignment horizontal="center" vertical="center" wrapText="1"/>
    </xf>
    <xf numFmtId="0" fontId="53" fillId="4" borderId="33" xfId="0" applyFont="1" applyFill="1" applyBorder="1" applyAlignment="1">
      <alignment horizontal="center" vertical="center" wrapText="1"/>
    </xf>
    <xf numFmtId="0" fontId="53" fillId="4" borderId="31" xfId="0" applyFont="1" applyFill="1" applyBorder="1" applyAlignment="1">
      <alignment horizontal="center" vertical="center" wrapText="1"/>
    </xf>
    <xf numFmtId="0" fontId="53" fillId="4" borderId="26" xfId="0" applyFont="1" applyFill="1" applyBorder="1" applyAlignment="1">
      <alignment horizontal="center" vertical="center"/>
    </xf>
    <xf numFmtId="0" fontId="53" fillId="4" borderId="28" xfId="0" applyFont="1" applyFill="1" applyBorder="1" applyAlignment="1">
      <alignment horizontal="center" vertical="center"/>
    </xf>
    <xf numFmtId="0" fontId="53" fillId="4" borderId="29" xfId="0" applyFont="1" applyFill="1" applyBorder="1" applyAlignment="1">
      <alignment horizontal="center" vertical="center"/>
    </xf>
    <xf numFmtId="0" fontId="53" fillId="4" borderId="35" xfId="0" applyFont="1" applyFill="1" applyBorder="1" applyAlignment="1">
      <alignment horizontal="center" vertical="center" wrapText="1"/>
    </xf>
    <xf numFmtId="0" fontId="53" fillId="4" borderId="25" xfId="0" applyFont="1" applyFill="1" applyBorder="1" applyAlignment="1">
      <alignment horizontal="center" vertical="center" wrapText="1"/>
    </xf>
    <xf numFmtId="0" fontId="53" fillId="4" borderId="28" xfId="0" applyFont="1" applyFill="1" applyBorder="1" applyAlignment="1">
      <alignment horizontal="center" vertical="center" wrapText="1"/>
    </xf>
    <xf numFmtId="0" fontId="53" fillId="4" borderId="29" xfId="0" applyFont="1" applyFill="1" applyBorder="1" applyAlignment="1">
      <alignment horizontal="center" vertical="center" wrapText="1"/>
    </xf>
    <xf numFmtId="0" fontId="49" fillId="0" borderId="0" xfId="0" applyFont="1" applyFill="1" applyAlignment="1">
      <alignment vertical="top"/>
    </xf>
    <xf numFmtId="0" fontId="51" fillId="0" borderId="0" xfId="0" applyFont="1" applyFill="1" applyAlignment="1">
      <alignment vertical="top"/>
    </xf>
    <xf numFmtId="0" fontId="49" fillId="0" borderId="25" xfId="0" applyFont="1" applyFill="1" applyBorder="1" applyAlignment="1">
      <alignment vertical="top"/>
    </xf>
    <xf numFmtId="4" fontId="54" fillId="0" borderId="26" xfId="0" applyNumberFormat="1" applyFont="1" applyFill="1" applyBorder="1" applyAlignment="1">
      <alignment horizontal="right" vertical="center"/>
    </xf>
    <xf numFmtId="4" fontId="54" fillId="0" borderId="29" xfId="0" applyNumberFormat="1" applyFont="1" applyFill="1" applyBorder="1" applyAlignment="1">
      <alignment horizontal="right" vertical="center"/>
    </xf>
    <xf numFmtId="4" fontId="54" fillId="0" borderId="28" xfId="0" applyNumberFormat="1" applyFont="1" applyFill="1" applyBorder="1" applyAlignment="1">
      <alignment horizontal="right" vertical="center"/>
    </xf>
    <xf numFmtId="4" fontId="54" fillId="0" borderId="31" xfId="0" applyNumberFormat="1" applyFont="1" applyFill="1" applyBorder="1" applyAlignment="1">
      <alignment horizontal="right" vertical="center"/>
    </xf>
    <xf numFmtId="4" fontId="54" fillId="0" borderId="33" xfId="0" applyNumberFormat="1" applyFont="1" applyFill="1" applyBorder="1" applyAlignment="1">
      <alignment horizontal="right" vertical="center"/>
    </xf>
    <xf numFmtId="4" fontId="54" fillId="0" borderId="25" xfId="0" applyNumberFormat="1" applyFont="1" applyFill="1" applyBorder="1" applyAlignment="1">
      <alignment horizontal="right" vertical="center"/>
    </xf>
    <xf numFmtId="4" fontId="54" fillId="0" borderId="0" xfId="0" applyNumberFormat="1" applyFont="1" applyFill="1" applyAlignment="1">
      <alignment horizontal="right" vertical="center"/>
    </xf>
    <xf numFmtId="4" fontId="54" fillId="0" borderId="34" xfId="0" applyNumberFormat="1" applyFont="1" applyFill="1" applyBorder="1" applyAlignment="1">
      <alignment horizontal="right" vertical="center"/>
    </xf>
    <xf numFmtId="4" fontId="54" fillId="0" borderId="27" xfId="0" applyNumberFormat="1" applyFont="1" applyFill="1" applyBorder="1" applyAlignment="1">
      <alignment horizontal="right" vertical="center"/>
    </xf>
    <xf numFmtId="4" fontId="54" fillId="0" borderId="35" xfId="0" applyNumberFormat="1" applyFont="1" applyFill="1" applyBorder="1" applyAlignment="1">
      <alignment horizontal="right" vertical="center"/>
    </xf>
    <xf numFmtId="0" fontId="54" fillId="0" borderId="31" xfId="0" applyFont="1" applyFill="1" applyBorder="1" applyAlignment="1">
      <alignment horizontal="right" vertical="center"/>
    </xf>
    <xf numFmtId="0" fontId="54" fillId="0" borderId="33" xfId="0" applyFont="1" applyFill="1" applyBorder="1" applyAlignment="1">
      <alignment horizontal="right" vertical="center"/>
    </xf>
    <xf numFmtId="0" fontId="54" fillId="0" borderId="25" xfId="0" applyFont="1" applyFill="1" applyBorder="1" applyAlignment="1">
      <alignment horizontal="right" vertical="center"/>
    </xf>
    <xf numFmtId="0" fontId="54" fillId="0" borderId="0" xfId="0" applyFont="1" applyFill="1"/>
    <xf numFmtId="4" fontId="54" fillId="5" borderId="26" xfId="0" applyNumberFormat="1" applyFont="1" applyFill="1" applyBorder="1" applyAlignment="1">
      <alignment horizontal="right" vertical="center"/>
    </xf>
    <xf numFmtId="4" fontId="54" fillId="5" borderId="29" xfId="0" applyNumberFormat="1" applyFont="1" applyFill="1" applyBorder="1" applyAlignment="1">
      <alignment horizontal="right" vertical="center"/>
    </xf>
    <xf numFmtId="4" fontId="54" fillId="5" borderId="28" xfId="0" applyNumberFormat="1" applyFont="1" applyFill="1" applyBorder="1" applyAlignment="1">
      <alignment horizontal="right" vertical="center"/>
    </xf>
    <xf numFmtId="0" fontId="54" fillId="0" borderId="35" xfId="0" applyFont="1" applyFill="1" applyBorder="1"/>
    <xf numFmtId="0" fontId="57" fillId="0" borderId="0" xfId="0" applyFont="1" applyFill="1" applyAlignment="1">
      <alignment vertical="center" wrapText="1"/>
    </xf>
    <xf numFmtId="0" fontId="54" fillId="4" borderId="26" xfId="0" applyFont="1" applyFill="1" applyBorder="1" applyAlignment="1">
      <alignment horizontal="center" vertical="center"/>
    </xf>
    <xf numFmtId="0" fontId="54" fillId="4" borderId="28" xfId="0" applyFont="1" applyFill="1" applyBorder="1" applyAlignment="1">
      <alignment horizontal="center" vertical="center"/>
    </xf>
    <xf numFmtId="0" fontId="54" fillId="4" borderId="29" xfId="0" applyFont="1" applyFill="1" applyBorder="1" applyAlignment="1">
      <alignment horizontal="center" vertical="center"/>
    </xf>
    <xf numFmtId="0" fontId="54" fillId="0" borderId="34" xfId="0" applyFont="1" applyFill="1" applyBorder="1" applyAlignment="1">
      <alignment vertical="center" wrapText="1"/>
    </xf>
    <xf numFmtId="0" fontId="54" fillId="0" borderId="27" xfId="0" applyFont="1" applyFill="1" applyBorder="1" applyAlignment="1">
      <alignment vertical="center" wrapText="1"/>
    </xf>
    <xf numFmtId="0" fontId="54" fillId="0" borderId="36" xfId="0" applyFont="1" applyFill="1" applyBorder="1" applyAlignment="1">
      <alignment vertical="center" wrapText="1"/>
    </xf>
    <xf numFmtId="0" fontId="54" fillId="0" borderId="37" xfId="0" applyFont="1" applyFill="1" applyBorder="1" applyAlignment="1">
      <alignment vertical="center" wrapText="1"/>
    </xf>
    <xf numFmtId="0" fontId="54" fillId="0" borderId="31" xfId="0" applyFont="1" applyFill="1" applyBorder="1" applyAlignment="1">
      <alignment vertical="center" wrapText="1"/>
    </xf>
    <xf numFmtId="0" fontId="54" fillId="0" borderId="33" xfId="0" applyFont="1" applyFill="1" applyBorder="1" applyAlignment="1">
      <alignment vertical="center" wrapText="1"/>
    </xf>
    <xf numFmtId="0" fontId="53" fillId="4" borderId="26" xfId="0" applyFont="1" applyFill="1" applyBorder="1" applyAlignment="1">
      <alignment vertical="center" wrapText="1"/>
    </xf>
    <xf numFmtId="0" fontId="53" fillId="4" borderId="29" xfId="0" applyFont="1" applyFill="1" applyBorder="1" applyAlignment="1">
      <alignment vertical="center" wrapText="1"/>
    </xf>
    <xf numFmtId="0" fontId="53" fillId="4" borderId="26" xfId="0" applyFont="1" applyFill="1" applyBorder="1" applyAlignment="1">
      <alignment horizontal="right" vertical="center"/>
    </xf>
    <xf numFmtId="0" fontId="53" fillId="4" borderId="28" xfId="0" applyFont="1" applyFill="1" applyBorder="1" applyAlignment="1">
      <alignment horizontal="right" vertical="center"/>
    </xf>
    <xf numFmtId="0" fontId="53" fillId="4" borderId="29" xfId="0" applyFont="1" applyFill="1" applyBorder="1" applyAlignment="1">
      <alignment horizontal="right" vertical="center"/>
    </xf>
    <xf numFmtId="0" fontId="55" fillId="0" borderId="26" xfId="0" applyFont="1" applyFill="1" applyBorder="1" applyAlignment="1">
      <alignment vertical="top"/>
    </xf>
    <xf numFmtId="0" fontId="55" fillId="0" borderId="28" xfId="0" applyFont="1" applyFill="1" applyBorder="1" applyAlignment="1">
      <alignment vertical="top"/>
    </xf>
    <xf numFmtId="0" fontId="55" fillId="0" borderId="29" xfId="0" applyFont="1" applyFill="1" applyBorder="1" applyAlignment="1">
      <alignment vertical="top"/>
    </xf>
    <xf numFmtId="167" fontId="54" fillId="0" borderId="36" xfId="0" applyNumberFormat="1" applyFont="1" applyFill="1" applyBorder="1" applyAlignment="1">
      <alignment horizontal="right" vertical="center"/>
    </xf>
    <xf numFmtId="167" fontId="54" fillId="0" borderId="0" xfId="0" applyNumberFormat="1" applyFont="1" applyFill="1" applyAlignment="1">
      <alignment horizontal="right" vertical="center"/>
    </xf>
    <xf numFmtId="167" fontId="54" fillId="0" borderId="37" xfId="0" applyNumberFormat="1" applyFont="1" applyFill="1" applyBorder="1" applyAlignment="1">
      <alignment horizontal="right" vertical="center"/>
    </xf>
    <xf numFmtId="167" fontId="54" fillId="0" borderId="31" xfId="0" applyNumberFormat="1" applyFont="1" applyFill="1" applyBorder="1" applyAlignment="1">
      <alignment horizontal="right" vertical="center"/>
    </xf>
    <xf numFmtId="167" fontId="54" fillId="0" borderId="25" xfId="0" applyNumberFormat="1" applyFont="1" applyFill="1" applyBorder="1" applyAlignment="1">
      <alignment horizontal="right" vertical="center"/>
    </xf>
    <xf numFmtId="167" fontId="54" fillId="0" borderId="33" xfId="0" applyNumberFormat="1" applyFont="1" applyFill="1" applyBorder="1" applyAlignment="1">
      <alignment horizontal="right" vertical="center"/>
    </xf>
    <xf numFmtId="0" fontId="53" fillId="4" borderId="27" xfId="0" applyFont="1" applyFill="1" applyBorder="1" applyAlignment="1">
      <alignment horizontal="center" vertical="center"/>
    </xf>
    <xf numFmtId="0" fontId="53" fillId="4" borderId="30" xfId="0" applyFont="1" applyFill="1" applyBorder="1" applyAlignment="1">
      <alignment horizontal="center" vertical="center"/>
    </xf>
    <xf numFmtId="0" fontId="53" fillId="4" borderId="37" xfId="0" applyFont="1" applyFill="1" applyBorder="1" applyAlignment="1">
      <alignment horizontal="center" vertical="center"/>
    </xf>
    <xf numFmtId="0" fontId="53" fillId="4" borderId="32" xfId="0" applyFont="1" applyFill="1" applyBorder="1" applyAlignment="1">
      <alignment horizontal="center" vertical="center"/>
    </xf>
    <xf numFmtId="0" fontId="53" fillId="4" borderId="33" xfId="0" applyFont="1" applyFill="1" applyBorder="1" applyAlignment="1">
      <alignment horizontal="center" vertical="center"/>
    </xf>
    <xf numFmtId="0" fontId="53" fillId="4" borderId="34" xfId="0" applyFont="1" applyFill="1" applyBorder="1" applyAlignment="1">
      <alignment horizontal="center" vertical="center"/>
    </xf>
    <xf numFmtId="0" fontId="53" fillId="4" borderId="35" xfId="0" applyFont="1" applyFill="1" applyBorder="1" applyAlignment="1">
      <alignment horizontal="center" vertical="center"/>
    </xf>
    <xf numFmtId="0" fontId="53" fillId="4" borderId="31" xfId="0" applyFont="1" applyFill="1" applyBorder="1" applyAlignment="1">
      <alignment horizontal="center" vertical="center"/>
    </xf>
    <xf numFmtId="0" fontId="53" fillId="4" borderId="25" xfId="0" applyFont="1" applyFill="1" applyBorder="1" applyAlignment="1">
      <alignment horizontal="center" vertical="center"/>
    </xf>
    <xf numFmtId="167" fontId="54" fillId="0" borderId="34" xfId="0" applyNumberFormat="1" applyFont="1" applyFill="1" applyBorder="1" applyAlignment="1">
      <alignment horizontal="right" vertical="center"/>
    </xf>
    <xf numFmtId="167" fontId="54" fillId="0" borderId="35" xfId="0" applyNumberFormat="1" applyFont="1" applyFill="1" applyBorder="1" applyAlignment="1">
      <alignment horizontal="right" vertical="center"/>
    </xf>
    <xf numFmtId="167" fontId="54" fillId="0" borderId="27" xfId="0" applyNumberFormat="1" applyFont="1" applyFill="1" applyBorder="1" applyAlignment="1">
      <alignment horizontal="right" vertical="center"/>
    </xf>
    <xf numFmtId="0" fontId="54" fillId="4" borderId="26" xfId="0" applyFont="1" applyFill="1" applyBorder="1" applyAlignment="1">
      <alignment horizontal="right" vertical="center"/>
    </xf>
    <xf numFmtId="0" fontId="54" fillId="4" borderId="28" xfId="0" applyFont="1" applyFill="1" applyBorder="1" applyAlignment="1">
      <alignment horizontal="right" vertical="center"/>
    </xf>
    <xf numFmtId="0" fontId="54" fillId="4" borderId="29" xfId="0" applyFont="1" applyFill="1" applyBorder="1" applyAlignment="1">
      <alignment horizontal="right" vertical="center"/>
    </xf>
    <xf numFmtId="0" fontId="54" fillId="0" borderId="26" xfId="0" applyFont="1" applyFill="1" applyBorder="1" applyAlignment="1">
      <alignment vertical="center" wrapText="1"/>
    </xf>
    <xf numFmtId="0" fontId="54" fillId="0" borderId="29" xfId="0" applyFont="1" applyFill="1" applyBorder="1" applyAlignment="1">
      <alignment vertical="center" wrapText="1"/>
    </xf>
    <xf numFmtId="167" fontId="54" fillId="0" borderId="26" xfId="0" applyNumberFormat="1" applyFont="1" applyFill="1" applyBorder="1" applyAlignment="1">
      <alignment horizontal="right" vertical="center"/>
    </xf>
    <xf numFmtId="167" fontId="54" fillId="0" borderId="28" xfId="0" applyNumberFormat="1" applyFont="1" applyFill="1" applyBorder="1" applyAlignment="1">
      <alignment horizontal="right" vertical="center"/>
    </xf>
    <xf numFmtId="167" fontId="54" fillId="0" borderId="29" xfId="0" applyNumberFormat="1" applyFont="1" applyFill="1" applyBorder="1" applyAlignment="1">
      <alignment horizontal="right" vertical="center"/>
    </xf>
    <xf numFmtId="0" fontId="54" fillId="0" borderId="30" xfId="0" applyFont="1" applyFill="1" applyBorder="1" applyAlignment="1">
      <alignment vertical="center" wrapText="1"/>
    </xf>
    <xf numFmtId="0" fontId="54" fillId="0" borderId="0" xfId="0" applyFont="1" applyFill="1" applyAlignment="1">
      <alignment vertical="center" wrapText="1"/>
    </xf>
    <xf numFmtId="0" fontId="54" fillId="0" borderId="30" xfId="0" applyFont="1" applyFill="1" applyBorder="1" applyAlignment="1">
      <alignment horizontal="right" vertical="center"/>
    </xf>
    <xf numFmtId="0" fontId="54" fillId="0" borderId="32" xfId="0" applyFont="1" applyFill="1" applyBorder="1" applyAlignment="1">
      <alignment horizontal="right" vertical="center"/>
    </xf>
    <xf numFmtId="0" fontId="54" fillId="0" borderId="38" xfId="0" applyFont="1" applyFill="1" applyBorder="1" applyAlignment="1">
      <alignment horizontal="right" vertical="center"/>
    </xf>
    <xf numFmtId="0" fontId="54" fillId="0" borderId="36" xfId="0" applyFont="1" applyFill="1" applyBorder="1" applyAlignment="1">
      <alignment vertical="center"/>
    </xf>
    <xf numFmtId="0" fontId="54" fillId="0" borderId="0" xfId="0" applyFont="1" applyFill="1" applyAlignment="1">
      <alignment vertical="center"/>
    </xf>
    <xf numFmtId="0" fontId="54" fillId="0" borderId="37" xfId="0" applyFont="1" applyFill="1" applyBorder="1" applyAlignment="1">
      <alignment vertical="center"/>
    </xf>
    <xf numFmtId="0" fontId="54" fillId="0" borderId="34" xfId="0" applyFont="1" applyFill="1" applyBorder="1" applyAlignment="1">
      <alignment vertical="center"/>
    </xf>
    <xf numFmtId="0" fontId="54" fillId="0" borderId="35" xfId="0" applyFont="1" applyFill="1" applyBorder="1" applyAlignment="1">
      <alignment vertical="center"/>
    </xf>
    <xf numFmtId="0" fontId="54" fillId="0" borderId="27" xfId="0" applyFont="1" applyFill="1" applyBorder="1" applyAlignment="1">
      <alignment vertical="center"/>
    </xf>
    <xf numFmtId="0" fontId="50" fillId="0" borderId="0" xfId="0" applyFont="1" applyFill="1" applyAlignment="1">
      <alignment horizontal="right" vertical="top"/>
    </xf>
    <xf numFmtId="0" fontId="50" fillId="0" borderId="25" xfId="0" applyFont="1" applyFill="1" applyBorder="1" applyAlignment="1">
      <alignment horizontal="right" vertical="top" wrapText="1"/>
    </xf>
    <xf numFmtId="0" fontId="53" fillId="4" borderId="0" xfId="0" applyFont="1" applyFill="1" applyAlignment="1">
      <alignment horizontal="center" vertical="center"/>
    </xf>
    <xf numFmtId="0" fontId="54" fillId="4" borderId="26" xfId="0" applyFont="1" applyFill="1" applyBorder="1" applyAlignment="1">
      <alignment horizontal="center" vertical="center" wrapText="1"/>
    </xf>
    <xf numFmtId="0" fontId="54" fillId="4" borderId="36" xfId="0" applyFont="1" applyFill="1" applyBorder="1" applyAlignment="1">
      <alignment horizontal="center" vertical="center" wrapText="1"/>
    </xf>
    <xf numFmtId="0" fontId="54" fillId="4" borderId="31" xfId="0" applyFont="1" applyFill="1" applyBorder="1" applyAlignment="1">
      <alignment horizontal="center" vertical="center" wrapText="1"/>
    </xf>
    <xf numFmtId="0" fontId="54" fillId="4" borderId="34" xfId="0" applyFont="1" applyFill="1" applyBorder="1" applyAlignment="1">
      <alignment horizontal="center" vertical="center"/>
    </xf>
    <xf numFmtId="0" fontId="54" fillId="4" borderId="35" xfId="0" applyFont="1" applyFill="1" applyBorder="1" applyAlignment="1">
      <alignment horizontal="center" vertical="center"/>
    </xf>
    <xf numFmtId="0" fontId="54" fillId="4" borderId="27" xfId="0" applyFont="1" applyFill="1" applyBorder="1" applyAlignment="1">
      <alignment horizontal="center" vertical="center"/>
    </xf>
    <xf numFmtId="0" fontId="54" fillId="4" borderId="31" xfId="0" applyFont="1" applyFill="1" applyBorder="1" applyAlignment="1">
      <alignment horizontal="center" vertical="center"/>
    </xf>
    <xf numFmtId="0" fontId="54" fillId="4" borderId="25" xfId="0" applyFont="1" applyFill="1" applyBorder="1" applyAlignment="1">
      <alignment horizontal="center" vertical="center"/>
    </xf>
    <xf numFmtId="0" fontId="54" fillId="4" borderId="33" xfId="0" applyFont="1" applyFill="1" applyBorder="1" applyAlignment="1">
      <alignment horizontal="center" vertical="center"/>
    </xf>
    <xf numFmtId="0" fontId="54" fillId="0" borderId="31" xfId="0" applyFont="1" applyFill="1" applyBorder="1" applyAlignment="1">
      <alignment vertical="center"/>
    </xf>
    <xf numFmtId="0" fontId="54" fillId="0" borderId="25" xfId="0" applyFont="1" applyFill="1" applyBorder="1" applyAlignment="1">
      <alignment vertical="center"/>
    </xf>
    <xf numFmtId="0" fontId="54" fillId="0" borderId="33" xfId="0" applyFont="1" applyFill="1" applyBorder="1" applyAlignment="1">
      <alignment vertical="center"/>
    </xf>
    <xf numFmtId="0" fontId="54" fillId="4" borderId="26" xfId="0" applyFont="1" applyFill="1" applyBorder="1" applyAlignment="1">
      <alignment vertical="center"/>
    </xf>
    <xf numFmtId="0" fontId="54" fillId="4" borderId="28" xfId="0" applyFont="1" applyFill="1" applyBorder="1" applyAlignment="1">
      <alignment vertical="center"/>
    </xf>
    <xf numFmtId="0" fontId="54" fillId="4" borderId="29" xfId="0" applyFont="1" applyFill="1" applyBorder="1" applyAlignment="1">
      <alignment vertical="center"/>
    </xf>
    <xf numFmtId="0" fontId="54" fillId="4" borderId="27" xfId="0" applyFont="1" applyFill="1" applyBorder="1" applyAlignment="1">
      <alignment horizontal="center" vertical="center" wrapText="1"/>
    </xf>
    <xf numFmtId="0" fontId="54" fillId="4" borderId="30" xfId="0" applyFont="1" applyFill="1" applyBorder="1" applyAlignment="1">
      <alignment horizontal="center" vertical="center" wrapText="1"/>
    </xf>
    <xf numFmtId="0" fontId="54" fillId="4" borderId="37" xfId="0" applyFont="1" applyFill="1" applyBorder="1" applyAlignment="1">
      <alignment horizontal="center" vertical="center" wrapText="1"/>
    </xf>
    <xf numFmtId="0" fontId="54" fillId="4" borderId="32" xfId="0" applyFont="1" applyFill="1" applyBorder="1" applyAlignment="1">
      <alignment horizontal="center" vertical="center" wrapText="1"/>
    </xf>
    <xf numFmtId="0" fontId="54" fillId="4" borderId="33" xfId="0" applyFont="1" applyFill="1" applyBorder="1" applyAlignment="1">
      <alignment horizontal="center" vertical="center" wrapText="1"/>
    </xf>
    <xf numFmtId="0" fontId="54" fillId="4" borderId="34" xfId="0" applyFont="1" applyFill="1" applyBorder="1" applyAlignment="1">
      <alignment horizontal="center" vertical="center" wrapText="1"/>
    </xf>
    <xf numFmtId="0" fontId="54" fillId="4" borderId="28" xfId="0" applyFont="1" applyFill="1" applyBorder="1" applyAlignment="1">
      <alignment horizontal="center" vertical="center" wrapText="1"/>
    </xf>
    <xf numFmtId="0" fontId="54" fillId="4" borderId="29" xfId="0" applyFont="1" applyFill="1" applyBorder="1" applyAlignment="1">
      <alignment horizontal="center" vertical="center" wrapText="1"/>
    </xf>
    <xf numFmtId="0" fontId="54" fillId="4" borderId="26" xfId="0" applyFont="1" applyFill="1" applyBorder="1" applyAlignment="1">
      <alignment vertical="center" wrapText="1"/>
    </xf>
    <xf numFmtId="0" fontId="54" fillId="4" borderId="29" xfId="0" applyFont="1" applyFill="1" applyBorder="1" applyAlignment="1">
      <alignment vertical="center" wrapText="1"/>
    </xf>
    <xf numFmtId="0" fontId="54" fillId="0" borderId="26" xfId="0" applyFont="1" applyFill="1" applyBorder="1" applyAlignment="1">
      <alignment horizontal="right" vertical="center"/>
    </xf>
    <xf numFmtId="0" fontId="54" fillId="0" borderId="28" xfId="0" applyFont="1" applyFill="1" applyBorder="1" applyAlignment="1">
      <alignment horizontal="right" vertical="center"/>
    </xf>
    <xf numFmtId="0" fontId="54" fillId="0" borderId="29" xfId="0" applyFont="1" applyFill="1" applyBorder="1" applyAlignment="1">
      <alignment horizontal="right" vertical="center"/>
    </xf>
    <xf numFmtId="0" fontId="53" fillId="0" borderId="34" xfId="0" applyFont="1" applyFill="1" applyBorder="1" applyAlignment="1">
      <alignment horizontal="right" vertical="center"/>
    </xf>
    <xf numFmtId="0" fontId="53" fillId="0" borderId="35" xfId="0" applyFont="1" applyFill="1" applyBorder="1" applyAlignment="1">
      <alignment horizontal="right" vertical="center"/>
    </xf>
    <xf numFmtId="0" fontId="53" fillId="0" borderId="27" xfId="0" applyFont="1" applyFill="1" applyBorder="1" applyAlignment="1">
      <alignment horizontal="right" vertical="center"/>
    </xf>
    <xf numFmtId="0" fontId="53" fillId="0" borderId="36" xfId="0" applyFont="1" applyFill="1" applyBorder="1" applyAlignment="1">
      <alignment horizontal="right" vertical="center"/>
    </xf>
    <xf numFmtId="0" fontId="53" fillId="0" borderId="0" xfId="0" applyFont="1" applyFill="1" applyAlignment="1">
      <alignment horizontal="right" vertical="center"/>
    </xf>
    <xf numFmtId="0" fontId="53" fillId="0" borderId="37" xfId="0" applyFont="1" applyFill="1" applyBorder="1" applyAlignment="1">
      <alignment horizontal="right" vertical="center"/>
    </xf>
    <xf numFmtId="4" fontId="53" fillId="5" borderId="26" xfId="0" applyNumberFormat="1" applyFont="1" applyFill="1" applyBorder="1" applyAlignment="1">
      <alignment horizontal="right" vertical="center"/>
    </xf>
    <xf numFmtId="4" fontId="53" fillId="5" borderId="29" xfId="0" applyNumberFormat="1" applyFont="1" applyFill="1" applyBorder="1" applyAlignment="1">
      <alignment horizontal="right" vertical="center"/>
    </xf>
    <xf numFmtId="4" fontId="53" fillId="5" borderId="28" xfId="0" applyNumberFormat="1" applyFont="1" applyFill="1" applyBorder="1" applyAlignment="1">
      <alignment horizontal="right" vertical="center"/>
    </xf>
    <xf numFmtId="4" fontId="53" fillId="0" borderId="36" xfId="0" applyNumberFormat="1" applyFont="1" applyFill="1" applyBorder="1" applyAlignment="1">
      <alignment horizontal="right" vertical="center"/>
    </xf>
    <xf numFmtId="4" fontId="53" fillId="0" borderId="37" xfId="0" applyNumberFormat="1" applyFont="1" applyFill="1" applyBorder="1" applyAlignment="1">
      <alignment horizontal="right" vertical="center"/>
    </xf>
    <xf numFmtId="4" fontId="53" fillId="0" borderId="0" xfId="0" applyNumberFormat="1" applyFont="1" applyFill="1" applyAlignment="1">
      <alignment horizontal="right" vertical="center"/>
    </xf>
    <xf numFmtId="0" fontId="55" fillId="0" borderId="0" xfId="0" applyFont="1" applyFill="1" applyAlignment="1">
      <alignment vertical="top"/>
    </xf>
    <xf numFmtId="0" fontId="55" fillId="0" borderId="35" xfId="0" applyFont="1" applyFill="1" applyBorder="1" applyAlignment="1">
      <alignment vertical="top"/>
    </xf>
    <xf numFmtId="0" fontId="62" fillId="4" borderId="26" xfId="0" applyFont="1" applyFill="1" applyBorder="1" applyAlignment="1">
      <alignment horizontal="center" vertical="center"/>
    </xf>
    <xf numFmtId="0" fontId="62" fillId="4" borderId="28" xfId="0" applyFont="1" applyFill="1" applyBorder="1" applyAlignment="1">
      <alignment horizontal="center" vertical="center"/>
    </xf>
    <xf numFmtId="0" fontId="62" fillId="4" borderId="29" xfId="0" applyFont="1" applyFill="1" applyBorder="1" applyAlignment="1">
      <alignment horizontal="center" vertical="center"/>
    </xf>
    <xf numFmtId="4" fontId="53" fillId="0" borderId="34" xfId="0" applyNumberFormat="1" applyFont="1" applyFill="1" applyBorder="1" applyAlignment="1">
      <alignment horizontal="right" vertical="center"/>
    </xf>
    <xf numFmtId="4" fontId="53" fillId="0" borderId="27" xfId="0" applyNumberFormat="1" applyFont="1" applyFill="1" applyBorder="1" applyAlignment="1">
      <alignment horizontal="right" vertical="center"/>
    </xf>
    <xf numFmtId="4" fontId="53" fillId="0" borderId="35" xfId="0" applyNumberFormat="1" applyFont="1" applyFill="1" applyBorder="1" applyAlignment="1">
      <alignment horizontal="right" vertical="center"/>
    </xf>
    <xf numFmtId="0" fontId="53" fillId="5" borderId="26" xfId="0" applyFont="1" applyFill="1" applyBorder="1" applyAlignment="1">
      <alignment horizontal="right" vertical="center"/>
    </xf>
    <xf numFmtId="0" fontId="53" fillId="5" borderId="28" xfId="0" applyFont="1" applyFill="1" applyBorder="1" applyAlignment="1">
      <alignment horizontal="right" vertical="center"/>
    </xf>
    <xf numFmtId="0" fontId="53" fillId="5" borderId="29" xfId="0" applyFont="1" applyFill="1" applyBorder="1" applyAlignment="1">
      <alignment horizontal="right" vertical="center"/>
    </xf>
    <xf numFmtId="0" fontId="55" fillId="0" borderId="30" xfId="0" applyFont="1" applyFill="1" applyBorder="1" applyAlignment="1">
      <alignment vertical="top"/>
    </xf>
    <xf numFmtId="0" fontId="54" fillId="0" borderId="0" xfId="0" applyFont="1" applyFill="1" applyAlignment="1">
      <alignment vertical="top" wrapText="1"/>
    </xf>
    <xf numFmtId="0" fontId="64" fillId="0" borderId="0" xfId="0" applyFont="1" applyFill="1" applyAlignment="1">
      <alignment vertical="center" wrapText="1"/>
    </xf>
    <xf numFmtId="0" fontId="58" fillId="0" borderId="0" xfId="0" applyFont="1" applyAlignment="1">
      <alignment horizontal="center"/>
    </xf>
    <xf numFmtId="0" fontId="54" fillId="0" borderId="35" xfId="0" applyFont="1" applyFill="1" applyBorder="1" applyAlignment="1">
      <alignment vertical="top" wrapText="1"/>
    </xf>
    <xf numFmtId="0" fontId="53" fillId="5" borderId="26" xfId="0" applyFont="1" applyFill="1" applyBorder="1" applyAlignment="1">
      <alignment vertical="center"/>
    </xf>
    <xf numFmtId="0" fontId="53" fillId="5" borderId="28" xfId="0" applyFont="1" applyFill="1" applyBorder="1" applyAlignment="1">
      <alignment vertical="center"/>
    </xf>
    <xf numFmtId="0" fontId="53" fillId="5" borderId="29" xfId="0" applyFont="1" applyFill="1" applyBorder="1" applyAlignment="1">
      <alignment vertical="center"/>
    </xf>
    <xf numFmtId="0" fontId="56" fillId="0" borderId="36" xfId="0" applyFont="1" applyFill="1" applyBorder="1" applyAlignment="1">
      <alignment vertical="center"/>
    </xf>
    <xf numFmtId="0" fontId="56" fillId="0" borderId="0" xfId="0" applyFont="1" applyFill="1" applyAlignment="1">
      <alignment vertical="center"/>
    </xf>
    <xf numFmtId="0" fontId="56" fillId="0" borderId="37" xfId="0" applyFont="1" applyFill="1" applyBorder="1" applyAlignment="1">
      <alignment vertical="center"/>
    </xf>
    <xf numFmtId="0" fontId="56" fillId="0" borderId="31" xfId="0" applyFont="1" applyFill="1" applyBorder="1" applyAlignment="1">
      <alignment vertical="center"/>
    </xf>
    <xf numFmtId="0" fontId="56" fillId="0" borderId="25" xfId="0" applyFont="1" applyFill="1" applyBorder="1" applyAlignment="1">
      <alignment vertical="center"/>
    </xf>
    <xf numFmtId="0" fontId="56" fillId="0" borderId="33" xfId="0" applyFont="1" applyFill="1" applyBorder="1" applyAlignment="1">
      <alignment vertical="center"/>
    </xf>
    <xf numFmtId="0" fontId="56" fillId="0" borderId="34" xfId="0" applyFont="1" applyFill="1" applyBorder="1" applyAlignment="1">
      <alignment vertical="center"/>
    </xf>
    <xf numFmtId="0" fontId="56" fillId="0" borderId="35" xfId="0" applyFont="1" applyFill="1" applyBorder="1" applyAlignment="1">
      <alignment vertical="center"/>
    </xf>
    <xf numFmtId="0" fontId="56" fillId="0" borderId="27" xfId="0" applyFont="1" applyFill="1" applyBorder="1" applyAlignment="1">
      <alignment vertical="center"/>
    </xf>
    <xf numFmtId="4" fontId="65" fillId="9" borderId="30" xfId="0" applyNumberFormat="1" applyFont="1" applyFill="1" applyBorder="1" applyAlignment="1">
      <alignment horizontal="right" vertical="center"/>
    </xf>
    <xf numFmtId="4" fontId="65" fillId="9" borderId="0" xfId="0" applyNumberFormat="1" applyFont="1" applyFill="1" applyAlignment="1">
      <alignment horizontal="right" vertical="center"/>
    </xf>
    <xf numFmtId="0" fontId="78" fillId="4" borderId="26" xfId="0" applyFont="1" applyFill="1" applyBorder="1" applyAlignment="1">
      <alignment horizontal="center" vertical="center" wrapText="1"/>
    </xf>
    <xf numFmtId="0" fontId="78" fillId="4" borderId="28" xfId="0" applyFont="1" applyFill="1" applyBorder="1" applyAlignment="1">
      <alignment horizontal="center" vertical="center" wrapText="1"/>
    </xf>
    <xf numFmtId="0" fontId="78" fillId="4" borderId="29" xfId="0" applyFont="1" applyFill="1" applyBorder="1" applyAlignment="1">
      <alignment horizontal="center" vertical="center" wrapText="1"/>
    </xf>
    <xf numFmtId="0" fontId="53" fillId="0" borderId="31" xfId="0" applyFont="1" applyFill="1" applyBorder="1" applyAlignment="1">
      <alignment horizontal="right" vertical="center"/>
    </xf>
    <xf numFmtId="0" fontId="53" fillId="0" borderId="25" xfId="0" applyFont="1" applyFill="1" applyBorder="1" applyAlignment="1">
      <alignment horizontal="right" vertical="center"/>
    </xf>
    <xf numFmtId="0" fontId="53" fillId="0" borderId="33" xfId="0" applyFont="1" applyFill="1" applyBorder="1" applyAlignment="1">
      <alignment horizontal="right" vertical="center"/>
    </xf>
    <xf numFmtId="0" fontId="56" fillId="11" borderId="26" xfId="0" applyFont="1" applyFill="1" applyBorder="1" applyAlignment="1">
      <alignment horizontal="right" vertical="center" wrapText="1"/>
    </xf>
    <xf numFmtId="0" fontId="56" fillId="11" borderId="28" xfId="0" applyFont="1" applyFill="1" applyBorder="1" applyAlignment="1">
      <alignment horizontal="right" vertical="center" wrapText="1"/>
    </xf>
    <xf numFmtId="0" fontId="56" fillId="11" borderId="29" xfId="0" applyFont="1" applyFill="1" applyBorder="1" applyAlignment="1">
      <alignment horizontal="right" vertical="center" wrapText="1"/>
    </xf>
    <xf numFmtId="0" fontId="54" fillId="0" borderId="0" xfId="0" applyFont="1" applyFill="1" applyAlignment="1">
      <alignment wrapText="1"/>
    </xf>
    <xf numFmtId="0" fontId="56" fillId="0" borderId="31" xfId="0" applyFont="1" applyFill="1" applyBorder="1" applyAlignment="1">
      <alignment horizontal="right" vertical="center" wrapText="1"/>
    </xf>
    <xf numFmtId="0" fontId="56" fillId="0" borderId="25" xfId="0" applyFont="1" applyFill="1" applyBorder="1" applyAlignment="1">
      <alignment horizontal="right" vertical="center" wrapText="1"/>
    </xf>
    <xf numFmtId="0" fontId="56" fillId="0" borderId="33" xfId="0" applyFont="1" applyFill="1" applyBorder="1" applyAlignment="1">
      <alignment horizontal="right" vertical="center" wrapText="1"/>
    </xf>
    <xf numFmtId="0" fontId="56" fillId="11" borderId="26" xfId="0" applyFont="1" applyFill="1" applyBorder="1" applyAlignment="1">
      <alignment vertical="center" wrapText="1"/>
    </xf>
    <xf numFmtId="0" fontId="56" fillId="11" borderId="28" xfId="0" applyFont="1" applyFill="1" applyBorder="1" applyAlignment="1">
      <alignment vertical="center" wrapText="1"/>
    </xf>
    <xf numFmtId="0" fontId="56" fillId="11" borderId="29" xfId="0" applyFont="1" applyFill="1" applyBorder="1" applyAlignment="1">
      <alignment vertical="center" wrapText="1"/>
    </xf>
    <xf numFmtId="0" fontId="56" fillId="11" borderId="26" xfId="0" applyFont="1" applyFill="1" applyBorder="1" applyAlignment="1">
      <alignment horizontal="right" vertical="center"/>
    </xf>
    <xf numFmtId="0" fontId="56" fillId="11" borderId="29" xfId="0" applyFont="1" applyFill="1" applyBorder="1" applyAlignment="1">
      <alignment horizontal="right" vertical="center"/>
    </xf>
    <xf numFmtId="0" fontId="56" fillId="11" borderId="28" xfId="0" applyFont="1" applyFill="1" applyBorder="1" applyAlignment="1">
      <alignment horizontal="right" vertical="center"/>
    </xf>
    <xf numFmtId="0" fontId="56" fillId="0" borderId="31" xfId="0" applyFont="1" applyFill="1" applyBorder="1" applyAlignment="1">
      <alignment vertical="center" wrapText="1"/>
    </xf>
    <xf numFmtId="0" fontId="56" fillId="0" borderId="25" xfId="0" applyFont="1" applyFill="1" applyBorder="1" applyAlignment="1">
      <alignment vertical="center" wrapText="1"/>
    </xf>
    <xf numFmtId="0" fontId="56" fillId="0" borderId="33" xfId="0" applyFont="1" applyFill="1" applyBorder="1" applyAlignment="1">
      <alignment vertical="center" wrapText="1"/>
    </xf>
    <xf numFmtId="0" fontId="56" fillId="0" borderId="31" xfId="0" applyFont="1" applyFill="1" applyBorder="1" applyAlignment="1">
      <alignment horizontal="right" vertical="center"/>
    </xf>
    <xf numFmtId="0" fontId="56" fillId="0" borderId="33" xfId="0" applyFont="1" applyFill="1" applyBorder="1" applyAlignment="1">
      <alignment horizontal="right" vertical="center"/>
    </xf>
    <xf numFmtId="0" fontId="56" fillId="0" borderId="25" xfId="0" applyFont="1" applyFill="1" applyBorder="1" applyAlignment="1">
      <alignment horizontal="right" vertical="center"/>
    </xf>
    <xf numFmtId="0" fontId="56" fillId="0" borderId="36" xfId="0" applyFont="1" applyFill="1" applyBorder="1" applyAlignment="1">
      <alignment vertical="center" wrapText="1"/>
    </xf>
    <xf numFmtId="0" fontId="56" fillId="0" borderId="0" xfId="0" applyFont="1" applyFill="1" applyAlignment="1">
      <alignment vertical="center" wrapText="1"/>
    </xf>
    <xf numFmtId="0" fontId="56" fillId="0" borderId="37" xfId="0" applyFont="1" applyFill="1" applyBorder="1" applyAlignment="1">
      <alignment vertical="center" wrapText="1"/>
    </xf>
    <xf numFmtId="0" fontId="56" fillId="0" borderId="36" xfId="0" applyFont="1" applyFill="1" applyBorder="1" applyAlignment="1">
      <alignment horizontal="right" vertical="center"/>
    </xf>
    <xf numFmtId="0" fontId="56" fillId="0" borderId="37" xfId="0" applyFont="1" applyFill="1" applyBorder="1" applyAlignment="1">
      <alignment horizontal="right" vertical="center"/>
    </xf>
    <xf numFmtId="0" fontId="56" fillId="0" borderId="0" xfId="0" applyFont="1" applyFill="1" applyAlignment="1">
      <alignment horizontal="right" vertical="center"/>
    </xf>
    <xf numFmtId="0" fontId="56" fillId="0" borderId="36" xfId="0" applyFont="1" applyFill="1" applyBorder="1" applyAlignment="1">
      <alignment horizontal="right" vertical="center" wrapText="1"/>
    </xf>
    <xf numFmtId="0" fontId="56" fillId="0" borderId="0" xfId="0" applyFont="1" applyFill="1" applyAlignment="1">
      <alignment horizontal="right" vertical="center" wrapText="1"/>
    </xf>
    <xf numFmtId="0" fontId="56" fillId="0" borderId="37" xfId="0" applyFont="1" applyFill="1" applyBorder="1" applyAlignment="1">
      <alignment horizontal="right" vertical="center" wrapText="1"/>
    </xf>
    <xf numFmtId="0" fontId="56" fillId="0" borderId="34" xfId="0" applyFont="1" applyFill="1" applyBorder="1" applyAlignment="1">
      <alignment horizontal="right" vertical="center" wrapText="1"/>
    </xf>
    <xf numFmtId="0" fontId="56" fillId="0" borderId="35" xfId="0" applyFont="1" applyFill="1" applyBorder="1" applyAlignment="1">
      <alignment horizontal="right" vertical="center" wrapText="1"/>
    </xf>
    <xf numFmtId="0" fontId="56" fillId="0" borderId="27" xfId="0" applyFont="1" applyFill="1" applyBorder="1" applyAlignment="1">
      <alignment horizontal="right" vertical="center" wrapText="1"/>
    </xf>
    <xf numFmtId="0" fontId="56" fillId="0" borderId="34" xfId="0" applyFont="1" applyFill="1" applyBorder="1" applyAlignment="1">
      <alignment vertical="center" wrapText="1"/>
    </xf>
    <xf numFmtId="0" fontId="56" fillId="0" borderId="35" xfId="0" applyFont="1" applyFill="1" applyBorder="1" applyAlignment="1">
      <alignment vertical="center" wrapText="1"/>
    </xf>
    <xf numFmtId="0" fontId="56" fillId="0" borderId="27" xfId="0" applyFont="1" applyFill="1" applyBorder="1" applyAlignment="1">
      <alignment vertical="center" wrapText="1"/>
    </xf>
    <xf numFmtId="0" fontId="56" fillId="0" borderId="34" xfId="0" applyFont="1" applyFill="1" applyBorder="1" applyAlignment="1">
      <alignment horizontal="right" vertical="center"/>
    </xf>
    <xf numFmtId="0" fontId="56" fillId="0" borderId="27" xfId="0" applyFont="1" applyFill="1" applyBorder="1" applyAlignment="1">
      <alignment horizontal="right" vertical="center"/>
    </xf>
    <xf numFmtId="0" fontId="56" fillId="0" borderId="35" xfId="0" applyFont="1" applyFill="1" applyBorder="1" applyAlignment="1">
      <alignment horizontal="right" vertical="center"/>
    </xf>
    <xf numFmtId="0" fontId="52" fillId="4" borderId="26" xfId="0" applyFont="1" applyFill="1" applyBorder="1" applyAlignment="1">
      <alignment horizontal="center" vertical="center" wrapText="1"/>
    </xf>
    <xf numFmtId="0" fontId="52" fillId="4" borderId="35" xfId="0" applyFont="1" applyFill="1" applyBorder="1" applyAlignment="1">
      <alignment horizontal="center" vertical="center" wrapText="1"/>
    </xf>
    <xf numFmtId="0" fontId="52" fillId="4" borderId="27" xfId="0" applyFont="1" applyFill="1" applyBorder="1" applyAlignment="1">
      <alignment horizontal="center" vertical="center" wrapText="1"/>
    </xf>
    <xf numFmtId="0" fontId="52" fillId="4" borderId="32" xfId="0" applyFont="1" applyFill="1" applyBorder="1" applyAlignment="1">
      <alignment horizontal="center" vertical="center" wrapText="1"/>
    </xf>
    <xf numFmtId="0" fontId="52" fillId="4" borderId="25" xfId="0" applyFont="1" applyFill="1" applyBorder="1" applyAlignment="1">
      <alignment horizontal="center" vertical="center" wrapText="1"/>
    </xf>
    <xf numFmtId="0" fontId="52" fillId="4" borderId="33" xfId="0" applyFont="1" applyFill="1" applyBorder="1" applyAlignment="1">
      <alignment horizontal="center" vertical="center" wrapText="1"/>
    </xf>
    <xf numFmtId="0" fontId="56" fillId="11" borderId="26" xfId="0" applyFont="1" applyFill="1" applyBorder="1" applyAlignment="1">
      <alignment vertical="center"/>
    </xf>
    <xf numFmtId="0" fontId="56" fillId="11" borderId="28" xfId="0" applyFont="1" applyFill="1" applyBorder="1" applyAlignment="1">
      <alignment vertical="center"/>
    </xf>
    <xf numFmtId="0" fontId="56" fillId="11" borderId="29" xfId="0" applyFont="1" applyFill="1" applyBorder="1" applyAlignment="1">
      <alignment vertical="center"/>
    </xf>
    <xf numFmtId="0" fontId="52" fillId="4" borderId="35" xfId="0" applyFont="1" applyFill="1" applyBorder="1" applyAlignment="1">
      <alignment horizontal="center" vertical="center"/>
    </xf>
    <xf numFmtId="0" fontId="52" fillId="4" borderId="27" xfId="0" applyFont="1" applyFill="1" applyBorder="1" applyAlignment="1">
      <alignment horizontal="center" vertical="center"/>
    </xf>
    <xf numFmtId="0" fontId="52" fillId="4" borderId="32" xfId="0" applyFont="1" applyFill="1" applyBorder="1" applyAlignment="1">
      <alignment horizontal="center" vertical="center"/>
    </xf>
    <xf numFmtId="0" fontId="52" fillId="4" borderId="25" xfId="0" applyFont="1" applyFill="1" applyBorder="1" applyAlignment="1">
      <alignment horizontal="center" vertical="center"/>
    </xf>
    <xf numFmtId="0" fontId="52" fillId="4" borderId="33" xfId="0" applyFont="1" applyFill="1" applyBorder="1" applyAlignment="1">
      <alignment horizontal="center" vertical="center"/>
    </xf>
    <xf numFmtId="0" fontId="66" fillId="11" borderId="26" xfId="0" applyFont="1" applyFill="1" applyBorder="1" applyAlignment="1">
      <alignment vertical="center"/>
    </xf>
    <xf numFmtId="0" fontId="66" fillId="11" borderId="28" xfId="0" applyFont="1" applyFill="1" applyBorder="1" applyAlignment="1">
      <alignment vertical="center"/>
    </xf>
    <xf numFmtId="0" fontId="66" fillId="11" borderId="29" xfId="0" applyFont="1" applyFill="1" applyBorder="1" applyAlignment="1">
      <alignment vertical="center"/>
    </xf>
    <xf numFmtId="0" fontId="66" fillId="0" borderId="31" xfId="0" applyFont="1" applyFill="1" applyBorder="1" applyAlignment="1">
      <alignment vertical="center"/>
    </xf>
    <xf numFmtId="0" fontId="66" fillId="0" borderId="25" xfId="0" applyFont="1" applyFill="1" applyBorder="1" applyAlignment="1">
      <alignment vertical="center"/>
    </xf>
    <xf numFmtId="0" fontId="66" fillId="0" borderId="33" xfId="0" applyFont="1" applyFill="1" applyBorder="1" applyAlignment="1">
      <alignment vertical="center"/>
    </xf>
    <xf numFmtId="0" fontId="66" fillId="0" borderId="36" xfId="0" applyFont="1" applyFill="1" applyBorder="1" applyAlignment="1">
      <alignment vertical="center"/>
    </xf>
    <xf numFmtId="0" fontId="66" fillId="0" borderId="0" xfId="0" applyFont="1" applyFill="1" applyAlignment="1">
      <alignment vertical="center"/>
    </xf>
    <xf numFmtId="0" fontId="66" fillId="0" borderId="37" xfId="0" applyFont="1" applyFill="1" applyBorder="1" applyAlignment="1">
      <alignment vertical="center"/>
    </xf>
    <xf numFmtId="0" fontId="66" fillId="0" borderId="34" xfId="0" applyFont="1" applyFill="1" applyBorder="1" applyAlignment="1">
      <alignment vertical="center"/>
    </xf>
    <xf numFmtId="0" fontId="66" fillId="0" borderId="35" xfId="0" applyFont="1" applyFill="1" applyBorder="1" applyAlignment="1">
      <alignment vertical="center"/>
    </xf>
    <xf numFmtId="0" fontId="66" fillId="0" borderId="27" xfId="0" applyFont="1" applyFill="1" applyBorder="1" applyAlignment="1">
      <alignment vertical="center"/>
    </xf>
    <xf numFmtId="0" fontId="53" fillId="4" borderId="26" xfId="0" applyFont="1" applyFill="1" applyBorder="1" applyAlignment="1">
      <alignment vertical="center"/>
    </xf>
    <xf numFmtId="0" fontId="53" fillId="4" borderId="28" xfId="0" applyFont="1" applyFill="1" applyBorder="1" applyAlignment="1">
      <alignment vertical="center"/>
    </xf>
    <xf numFmtId="0" fontId="53" fillId="4" borderId="29" xfId="0" applyFont="1" applyFill="1" applyBorder="1" applyAlignment="1">
      <alignment vertical="center"/>
    </xf>
    <xf numFmtId="0" fontId="56" fillId="4" borderId="26" xfId="0" applyFont="1" applyFill="1" applyBorder="1" applyAlignment="1">
      <alignment horizontal="right" vertical="center"/>
    </xf>
    <xf numFmtId="0" fontId="56" fillId="4" borderId="28" xfId="0" applyFont="1" applyFill="1" applyBorder="1" applyAlignment="1">
      <alignment horizontal="right" vertical="center"/>
    </xf>
    <xf numFmtId="0" fontId="56" fillId="4" borderId="29" xfId="0" applyFont="1" applyFill="1" applyBorder="1" applyAlignment="1">
      <alignment horizontal="right" vertical="center"/>
    </xf>
    <xf numFmtId="0" fontId="52" fillId="4" borderId="30" xfId="0" applyFont="1" applyFill="1" applyBorder="1" applyAlignment="1">
      <alignment horizontal="center" vertical="center" wrapText="1"/>
    </xf>
    <xf numFmtId="0" fontId="52" fillId="4" borderId="0" xfId="0" applyFont="1" applyFill="1" applyAlignment="1">
      <alignment horizontal="center" vertical="center" wrapText="1"/>
    </xf>
    <xf numFmtId="0" fontId="52" fillId="4" borderId="37" xfId="0" applyFont="1" applyFill="1" applyBorder="1" applyAlignment="1">
      <alignment horizontal="center" vertical="center" wrapText="1"/>
    </xf>
    <xf numFmtId="0" fontId="56" fillId="0" borderId="26" xfId="0" applyFont="1" applyFill="1" applyBorder="1" applyAlignment="1">
      <alignment horizontal="right" vertical="center"/>
    </xf>
    <xf numFmtId="0" fontId="56" fillId="0" borderId="28" xfId="0" applyFont="1" applyFill="1" applyBorder="1" applyAlignment="1">
      <alignment horizontal="right" vertical="center"/>
    </xf>
    <xf numFmtId="0" fontId="56" fillId="0" borderId="29" xfId="0" applyFont="1" applyFill="1" applyBorder="1" applyAlignment="1">
      <alignment horizontal="right" vertical="center"/>
    </xf>
    <xf numFmtId="0" fontId="55" fillId="0" borderId="25" xfId="0" applyFont="1" applyFill="1" applyBorder="1" applyAlignment="1">
      <alignment vertical="top"/>
    </xf>
    <xf numFmtId="0" fontId="56" fillId="0" borderId="26" xfId="0" applyFont="1" applyFill="1" applyBorder="1" applyAlignment="1">
      <alignment vertical="center"/>
    </xf>
    <xf numFmtId="0" fontId="56" fillId="0" borderId="29" xfId="0" applyFont="1" applyFill="1" applyBorder="1" applyAlignment="1">
      <alignment vertical="center"/>
    </xf>
    <xf numFmtId="0" fontId="52" fillId="4" borderId="29" xfId="0" applyFont="1" applyFill="1" applyBorder="1" applyAlignment="1">
      <alignment horizontal="center" vertical="center"/>
    </xf>
    <xf numFmtId="0" fontId="56" fillId="0" borderId="26" xfId="0" applyFont="1" applyFill="1" applyBorder="1" applyAlignment="1">
      <alignment horizontal="right" vertical="center" wrapText="1"/>
    </xf>
    <xf numFmtId="0" fontId="56" fillId="0" borderId="28" xfId="0" applyFont="1" applyFill="1" applyBorder="1" applyAlignment="1">
      <alignment horizontal="right" vertical="center" wrapText="1"/>
    </xf>
    <xf numFmtId="0" fontId="56" fillId="0" borderId="29" xfId="0" applyFont="1" applyFill="1" applyBorder="1" applyAlignment="1">
      <alignment horizontal="right" vertical="center" wrapText="1"/>
    </xf>
    <xf numFmtId="0" fontId="73" fillId="0" borderId="26" xfId="0" applyFont="1" applyFill="1" applyBorder="1" applyAlignment="1">
      <alignment horizontal="right" vertical="center" wrapText="1"/>
    </xf>
    <xf numFmtId="0" fontId="73" fillId="0" borderId="28" xfId="0" applyFont="1" applyFill="1" applyBorder="1" applyAlignment="1">
      <alignment horizontal="right" vertical="center" wrapText="1"/>
    </xf>
    <xf numFmtId="0" fontId="73" fillId="0" borderId="29" xfId="0" applyFont="1" applyFill="1" applyBorder="1" applyAlignment="1">
      <alignment horizontal="right" vertical="center" wrapText="1"/>
    </xf>
    <xf numFmtId="0" fontId="52" fillId="4" borderId="28" xfId="0" applyFont="1" applyFill="1" applyBorder="1" applyAlignment="1">
      <alignment horizontal="center" vertical="center"/>
    </xf>
    <xf numFmtId="0" fontId="56" fillId="0" borderId="28" xfId="0" applyFont="1" applyFill="1" applyBorder="1" applyAlignment="1">
      <alignment vertical="center"/>
    </xf>
    <xf numFmtId="0" fontId="56" fillId="10" borderId="26" xfId="0" applyFont="1" applyFill="1" applyBorder="1" applyAlignment="1">
      <alignment vertical="center"/>
    </xf>
    <xf numFmtId="0" fontId="56" fillId="10" borderId="28" xfId="0" applyFont="1" applyFill="1" applyBorder="1" applyAlignment="1">
      <alignment vertical="center"/>
    </xf>
    <xf numFmtId="0" fontId="56" fillId="10" borderId="29" xfId="0" applyFont="1" applyFill="1" applyBorder="1" applyAlignment="1">
      <alignment vertical="center"/>
    </xf>
    <xf numFmtId="0" fontId="56" fillId="10" borderId="26" xfId="0" applyFont="1" applyFill="1" applyBorder="1" applyAlignment="1">
      <alignment horizontal="right" vertical="center"/>
    </xf>
    <xf numFmtId="0" fontId="56" fillId="10" borderId="28" xfId="0" applyFont="1" applyFill="1" applyBorder="1" applyAlignment="1">
      <alignment horizontal="right" vertical="center"/>
    </xf>
    <xf numFmtId="0" fontId="56" fillId="10" borderId="29" xfId="0" applyFont="1" applyFill="1" applyBorder="1" applyAlignment="1">
      <alignment horizontal="right" vertical="center"/>
    </xf>
    <xf numFmtId="0" fontId="53" fillId="0" borderId="36" xfId="0" applyFont="1" applyFill="1" applyBorder="1" applyAlignment="1">
      <alignment vertical="center"/>
    </xf>
    <xf numFmtId="0" fontId="53" fillId="0" borderId="0" xfId="0" applyFont="1" applyFill="1" applyAlignment="1">
      <alignment vertical="center"/>
    </xf>
    <xf numFmtId="0" fontId="53" fillId="0" borderId="37" xfId="0" applyFont="1" applyFill="1" applyBorder="1" applyAlignment="1">
      <alignment vertical="center"/>
    </xf>
    <xf numFmtId="0" fontId="53" fillId="0" borderId="34" xfId="0" applyFont="1" applyFill="1" applyBorder="1" applyAlignment="1">
      <alignment vertical="center"/>
    </xf>
    <xf numFmtId="0" fontId="53" fillId="0" borderId="35" xfId="0" applyFont="1" applyFill="1" applyBorder="1" applyAlignment="1">
      <alignment vertical="center"/>
    </xf>
    <xf numFmtId="0" fontId="53" fillId="0" borderId="27" xfId="0" applyFont="1" applyFill="1" applyBorder="1" applyAlignment="1">
      <alignment vertical="center"/>
    </xf>
    <xf numFmtId="0" fontId="54" fillId="0" borderId="35" xfId="0" applyFont="1" applyFill="1" applyBorder="1" applyAlignment="1">
      <alignment wrapText="1"/>
    </xf>
    <xf numFmtId="0" fontId="50" fillId="0" borderId="26" xfId="0" applyFont="1" applyFill="1" applyBorder="1" applyAlignment="1">
      <alignment vertical="center"/>
    </xf>
    <xf numFmtId="0" fontId="50" fillId="0" borderId="28" xfId="0" applyFont="1" applyFill="1" applyBorder="1" applyAlignment="1">
      <alignment vertical="center"/>
    </xf>
    <xf numFmtId="0" fontId="50" fillId="0" borderId="29" xfId="0" applyFont="1" applyFill="1" applyBorder="1" applyAlignment="1">
      <alignment vertical="center"/>
    </xf>
    <xf numFmtId="171" fontId="50" fillId="0" borderId="26" xfId="0" applyNumberFormat="1" applyFont="1" applyFill="1" applyBorder="1" applyAlignment="1">
      <alignment horizontal="right" vertical="center" wrapText="1"/>
    </xf>
    <xf numFmtId="171" fontId="50" fillId="0" borderId="29" xfId="0" applyNumberFormat="1" applyFont="1" applyFill="1" applyBorder="1" applyAlignment="1">
      <alignment horizontal="right" vertical="center" wrapText="1"/>
    </xf>
    <xf numFmtId="171" fontId="50" fillId="0" borderId="28" xfId="0" applyNumberFormat="1" applyFont="1" applyFill="1" applyBorder="1" applyAlignment="1">
      <alignment horizontal="right" vertical="center" wrapText="1"/>
    </xf>
    <xf numFmtId="0" fontId="70" fillId="0" borderId="26" xfId="0" applyFont="1" applyFill="1" applyBorder="1" applyAlignment="1">
      <alignment horizontal="center" vertical="center"/>
    </xf>
    <xf numFmtId="0" fontId="70" fillId="0" borderId="35" xfId="0" applyFont="1" applyFill="1" applyBorder="1" applyAlignment="1">
      <alignment horizontal="center" vertical="center"/>
    </xf>
    <xf numFmtId="0" fontId="70" fillId="0" borderId="27" xfId="0" applyFont="1" applyFill="1" applyBorder="1" applyAlignment="1">
      <alignment horizontal="center" vertical="center"/>
    </xf>
    <xf numFmtId="0" fontId="70" fillId="0" borderId="30" xfId="0" applyFont="1" applyFill="1" applyBorder="1" applyAlignment="1">
      <alignment horizontal="center" vertical="center"/>
    </xf>
    <xf numFmtId="0" fontId="70" fillId="0" borderId="0" xfId="0" applyFont="1" applyFill="1" applyAlignment="1">
      <alignment horizontal="center" vertical="center"/>
    </xf>
    <xf numFmtId="0" fontId="70" fillId="0" borderId="37" xfId="0" applyFont="1" applyFill="1" applyBorder="1" applyAlignment="1">
      <alignment horizontal="center" vertical="center"/>
    </xf>
    <xf numFmtId="0" fontId="70" fillId="0" borderId="32" xfId="0" applyFont="1" applyFill="1" applyBorder="1" applyAlignment="1">
      <alignment horizontal="center" vertical="center"/>
    </xf>
    <xf numFmtId="0" fontId="70" fillId="0" borderId="25" xfId="0" applyFont="1" applyFill="1" applyBorder="1" applyAlignment="1">
      <alignment horizontal="center" vertical="center"/>
    </xf>
    <xf numFmtId="0" fontId="70" fillId="0" borderId="33" xfId="0" applyFont="1" applyFill="1" applyBorder="1" applyAlignment="1">
      <alignment horizontal="center" vertical="center"/>
    </xf>
    <xf numFmtId="0" fontId="71" fillId="0" borderId="34" xfId="0" applyFont="1" applyFill="1" applyBorder="1" applyAlignment="1">
      <alignment horizontal="center" vertical="center"/>
    </xf>
    <xf numFmtId="0" fontId="71" fillId="0" borderId="27" xfId="0" applyFont="1" applyFill="1" applyBorder="1" applyAlignment="1">
      <alignment horizontal="center" vertical="center"/>
    </xf>
    <xf numFmtId="0" fontId="71" fillId="0" borderId="35" xfId="0" applyFont="1" applyFill="1" applyBorder="1" applyAlignment="1">
      <alignment horizontal="center" vertical="center"/>
    </xf>
    <xf numFmtId="0" fontId="71" fillId="0" borderId="36" xfId="0" applyFont="1" applyFill="1" applyBorder="1" applyAlignment="1">
      <alignment horizontal="right" vertical="center"/>
    </xf>
    <xf numFmtId="0" fontId="71" fillId="0" borderId="37" xfId="0" applyFont="1" applyFill="1" applyBorder="1" applyAlignment="1">
      <alignment horizontal="right" vertical="center"/>
    </xf>
    <xf numFmtId="0" fontId="72" fillId="0" borderId="36" xfId="0" applyFont="1" applyFill="1" applyBorder="1" applyAlignment="1">
      <alignment horizontal="right" vertical="center"/>
    </xf>
    <xf numFmtId="0" fontId="72" fillId="0" borderId="0" xfId="0" applyFont="1" applyFill="1" applyAlignment="1">
      <alignment horizontal="right" vertical="center"/>
    </xf>
    <xf numFmtId="0" fontId="72" fillId="0" borderId="37" xfId="0" applyFont="1" applyFill="1" applyBorder="1" applyAlignment="1">
      <alignment horizontal="right" vertical="center"/>
    </xf>
    <xf numFmtId="0" fontId="71" fillId="0" borderId="31" xfId="0" applyFont="1" applyFill="1" applyBorder="1" applyAlignment="1">
      <alignment horizontal="center" vertical="center"/>
    </xf>
    <xf numFmtId="0" fontId="71" fillId="0" borderId="33" xfId="0" applyFont="1" applyFill="1" applyBorder="1" applyAlignment="1">
      <alignment horizontal="center" vertical="center"/>
    </xf>
    <xf numFmtId="0" fontId="71" fillId="0" borderId="25" xfId="0" applyFont="1" applyFill="1" applyBorder="1" applyAlignment="1">
      <alignment horizontal="center" vertical="center"/>
    </xf>
    <xf numFmtId="0" fontId="69" fillId="0" borderId="25" xfId="0" applyFont="1" applyFill="1" applyBorder="1" applyAlignment="1">
      <alignment vertical="center"/>
    </xf>
    <xf numFmtId="0" fontId="69" fillId="0" borderId="25" xfId="0" applyFont="1" applyFill="1" applyBorder="1" applyAlignment="1">
      <alignment horizontal="right" vertical="center"/>
    </xf>
    <xf numFmtId="0" fontId="54" fillId="0" borderId="0" xfId="0" applyFont="1" applyFill="1" applyAlignment="1">
      <alignment horizontal="right" vertical="top"/>
    </xf>
    <xf numFmtId="0" fontId="68" fillId="0" borderId="0" xfId="0" applyFont="1" applyFill="1" applyAlignment="1">
      <alignment vertical="top"/>
    </xf>
    <xf numFmtId="0" fontId="2" fillId="0" borderId="41" xfId="0" applyFont="1" applyBorder="1" applyAlignment="1">
      <alignment horizontal="center" wrapText="1"/>
    </xf>
    <xf numFmtId="0" fontId="2" fillId="0" borderId="46" xfId="0" applyFont="1" applyBorder="1" applyAlignment="1">
      <alignment horizontal="center" wrapText="1"/>
    </xf>
    <xf numFmtId="0" fontId="2" fillId="0" borderId="2" xfId="0" applyFont="1" applyBorder="1" applyAlignment="1">
      <alignment horizontal="center"/>
    </xf>
    <xf numFmtId="0" fontId="2" fillId="0" borderId="4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2" xfId="0" applyFont="1" applyBorder="1" applyAlignment="1">
      <alignment horizontal="center" wrapText="1"/>
    </xf>
    <xf numFmtId="0" fontId="2" fillId="0" borderId="42" xfId="0" applyFont="1" applyBorder="1" applyAlignment="1">
      <alignment horizontal="center" wrapText="1"/>
    </xf>
    <xf numFmtId="0" fontId="2" fillId="0" borderId="3" xfId="0" applyFont="1" applyBorder="1" applyAlignment="1">
      <alignment horizontal="center" wrapText="1"/>
    </xf>
    <xf numFmtId="0" fontId="2" fillId="0" borderId="40" xfId="0" applyFont="1" applyBorder="1" applyAlignment="1">
      <alignment horizontal="left" wrapText="1"/>
    </xf>
    <xf numFmtId="0" fontId="2" fillId="0" borderId="0" xfId="0" applyFont="1" applyBorder="1" applyAlignment="1">
      <alignment horizontal="left" wrapText="1"/>
    </xf>
    <xf numFmtId="0" fontId="2" fillId="0" borderId="14" xfId="0" applyFont="1" applyBorder="1" applyAlignment="1">
      <alignment horizontal="left" wrapText="1"/>
    </xf>
    <xf numFmtId="0" fontId="2" fillId="0" borderId="43" xfId="0" applyFont="1" applyBorder="1" applyAlignment="1">
      <alignment horizontal="center"/>
    </xf>
    <xf numFmtId="0" fontId="5" fillId="0" borderId="2" xfId="3" applyFont="1" applyFill="1" applyBorder="1" applyAlignment="1">
      <alignment horizontal="center"/>
    </xf>
    <xf numFmtId="0" fontId="5" fillId="0" borderId="19" xfId="3" applyFont="1" applyFill="1" applyBorder="1" applyAlignment="1">
      <alignment horizontal="center"/>
    </xf>
    <xf numFmtId="0" fontId="5" fillId="0" borderId="2" xfId="0" quotePrefix="1" applyFont="1" applyBorder="1" applyAlignment="1">
      <alignment horizontal="center"/>
    </xf>
    <xf numFmtId="0" fontId="5" fillId="0" borderId="3" xfId="0" quotePrefix="1" applyFont="1" applyBorder="1" applyAlignment="1">
      <alignment horizontal="center"/>
    </xf>
    <xf numFmtId="0" fontId="16" fillId="0" borderId="1" xfId="3" applyFont="1" applyBorder="1" applyAlignment="1">
      <alignment horizontal="center"/>
    </xf>
    <xf numFmtId="0" fontId="16" fillId="0" borderId="2" xfId="3" applyFont="1" applyBorder="1" applyAlignment="1">
      <alignment horizontal="center"/>
    </xf>
    <xf numFmtId="0" fontId="16" fillId="0" borderId="3" xfId="3" applyFont="1" applyBorder="1" applyAlignment="1">
      <alignment horizontal="center"/>
    </xf>
    <xf numFmtId="0" fontId="5" fillId="0" borderId="2" xfId="0" applyFont="1" applyFill="1" applyBorder="1" applyAlignment="1">
      <alignment horizontal="center"/>
    </xf>
    <xf numFmtId="0" fontId="5" fillId="0" borderId="3" xfId="0" applyFont="1" applyFill="1" applyBorder="1" applyAlignment="1">
      <alignment horizontal="center"/>
    </xf>
    <xf numFmtId="0" fontId="12" fillId="0" borderId="11" xfId="0" applyFont="1" applyBorder="1" applyAlignment="1">
      <alignment horizontal="center"/>
    </xf>
    <xf numFmtId="0" fontId="12" fillId="0" borderId="17" xfId="0" applyFont="1" applyBorder="1" applyAlignment="1">
      <alignment horizontal="center"/>
    </xf>
    <xf numFmtId="0" fontId="12" fillId="0" borderId="15" xfId="0" applyFont="1" applyBorder="1" applyAlignment="1">
      <alignment horizontal="left"/>
    </xf>
    <xf numFmtId="0" fontId="12" fillId="0" borderId="18" xfId="0" applyFont="1" applyBorder="1" applyAlignment="1">
      <alignment horizontal="left"/>
    </xf>
    <xf numFmtId="0" fontId="12" fillId="0" borderId="2" xfId="0" applyFont="1" applyFill="1" applyBorder="1" applyAlignment="1">
      <alignment horizontal="center"/>
    </xf>
    <xf numFmtId="0" fontId="12" fillId="0" borderId="19" xfId="0" applyFont="1" applyFill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9" fillId="0" borderId="11" xfId="0" applyFont="1" applyBorder="1" applyAlignment="1">
      <alignment horizontal="center"/>
    </xf>
    <xf numFmtId="0" fontId="9" fillId="0" borderId="12" xfId="0" applyFont="1" applyBorder="1" applyAlignment="1">
      <alignment horizontal="center"/>
    </xf>
    <xf numFmtId="0" fontId="23" fillId="0" borderId="2" xfId="0" applyFont="1" applyBorder="1" applyAlignment="1">
      <alignment horizontal="center"/>
    </xf>
    <xf numFmtId="0" fontId="23" fillId="0" borderId="3" xfId="0" applyFont="1" applyBorder="1" applyAlignment="1">
      <alignment horizontal="center"/>
    </xf>
  </cellXfs>
  <cellStyles count="6">
    <cellStyle name="Normal" xfId="0" builtinId="0"/>
    <cellStyle name="Normal 6" xfId="3"/>
    <cellStyle name="Porcentagem" xfId="2" builtinId="5"/>
    <cellStyle name="Porcentagem 3" xfId="4"/>
    <cellStyle name="Vírgula" xfId="1" builtinId="3"/>
    <cellStyle name="Vírgula 3" xf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externalLink" Target="externalLinks/externalLink2.xml"/><Relationship Id="rId30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95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pt-BR" sz="1950" b="1" i="0" u="none" strike="noStrike" baseline="0"/>
              <a:t>Julho de 2022 a Junho de 2023</a:t>
            </a:r>
            <a:endParaRPr lang="pt-BR"/>
          </a:p>
        </c:rich>
      </c:tx>
      <c:layout>
        <c:manualLayout>
          <c:xMode val="edge"/>
          <c:yMode val="edge"/>
          <c:x val="0.29021563793888494"/>
          <c:y val="4.9501196456403433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478047796284399"/>
          <c:y val="0.17138589988039996"/>
          <c:w val="0.85117366903648162"/>
          <c:h val="0.57263216759063251"/>
        </c:manualLayout>
      </c:layout>
      <c:lineChart>
        <c:grouping val="standard"/>
        <c:varyColors val="0"/>
        <c:ser>
          <c:idx val="0"/>
          <c:order val="0"/>
          <c:tx>
            <c:v>Realizado</c:v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val>
            <c:numRef>
              <c:f>DCLP_RCL!$D$7:$O$7</c:f>
              <c:numCache>
                <c:formatCode>0.00%</c:formatCode>
                <c:ptCount val="12"/>
                <c:pt idx="0">
                  <c:v>0.80365657894223941</c:v>
                </c:pt>
                <c:pt idx="1">
                  <c:v>0.68048402062014646</c:v>
                </c:pt>
                <c:pt idx="2">
                  <c:v>0.72811254764514255</c:v>
                </c:pt>
                <c:pt idx="3">
                  <c:v>0.67756119208179932</c:v>
                </c:pt>
                <c:pt idx="4">
                  <c:v>0.76461507789620986</c:v>
                </c:pt>
                <c:pt idx="5">
                  <c:v>0.6858148377171962</c:v>
                </c:pt>
                <c:pt idx="6">
                  <c:v>0.93906079528341824</c:v>
                </c:pt>
                <c:pt idx="7">
                  <c:v>0.82805225448166397</c:v>
                </c:pt>
                <c:pt idx="8">
                  <c:v>0.78240975530745471</c:v>
                </c:pt>
                <c:pt idx="9">
                  <c:v>0.81282517436560586</c:v>
                </c:pt>
                <c:pt idx="10">
                  <c:v>0.8282049164142754</c:v>
                </c:pt>
                <c:pt idx="11">
                  <c:v>0.6991168711825787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A86-4E96-B63B-6E9912607888}"/>
            </c:ext>
          </c:extLst>
        </c:ser>
        <c:ser>
          <c:idx val="1"/>
          <c:order val="1"/>
          <c:tx>
            <c:v>Limite: 54,00%</c:v>
          </c:tx>
          <c:spPr>
            <a:ln w="12700">
              <a:solidFill>
                <a:srgbClr val="FF00FF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FF00FF"/>
              </a:solidFill>
              <a:ln>
                <a:solidFill>
                  <a:srgbClr val="FF00FF"/>
                </a:solidFill>
                <a:prstDash val="solid"/>
              </a:ln>
            </c:spPr>
          </c:marker>
          <c:val>
            <c:numRef>
              <c:f>[1]Plan1!$D$9:$O$9</c:f>
              <c:numCache>
                <c:formatCode>General</c:formatCode>
                <c:ptCount val="12"/>
                <c:pt idx="0">
                  <c:v>0.54</c:v>
                </c:pt>
                <c:pt idx="1">
                  <c:v>0.54</c:v>
                </c:pt>
                <c:pt idx="2">
                  <c:v>0.54</c:v>
                </c:pt>
                <c:pt idx="3">
                  <c:v>0.54</c:v>
                </c:pt>
                <c:pt idx="4">
                  <c:v>0.54</c:v>
                </c:pt>
                <c:pt idx="5">
                  <c:v>0.54</c:v>
                </c:pt>
                <c:pt idx="6">
                  <c:v>0.54</c:v>
                </c:pt>
                <c:pt idx="7">
                  <c:v>0.54</c:v>
                </c:pt>
                <c:pt idx="8">
                  <c:v>0.54</c:v>
                </c:pt>
                <c:pt idx="9">
                  <c:v>0.54</c:v>
                </c:pt>
                <c:pt idx="10">
                  <c:v>0.54</c:v>
                </c:pt>
                <c:pt idx="11">
                  <c:v>0.54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5A86-4E96-B63B-6E991260788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10553728"/>
        <c:axId val="111031808"/>
      </c:lineChart>
      <c:catAx>
        <c:axId val="11055372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6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pt-BR"/>
                  <a:t>Meses</a:t>
                </a:r>
              </a:p>
            </c:rich>
          </c:tx>
          <c:layout>
            <c:manualLayout>
              <c:xMode val="edge"/>
              <c:yMode val="edge"/>
              <c:x val="0.51061638571769485"/>
              <c:y val="0.88842189428310803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6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pt-BR"/>
          </a:p>
        </c:txPr>
        <c:crossAx val="11103180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1103180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175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pt-BR"/>
                  <a:t>Despesa Líquida com Pessoal</a:t>
                </a:r>
              </a:p>
            </c:rich>
          </c:tx>
          <c:layout>
            <c:manualLayout>
              <c:xMode val="edge"/>
              <c:yMode val="edge"/>
              <c:x val="1.6985323643056306E-2"/>
              <c:y val="0.24631613101343475"/>
            </c:manualLayout>
          </c:layout>
          <c:overlay val="0"/>
          <c:spPr>
            <a:noFill/>
            <a:ln w="25400">
              <a:noFill/>
            </a:ln>
          </c:spPr>
        </c:title>
        <c:numFmt formatCode="0.00%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2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pt-BR"/>
          </a:p>
        </c:txPr>
        <c:crossAx val="110553728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legend>
      <c:legendPos val="t"/>
      <c:layout>
        <c:manualLayout>
          <c:xMode val="edge"/>
          <c:yMode val="edge"/>
          <c:x val="0.82683005049903235"/>
          <c:y val="2.9473501242808224E-2"/>
          <c:w val="0.13375806747560814"/>
          <c:h val="9.052649875719998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1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pt-B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6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pt-BR"/>
    </a:p>
  </c:txPr>
  <c:printSettings>
    <c:headerFooter alignWithMargins="0"/>
    <c:pageMargins b="0.98425196899999956" l="0.78740157499999996" r="0.78740157499999996" t="0.98425196899999956" header="0.49212598500001653" footer="0.49212598500001653"/>
    <c:pageSetup paperSize="9" orientation="landscape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3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pt-BR"/>
              <a:t>Termômetro de Cruz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RESULTADO</c:v>
          </c:tx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[2]CRUZ!$J$102:$J$117</c:f>
              <c:numCache>
                <c:formatCode>General</c:formatCode>
                <c:ptCount val="16"/>
                <c:pt idx="0">
                  <c:v>59301.533333333209</c:v>
                </c:pt>
                <c:pt idx="1">
                  <c:v>-28113.66333333333</c:v>
                </c:pt>
                <c:pt idx="2">
                  <c:v>-8269.1199999999953</c:v>
                </c:pt>
                <c:pt idx="3">
                  <c:v>5654.826666666675</c:v>
                </c:pt>
                <c:pt idx="4">
                  <c:v>-70756.576666666893</c:v>
                </c:pt>
                <c:pt idx="5">
                  <c:v>13654.580000000016</c:v>
                </c:pt>
                <c:pt idx="6">
                  <c:v>78357.869999999966</c:v>
                </c:pt>
                <c:pt idx="7">
                  <c:v>-182954.47666666657</c:v>
                </c:pt>
                <c:pt idx="8">
                  <c:v>-129513.63666666579</c:v>
                </c:pt>
                <c:pt idx="9">
                  <c:v>88479.670000000391</c:v>
                </c:pt>
                <c:pt idx="10">
                  <c:v>80146.053333333286</c:v>
                </c:pt>
                <c:pt idx="11">
                  <c:v>104245.48333333328</c:v>
                </c:pt>
                <c:pt idx="12">
                  <c:v>7241.7066666666651</c:v>
                </c:pt>
                <c:pt idx="13">
                  <c:v>35295.373333333329</c:v>
                </c:pt>
                <c:pt idx="14">
                  <c:v>217853.67333333334</c:v>
                </c:pt>
                <c:pt idx="15">
                  <c:v>-176204.25333333411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A4C-4BA4-9013-72AA481CD1D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10425984"/>
        <c:axId val="110427520"/>
      </c:barChart>
      <c:catAx>
        <c:axId val="11042598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pt-BR"/>
          </a:p>
        </c:txPr>
        <c:crossAx val="1104275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1042752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pt-BR"/>
          </a:p>
        </c:txPr>
        <c:crossAx val="110425984"/>
        <c:crosses val="autoZero"/>
        <c:crossBetween val="between"/>
      </c:valAx>
      <c:spPr>
        <a:noFill/>
        <a:ln w="12700">
          <a:solidFill>
            <a:srgbClr val="808080"/>
          </a:solidFill>
          <a:prstDash val="solid"/>
        </a:ln>
      </c:spPr>
    </c:plotArea>
    <c:legend>
      <c:legendPos val="t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00" b="1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pt-B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3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pt-BR"/>
    </a:p>
  </c:txPr>
  <c:printSettings>
    <c:headerFooter alignWithMargins="0"/>
    <c:pageMargins b="0.98425196899999956" l="0.78740157499999996" r="0.78740157499999996" t="0.98425196899999956" header="0.49212598500001664" footer="0.49212598500001664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3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pt-BR"/>
              <a:t>Termômetro de Cruz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RESULTADO</c:v>
          </c:tx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[2]CRUZ!$J$192:$J$207</c:f>
              <c:numCache>
                <c:formatCode>General</c:formatCode>
                <c:ptCount val="16"/>
                <c:pt idx="0">
                  <c:v>67808.04999999993</c:v>
                </c:pt>
                <c:pt idx="1">
                  <c:v>18918.219999999972</c:v>
                </c:pt>
                <c:pt idx="2">
                  <c:v>9857.5100000000093</c:v>
                </c:pt>
                <c:pt idx="3">
                  <c:v>1006.5599999999977</c:v>
                </c:pt>
                <c:pt idx="4">
                  <c:v>249769.87999999989</c:v>
                </c:pt>
                <c:pt idx="5">
                  <c:v>29268.719999999972</c:v>
                </c:pt>
                <c:pt idx="6">
                  <c:v>13008.560000000056</c:v>
                </c:pt>
                <c:pt idx="7">
                  <c:v>101946.72999999998</c:v>
                </c:pt>
                <c:pt idx="8">
                  <c:v>533680.19999999925</c:v>
                </c:pt>
                <c:pt idx="9">
                  <c:v>378077.09999999963</c:v>
                </c:pt>
                <c:pt idx="10">
                  <c:v>35528.70000000007</c:v>
                </c:pt>
                <c:pt idx="11">
                  <c:v>60700.789999999804</c:v>
                </c:pt>
                <c:pt idx="12">
                  <c:v>23912.360000000102</c:v>
                </c:pt>
                <c:pt idx="13">
                  <c:v>7234.86</c:v>
                </c:pt>
                <c:pt idx="14">
                  <c:v>222838.98999999976</c:v>
                </c:pt>
                <c:pt idx="15">
                  <c:v>-676947.98000000138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AFC-46CF-96CD-4E793041592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10251008"/>
        <c:axId val="110265088"/>
      </c:barChart>
      <c:catAx>
        <c:axId val="11025100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pt-BR"/>
          </a:p>
        </c:txPr>
        <c:crossAx val="1102650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1026508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pt-BR"/>
          </a:p>
        </c:txPr>
        <c:crossAx val="110251008"/>
        <c:crosses val="autoZero"/>
        <c:crossBetween val="between"/>
      </c:valAx>
      <c:spPr>
        <a:noFill/>
        <a:ln w="12700">
          <a:solidFill>
            <a:srgbClr val="808080"/>
          </a:solidFill>
          <a:prstDash val="solid"/>
        </a:ln>
      </c:spPr>
    </c:plotArea>
    <c:legend>
      <c:legendPos val="t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00" b="1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pt-B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pt-BR"/>
    </a:p>
  </c:txPr>
  <c:printSettings>
    <c:headerFooter alignWithMargins="0"/>
    <c:pageMargins b="0.98425196899999956" l="0.78740157499999996" r="0.78740157499999996" t="0.98425196899999956" header="0.49212598500001664" footer="0.49212598500001664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pt-BR"/>
              <a:t>Termometro de Cruz</a:t>
            </a:r>
          </a:p>
        </c:rich>
      </c:tx>
      <c:layout>
        <c:manualLayout>
          <c:xMode val="edge"/>
          <c:yMode val="edge"/>
          <c:x val="0.38213951629748732"/>
          <c:y val="2.8571514767550609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2980283152707991"/>
          <c:y val="0.22285755739873017"/>
          <c:w val="0.82866127646892074"/>
          <c:h val="0.72952516652746768"/>
        </c:manualLayout>
      </c:layout>
      <c:barChart>
        <c:barDir val="col"/>
        <c:grouping val="clustered"/>
        <c:varyColors val="0"/>
        <c:ser>
          <c:idx val="0"/>
          <c:order val="0"/>
          <c:tx>
            <c:v>Resultado</c:v>
          </c:tx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Cruz!$K$11:$K$26</c:f>
              <c:numCache>
                <c:formatCode>_(* #,##0.00_);_(* \(#,##0.00\);_(* "-"??_);_(@_)</c:formatCode>
                <c:ptCount val="16"/>
                <c:pt idx="0">
                  <c:v>14.036293215207129</c:v>
                </c:pt>
                <c:pt idx="1">
                  <c:v>12.010593513427695</c:v>
                </c:pt>
                <c:pt idx="2">
                  <c:v>56.90712115393265</c:v>
                </c:pt>
                <c:pt idx="3">
                  <c:v>-9.4000233243198856</c:v>
                </c:pt>
                <c:pt idx="4">
                  <c:v>-4.1825077771402484</c:v>
                </c:pt>
                <c:pt idx="5">
                  <c:v>15.230280235011708</c:v>
                </c:pt>
                <c:pt idx="6">
                  <c:v>16.245771739826772</c:v>
                </c:pt>
                <c:pt idx="7">
                  <c:v>34.838831218912702</c:v>
                </c:pt>
                <c:pt idx="8">
                  <c:v>2.81774986213818</c:v>
                </c:pt>
                <c:pt idx="9">
                  <c:v>14.361403060708176</c:v>
                </c:pt>
                <c:pt idx="10">
                  <c:v>20.435440290906577</c:v>
                </c:pt>
                <c:pt idx="11">
                  <c:v>-21.736207431295774</c:v>
                </c:pt>
                <c:pt idx="12">
                  <c:v>31.360138822727059</c:v>
                </c:pt>
                <c:pt idx="13">
                  <c:v>100</c:v>
                </c:pt>
                <c:pt idx="14">
                  <c:v>29.545736821578554</c:v>
                </c:pt>
                <c:pt idx="15">
                  <c:v>13.859413214063149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2D5-415B-963B-60748233E46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10293376"/>
        <c:axId val="110294912"/>
      </c:barChart>
      <c:catAx>
        <c:axId val="11029337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2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pt-BR"/>
          </a:p>
        </c:txPr>
        <c:crossAx val="11029491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1029491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_(* #,##0.00_);_(* \(#,##0.00\);_(* &quot;-&quot;??_);_(@_)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pt-BR"/>
          </a:p>
        </c:txPr>
        <c:crossAx val="11029337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legend>
      <c:legendPos val="t"/>
      <c:layout>
        <c:manualLayout>
          <c:xMode val="edge"/>
          <c:yMode val="edge"/>
          <c:x val="0.73208802186923849"/>
          <c:y val="3.0476161744149802E-2"/>
          <c:w val="0.15057116130379897"/>
          <c:h val="6.8571715891835361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0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pt-B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pt-BR"/>
    </a:p>
  </c:txPr>
  <c:printSettings>
    <c:headerFooter alignWithMargins="0"/>
    <c:pageMargins b="0.98425196899999956" l="0.78740157499999996" r="0.78740157499999996" t="0.98425196899999956" header="0.49212598500001664" footer="0.49212598500001664"/>
    <c:pageSetup paperSize="9" orientation="landscape"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2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chart" Target="../charts/chart4.xml"/><Relationship Id="rId2" Type="http://schemas.openxmlformats.org/officeDocument/2006/relationships/chart" Target="../charts/chart3.xml"/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0</xdr:colOff>
      <xdr:row>43</xdr:row>
      <xdr:rowOff>0</xdr:rowOff>
    </xdr:from>
    <xdr:to>
      <xdr:col>13</xdr:col>
      <xdr:colOff>142875</xdr:colOff>
      <xdr:row>44</xdr:row>
      <xdr:rowOff>0</xdr:rowOff>
    </xdr:to>
    <xdr:pic>
      <xdr:nvPicPr>
        <xdr:cNvPr id="2" name="Picture 1" descr="image00001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039100" y="6343650"/>
          <a:ext cx="1285875" cy="133350"/>
        </a:xfrm>
        <a:prstGeom prst="rect">
          <a:avLst/>
        </a:prstGeom>
      </xdr:spPr>
    </xdr:pic>
    <xdr:clientData/>
  </xdr:twoCellAnchor>
  <xdr:twoCellAnchor editAs="oneCell">
    <xdr:from>
      <xdr:col>9</xdr:col>
      <xdr:colOff>0</xdr:colOff>
      <xdr:row>114</xdr:row>
      <xdr:rowOff>0</xdr:rowOff>
    </xdr:from>
    <xdr:to>
      <xdr:col>13</xdr:col>
      <xdr:colOff>142875</xdr:colOff>
      <xdr:row>115</xdr:row>
      <xdr:rowOff>0</xdr:rowOff>
    </xdr:to>
    <xdr:pic>
      <xdr:nvPicPr>
        <xdr:cNvPr id="3" name="Picture 2" descr="image00002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039100" y="19573875"/>
          <a:ext cx="1285875" cy="142875"/>
        </a:xfrm>
        <a:prstGeom prst="rect">
          <a:avLst/>
        </a:prstGeom>
      </xdr:spPr>
    </xdr:pic>
    <xdr:clientData/>
  </xdr:twoCellAnchor>
  <xdr:twoCellAnchor editAs="oneCell">
    <xdr:from>
      <xdr:col>9</xdr:col>
      <xdr:colOff>0</xdr:colOff>
      <xdr:row>145</xdr:row>
      <xdr:rowOff>0</xdr:rowOff>
    </xdr:from>
    <xdr:to>
      <xdr:col>13</xdr:col>
      <xdr:colOff>142875</xdr:colOff>
      <xdr:row>146</xdr:row>
      <xdr:rowOff>0</xdr:rowOff>
    </xdr:to>
    <xdr:pic>
      <xdr:nvPicPr>
        <xdr:cNvPr id="4" name="Picture 3" descr="image00003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039100" y="24603075"/>
          <a:ext cx="1285875" cy="142875"/>
        </a:xfrm>
        <a:prstGeom prst="rect">
          <a:avLst/>
        </a:prstGeom>
      </xdr:spPr>
    </xdr:pic>
    <xdr:clientData/>
  </xdr:twoCellAnchor>
  <xdr:twoCellAnchor editAs="oneCell">
    <xdr:from>
      <xdr:col>9</xdr:col>
      <xdr:colOff>0</xdr:colOff>
      <xdr:row>171</xdr:row>
      <xdr:rowOff>0</xdr:rowOff>
    </xdr:from>
    <xdr:to>
      <xdr:col>13</xdr:col>
      <xdr:colOff>142875</xdr:colOff>
      <xdr:row>172</xdr:row>
      <xdr:rowOff>0</xdr:rowOff>
    </xdr:to>
    <xdr:pic>
      <xdr:nvPicPr>
        <xdr:cNvPr id="5" name="Picture 4" descr="image00004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039100" y="28927425"/>
          <a:ext cx="1285875" cy="142875"/>
        </a:xfrm>
        <a:prstGeom prst="rect">
          <a:avLst/>
        </a:prstGeom>
      </xdr:spPr>
    </xdr:pic>
    <xdr:clientData/>
  </xdr:twoCellAnchor>
  <xdr:twoCellAnchor editAs="oneCell">
    <xdr:from>
      <xdr:col>9</xdr:col>
      <xdr:colOff>0</xdr:colOff>
      <xdr:row>43</xdr:row>
      <xdr:rowOff>0</xdr:rowOff>
    </xdr:from>
    <xdr:to>
      <xdr:col>12</xdr:col>
      <xdr:colOff>285750</xdr:colOff>
      <xdr:row>44</xdr:row>
      <xdr:rowOff>0</xdr:rowOff>
    </xdr:to>
    <xdr:pic>
      <xdr:nvPicPr>
        <xdr:cNvPr id="6" name="Picture 1" descr="image00001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039100" y="6343650"/>
          <a:ext cx="1285875" cy="133350"/>
        </a:xfrm>
        <a:prstGeom prst="rect">
          <a:avLst/>
        </a:prstGeom>
      </xdr:spPr>
    </xdr:pic>
    <xdr:clientData/>
  </xdr:twoCellAnchor>
  <xdr:twoCellAnchor editAs="oneCell">
    <xdr:from>
      <xdr:col>9</xdr:col>
      <xdr:colOff>0</xdr:colOff>
      <xdr:row>114</xdr:row>
      <xdr:rowOff>0</xdr:rowOff>
    </xdr:from>
    <xdr:to>
      <xdr:col>12</xdr:col>
      <xdr:colOff>285750</xdr:colOff>
      <xdr:row>115</xdr:row>
      <xdr:rowOff>0</xdr:rowOff>
    </xdr:to>
    <xdr:pic>
      <xdr:nvPicPr>
        <xdr:cNvPr id="7" name="Picture 2" descr="image00002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039100" y="19573875"/>
          <a:ext cx="1285875" cy="142875"/>
        </a:xfrm>
        <a:prstGeom prst="rect">
          <a:avLst/>
        </a:prstGeom>
      </xdr:spPr>
    </xdr:pic>
    <xdr:clientData/>
  </xdr:twoCellAnchor>
  <xdr:twoCellAnchor editAs="oneCell">
    <xdr:from>
      <xdr:col>9</xdr:col>
      <xdr:colOff>0</xdr:colOff>
      <xdr:row>145</xdr:row>
      <xdr:rowOff>0</xdr:rowOff>
    </xdr:from>
    <xdr:to>
      <xdr:col>12</xdr:col>
      <xdr:colOff>285750</xdr:colOff>
      <xdr:row>146</xdr:row>
      <xdr:rowOff>0</xdr:rowOff>
    </xdr:to>
    <xdr:pic>
      <xdr:nvPicPr>
        <xdr:cNvPr id="8" name="Picture 3" descr="image00003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039100" y="24603075"/>
          <a:ext cx="1285875" cy="142875"/>
        </a:xfrm>
        <a:prstGeom prst="rect">
          <a:avLst/>
        </a:prstGeom>
      </xdr:spPr>
    </xdr:pic>
    <xdr:clientData/>
  </xdr:twoCellAnchor>
  <xdr:twoCellAnchor editAs="oneCell">
    <xdr:from>
      <xdr:col>9</xdr:col>
      <xdr:colOff>0</xdr:colOff>
      <xdr:row>171</xdr:row>
      <xdr:rowOff>0</xdr:rowOff>
    </xdr:from>
    <xdr:to>
      <xdr:col>12</xdr:col>
      <xdr:colOff>285750</xdr:colOff>
      <xdr:row>172</xdr:row>
      <xdr:rowOff>0</xdr:rowOff>
    </xdr:to>
    <xdr:pic>
      <xdr:nvPicPr>
        <xdr:cNvPr id="9" name="Picture 4" descr="image00004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039100" y="28927425"/>
          <a:ext cx="1285875" cy="14287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0</xdr:colOff>
      <xdr:row>114</xdr:row>
      <xdr:rowOff>0</xdr:rowOff>
    </xdr:from>
    <xdr:to>
      <xdr:col>11</xdr:col>
      <xdr:colOff>666750</xdr:colOff>
      <xdr:row>115</xdr:row>
      <xdr:rowOff>0</xdr:rowOff>
    </xdr:to>
    <xdr:pic>
      <xdr:nvPicPr>
        <xdr:cNvPr id="3" name="Picture 2" descr="image00002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039100" y="19573875"/>
          <a:ext cx="1285875" cy="142875"/>
        </a:xfrm>
        <a:prstGeom prst="rect">
          <a:avLst/>
        </a:prstGeom>
      </xdr:spPr>
    </xdr:pic>
    <xdr:clientData/>
  </xdr:twoCellAnchor>
  <xdr:twoCellAnchor editAs="oneCell">
    <xdr:from>
      <xdr:col>9</xdr:col>
      <xdr:colOff>0</xdr:colOff>
      <xdr:row>145</xdr:row>
      <xdr:rowOff>0</xdr:rowOff>
    </xdr:from>
    <xdr:to>
      <xdr:col>11</xdr:col>
      <xdr:colOff>666750</xdr:colOff>
      <xdr:row>146</xdr:row>
      <xdr:rowOff>0</xdr:rowOff>
    </xdr:to>
    <xdr:pic>
      <xdr:nvPicPr>
        <xdr:cNvPr id="4" name="Picture 3" descr="image00003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039100" y="24603075"/>
          <a:ext cx="1285875" cy="142875"/>
        </a:xfrm>
        <a:prstGeom prst="rect">
          <a:avLst/>
        </a:prstGeom>
      </xdr:spPr>
    </xdr:pic>
    <xdr:clientData/>
  </xdr:twoCellAnchor>
  <xdr:twoCellAnchor editAs="oneCell">
    <xdr:from>
      <xdr:col>9</xdr:col>
      <xdr:colOff>0</xdr:colOff>
      <xdr:row>114</xdr:row>
      <xdr:rowOff>0</xdr:rowOff>
    </xdr:from>
    <xdr:to>
      <xdr:col>12</xdr:col>
      <xdr:colOff>0</xdr:colOff>
      <xdr:row>115</xdr:row>
      <xdr:rowOff>0</xdr:rowOff>
    </xdr:to>
    <xdr:pic>
      <xdr:nvPicPr>
        <xdr:cNvPr id="7" name="Picture 2" descr="image00002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039100" y="19573875"/>
          <a:ext cx="1285875" cy="142875"/>
        </a:xfrm>
        <a:prstGeom prst="rect">
          <a:avLst/>
        </a:prstGeom>
      </xdr:spPr>
    </xdr:pic>
    <xdr:clientData/>
  </xdr:twoCellAnchor>
  <xdr:twoCellAnchor editAs="oneCell">
    <xdr:from>
      <xdr:col>9</xdr:col>
      <xdr:colOff>0</xdr:colOff>
      <xdr:row>145</xdr:row>
      <xdr:rowOff>0</xdr:rowOff>
    </xdr:from>
    <xdr:to>
      <xdr:col>12</xdr:col>
      <xdr:colOff>0</xdr:colOff>
      <xdr:row>146</xdr:row>
      <xdr:rowOff>0</xdr:rowOff>
    </xdr:to>
    <xdr:pic>
      <xdr:nvPicPr>
        <xdr:cNvPr id="8" name="Picture 3" descr="image00003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039100" y="24603075"/>
          <a:ext cx="1285875" cy="142875"/>
        </a:xfrm>
        <a:prstGeom prst="rect">
          <a:avLst/>
        </a:prstGeom>
      </xdr:spPr>
    </xdr:pic>
    <xdr:clientData/>
  </xdr:twoCellAnchor>
  <xdr:twoCellAnchor editAs="oneCell">
    <xdr:from>
      <xdr:col>9</xdr:col>
      <xdr:colOff>0</xdr:colOff>
      <xdr:row>43</xdr:row>
      <xdr:rowOff>0</xdr:rowOff>
    </xdr:from>
    <xdr:to>
      <xdr:col>11</xdr:col>
      <xdr:colOff>323850</xdr:colOff>
      <xdr:row>44</xdr:row>
      <xdr:rowOff>0</xdr:rowOff>
    </xdr:to>
    <xdr:pic>
      <xdr:nvPicPr>
        <xdr:cNvPr id="6" name="Picture 1" descr="image00001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039100" y="6343650"/>
          <a:ext cx="1285875" cy="133350"/>
        </a:xfrm>
        <a:prstGeom prst="rect">
          <a:avLst/>
        </a:prstGeom>
      </xdr:spPr>
    </xdr:pic>
    <xdr:clientData/>
  </xdr:twoCellAnchor>
  <xdr:twoCellAnchor editAs="oneCell">
    <xdr:from>
      <xdr:col>9</xdr:col>
      <xdr:colOff>0</xdr:colOff>
      <xdr:row>114</xdr:row>
      <xdr:rowOff>0</xdr:rowOff>
    </xdr:from>
    <xdr:to>
      <xdr:col>11</xdr:col>
      <xdr:colOff>323850</xdr:colOff>
      <xdr:row>115</xdr:row>
      <xdr:rowOff>0</xdr:rowOff>
    </xdr:to>
    <xdr:pic>
      <xdr:nvPicPr>
        <xdr:cNvPr id="9" name="Picture 2" descr="image00002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039100" y="19573875"/>
          <a:ext cx="1285875" cy="142875"/>
        </a:xfrm>
        <a:prstGeom prst="rect">
          <a:avLst/>
        </a:prstGeom>
      </xdr:spPr>
    </xdr:pic>
    <xdr:clientData/>
  </xdr:twoCellAnchor>
  <xdr:twoCellAnchor editAs="oneCell">
    <xdr:from>
      <xdr:col>9</xdr:col>
      <xdr:colOff>0</xdr:colOff>
      <xdr:row>145</xdr:row>
      <xdr:rowOff>0</xdr:rowOff>
    </xdr:from>
    <xdr:to>
      <xdr:col>11</xdr:col>
      <xdr:colOff>323850</xdr:colOff>
      <xdr:row>146</xdr:row>
      <xdr:rowOff>0</xdr:rowOff>
    </xdr:to>
    <xdr:pic>
      <xdr:nvPicPr>
        <xdr:cNvPr id="10" name="Picture 3" descr="image00003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039100" y="24603075"/>
          <a:ext cx="1285875" cy="142875"/>
        </a:xfrm>
        <a:prstGeom prst="rect">
          <a:avLst/>
        </a:prstGeom>
      </xdr:spPr>
    </xdr:pic>
    <xdr:clientData/>
  </xdr:twoCellAnchor>
  <xdr:twoCellAnchor editAs="oneCell">
    <xdr:from>
      <xdr:col>9</xdr:col>
      <xdr:colOff>0</xdr:colOff>
      <xdr:row>171</xdr:row>
      <xdr:rowOff>0</xdr:rowOff>
    </xdr:from>
    <xdr:to>
      <xdr:col>11</xdr:col>
      <xdr:colOff>323850</xdr:colOff>
      <xdr:row>172</xdr:row>
      <xdr:rowOff>0</xdr:rowOff>
    </xdr:to>
    <xdr:pic>
      <xdr:nvPicPr>
        <xdr:cNvPr id="11" name="Picture 4" descr="image00004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039100" y="28927425"/>
          <a:ext cx="1285875" cy="14287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19</xdr:col>
      <xdr:colOff>0</xdr:colOff>
      <xdr:row>69</xdr:row>
      <xdr:rowOff>0</xdr:rowOff>
    </xdr:from>
    <xdr:to>
      <xdr:col>36</xdr:col>
      <xdr:colOff>323850</xdr:colOff>
      <xdr:row>70</xdr:row>
      <xdr:rowOff>0</xdr:rowOff>
    </xdr:to>
    <xdr:pic>
      <xdr:nvPicPr>
        <xdr:cNvPr id="2" name="Picture 1" descr="image00001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610350" y="9915525"/>
          <a:ext cx="1333500" cy="219075"/>
        </a:xfrm>
        <a:prstGeom prst="rect">
          <a:avLst/>
        </a:prstGeom>
      </xdr:spPr>
    </xdr:pic>
    <xdr:clientData/>
  </xdr:twoCellAnchor>
  <xdr:twoCellAnchor editAs="oneCell">
    <xdr:from>
      <xdr:col>27</xdr:col>
      <xdr:colOff>0</xdr:colOff>
      <xdr:row>69</xdr:row>
      <xdr:rowOff>0</xdr:rowOff>
    </xdr:from>
    <xdr:to>
      <xdr:col>36</xdr:col>
      <xdr:colOff>438150</xdr:colOff>
      <xdr:row>70</xdr:row>
      <xdr:rowOff>0</xdr:rowOff>
    </xdr:to>
    <xdr:pic>
      <xdr:nvPicPr>
        <xdr:cNvPr id="3" name="Picture 2" descr="image00002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7943850" y="9915525"/>
          <a:ext cx="1390650" cy="219075"/>
        </a:xfrm>
        <a:prstGeom prst="rect">
          <a:avLst/>
        </a:prstGeom>
      </xdr:spPr>
    </xdr:pic>
    <xdr:clientData/>
  </xdr:twoCellAnchor>
  <xdr:twoCellAnchor editAs="oneCell">
    <xdr:from>
      <xdr:col>27</xdr:col>
      <xdr:colOff>0</xdr:colOff>
      <xdr:row>70</xdr:row>
      <xdr:rowOff>0</xdr:rowOff>
    </xdr:from>
    <xdr:to>
      <xdr:col>36</xdr:col>
      <xdr:colOff>438150</xdr:colOff>
      <xdr:row>71</xdr:row>
      <xdr:rowOff>0</xdr:rowOff>
    </xdr:to>
    <xdr:pic>
      <xdr:nvPicPr>
        <xdr:cNvPr id="4" name="Picture 3" descr="image00003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7943850" y="10134600"/>
          <a:ext cx="1390650" cy="209550"/>
        </a:xfrm>
        <a:prstGeom prst="rect">
          <a:avLst/>
        </a:prstGeom>
      </xdr:spPr>
    </xdr:pic>
    <xdr:clientData/>
  </xdr:twoCellAnchor>
  <xdr:twoCellAnchor editAs="oneCell">
    <xdr:from>
      <xdr:col>19</xdr:col>
      <xdr:colOff>0</xdr:colOff>
      <xdr:row>69</xdr:row>
      <xdr:rowOff>0</xdr:rowOff>
    </xdr:from>
    <xdr:to>
      <xdr:col>27</xdr:col>
      <xdr:colOff>0</xdr:colOff>
      <xdr:row>70</xdr:row>
      <xdr:rowOff>0</xdr:rowOff>
    </xdr:to>
    <xdr:pic>
      <xdr:nvPicPr>
        <xdr:cNvPr id="5" name="Picture 1" descr="image00001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610350" y="9915525"/>
          <a:ext cx="1333500" cy="219075"/>
        </a:xfrm>
        <a:prstGeom prst="rect">
          <a:avLst/>
        </a:prstGeom>
      </xdr:spPr>
    </xdr:pic>
    <xdr:clientData/>
  </xdr:twoCellAnchor>
  <xdr:twoCellAnchor editAs="oneCell">
    <xdr:from>
      <xdr:col>27</xdr:col>
      <xdr:colOff>0</xdr:colOff>
      <xdr:row>69</xdr:row>
      <xdr:rowOff>0</xdr:rowOff>
    </xdr:from>
    <xdr:to>
      <xdr:col>33</xdr:col>
      <xdr:colOff>0</xdr:colOff>
      <xdr:row>70</xdr:row>
      <xdr:rowOff>0</xdr:rowOff>
    </xdr:to>
    <xdr:pic>
      <xdr:nvPicPr>
        <xdr:cNvPr id="6" name="Picture 2" descr="image00002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7943850" y="9915525"/>
          <a:ext cx="1390650" cy="219075"/>
        </a:xfrm>
        <a:prstGeom prst="rect">
          <a:avLst/>
        </a:prstGeom>
      </xdr:spPr>
    </xdr:pic>
    <xdr:clientData/>
  </xdr:twoCellAnchor>
  <xdr:twoCellAnchor editAs="oneCell">
    <xdr:from>
      <xdr:col>27</xdr:col>
      <xdr:colOff>0</xdr:colOff>
      <xdr:row>70</xdr:row>
      <xdr:rowOff>0</xdr:rowOff>
    </xdr:from>
    <xdr:to>
      <xdr:col>33</xdr:col>
      <xdr:colOff>0</xdr:colOff>
      <xdr:row>71</xdr:row>
      <xdr:rowOff>0</xdr:rowOff>
    </xdr:to>
    <xdr:pic>
      <xdr:nvPicPr>
        <xdr:cNvPr id="7" name="Picture 3" descr="image00003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7943850" y="10134600"/>
          <a:ext cx="1390650" cy="20955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11</xdr:row>
      <xdr:rowOff>28575</xdr:rowOff>
    </xdr:from>
    <xdr:to>
      <xdr:col>14</xdr:col>
      <xdr:colOff>552450</xdr:colOff>
      <xdr:row>50</xdr:row>
      <xdr:rowOff>58737</xdr:rowOff>
    </xdr:to>
    <xdr:graphicFrame macro="">
      <xdr:nvGraphicFramePr>
        <xdr:cNvPr id="3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0.71726</cdr:x>
      <cdr:y>0.29251</cdr:y>
    </cdr:from>
    <cdr:to>
      <cdr:x>0.77514</cdr:x>
      <cdr:y>0.35296</cdr:y>
    </cdr:to>
    <cdr:sp macro="" textlink="">
      <cdr:nvSpPr>
        <cdr:cNvPr id="2049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6469826" y="1204087"/>
          <a:ext cx="522087" cy="248835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  <cdr:txBody>
        <a:bodyPr xmlns:a="http://schemas.openxmlformats.org/drawingml/2006/main" vertOverflow="clip" wrap="square" lIns="27432" tIns="22860" rIns="27432" bIns="22860" anchor="ctr" upright="1"/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pt-BR" sz="1075" b="0" i="0" strike="noStrike">
              <a:solidFill>
                <a:srgbClr val="000000"/>
              </a:solidFill>
              <a:latin typeface="Arial"/>
              <a:cs typeface="Arial"/>
            </a:rPr>
            <a:t>Out/22</a:t>
          </a:r>
        </a:p>
      </cdr:txBody>
    </cdr:sp>
  </cdr:relSizeAnchor>
  <cdr:relSizeAnchor xmlns:cdr="http://schemas.openxmlformats.org/drawingml/2006/chartDrawing">
    <cdr:from>
      <cdr:x>0.58515</cdr:x>
      <cdr:y>0.22052</cdr:y>
    </cdr:from>
    <cdr:to>
      <cdr:x>0.64377</cdr:x>
      <cdr:y>0.2817</cdr:y>
    </cdr:to>
    <cdr:sp macro="" textlink="">
      <cdr:nvSpPr>
        <cdr:cNvPr id="2050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278170" y="907748"/>
          <a:ext cx="528763" cy="251841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  <cdr:txBody>
        <a:bodyPr xmlns:a="http://schemas.openxmlformats.org/drawingml/2006/main" vertOverflow="clip" wrap="square" lIns="27432" tIns="22860" rIns="27432" bIns="22860" anchor="ctr" upright="1"/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pt-BR" sz="1075" b="0" i="0" strike="noStrike">
              <a:solidFill>
                <a:srgbClr val="000000"/>
              </a:solidFill>
              <a:latin typeface="Arial"/>
              <a:cs typeface="Arial"/>
            </a:rPr>
            <a:t>Dez/22</a:t>
          </a:r>
        </a:p>
      </cdr:txBody>
    </cdr:sp>
  </cdr:relSizeAnchor>
  <cdr:relSizeAnchor xmlns:cdr="http://schemas.openxmlformats.org/drawingml/2006/chartDrawing">
    <cdr:from>
      <cdr:x>0.50924</cdr:x>
      <cdr:y>0.35005</cdr:y>
    </cdr:from>
    <cdr:to>
      <cdr:x>0.56712</cdr:x>
      <cdr:y>0.41224</cdr:y>
    </cdr:to>
    <cdr:sp macro="" textlink="">
      <cdr:nvSpPr>
        <cdr:cNvPr id="2051" name="Text Box 3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4593449" y="1440949"/>
          <a:ext cx="522088" cy="255998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  <cdr:txBody>
        <a:bodyPr xmlns:a="http://schemas.openxmlformats.org/drawingml/2006/main" vertOverflow="clip" wrap="square" lIns="27432" tIns="22860" rIns="27432" bIns="22860" anchor="ctr" upright="1"/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pt-BR" sz="1075" b="0" i="0" strike="noStrike">
              <a:solidFill>
                <a:srgbClr val="000000"/>
              </a:solidFill>
              <a:latin typeface="Arial"/>
              <a:cs typeface="Arial"/>
            </a:rPr>
            <a:t>Jan/23</a:t>
          </a:r>
        </a:p>
      </cdr:txBody>
    </cdr:sp>
  </cdr:relSizeAnchor>
  <cdr:relSizeAnchor xmlns:cdr="http://schemas.openxmlformats.org/drawingml/2006/chartDrawing">
    <cdr:from>
      <cdr:x>0.92431</cdr:x>
      <cdr:y>0.34156</cdr:y>
    </cdr:from>
    <cdr:to>
      <cdr:x>0.98195</cdr:x>
      <cdr:y>0.40275</cdr:y>
    </cdr:to>
    <cdr:sp macro="" textlink="">
      <cdr:nvSpPr>
        <cdr:cNvPr id="2052" name="Text Box 4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8337460" y="1406001"/>
          <a:ext cx="519923" cy="25188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  <cdr:txBody>
        <a:bodyPr xmlns:a="http://schemas.openxmlformats.org/drawingml/2006/main" vertOverflow="clip" wrap="square" lIns="27432" tIns="22860" rIns="27432" bIns="22860" anchor="ctr" upright="1"/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pt-BR" sz="1075" b="0" i="0" strike="noStrike">
              <a:solidFill>
                <a:srgbClr val="000000"/>
              </a:solidFill>
              <a:latin typeface="Arial"/>
              <a:cs typeface="Arial"/>
            </a:rPr>
            <a:t>Jul/22</a:t>
          </a:r>
        </a:p>
      </cdr:txBody>
    </cdr:sp>
  </cdr:relSizeAnchor>
  <cdr:relSizeAnchor xmlns:cdr="http://schemas.openxmlformats.org/drawingml/2006/chartDrawing">
    <cdr:from>
      <cdr:x>0.86251</cdr:x>
      <cdr:y>0.21649</cdr:y>
    </cdr:from>
    <cdr:to>
      <cdr:x>0.91964</cdr:x>
      <cdr:y>0.27743</cdr:y>
    </cdr:to>
    <cdr:sp macro="" textlink="">
      <cdr:nvSpPr>
        <cdr:cNvPr id="2053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7779970" y="891150"/>
          <a:ext cx="515322" cy="250853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  <cdr:txBody>
        <a:bodyPr xmlns:a="http://schemas.openxmlformats.org/drawingml/2006/main" vertOverflow="clip" wrap="square" lIns="27432" tIns="22860" rIns="27432" bIns="22860" anchor="ctr" upright="1"/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pt-BR" sz="1075" b="0" i="0" strike="noStrike">
              <a:solidFill>
                <a:srgbClr val="000000"/>
              </a:solidFill>
              <a:latin typeface="Arial"/>
              <a:cs typeface="Arial"/>
            </a:rPr>
            <a:t>Ago/22</a:t>
          </a:r>
        </a:p>
      </cdr:txBody>
    </cdr:sp>
  </cdr:relSizeAnchor>
  <cdr:relSizeAnchor xmlns:cdr="http://schemas.openxmlformats.org/drawingml/2006/chartDrawing">
    <cdr:from>
      <cdr:x>0.1577</cdr:x>
      <cdr:y>0.23833</cdr:y>
    </cdr:from>
    <cdr:to>
      <cdr:x>0.21632</cdr:x>
      <cdr:y>0.28424</cdr:y>
    </cdr:to>
    <cdr:sp macro="" textlink="">
      <cdr:nvSpPr>
        <cdr:cNvPr id="2054" name="Text Box 6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1422523" y="981049"/>
          <a:ext cx="528762" cy="188983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  <cdr:txBody>
        <a:bodyPr xmlns:a="http://schemas.openxmlformats.org/drawingml/2006/main" vertOverflow="clip" wrap="square" lIns="27432" tIns="22860" rIns="27432" bIns="22860" anchor="ctr" upright="1"/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pt-BR" sz="1075" b="0" i="0" strike="noStrike">
              <a:solidFill>
                <a:srgbClr val="000000"/>
              </a:solidFill>
              <a:latin typeface="Arial"/>
              <a:cs typeface="Arial"/>
            </a:rPr>
            <a:t>Jun/23</a:t>
          </a:r>
        </a:p>
      </cdr:txBody>
    </cdr:sp>
  </cdr:relSizeAnchor>
  <cdr:relSizeAnchor xmlns:cdr="http://schemas.openxmlformats.org/drawingml/2006/chartDrawing">
    <cdr:from>
      <cdr:x>0.2231</cdr:x>
      <cdr:y>0.35891</cdr:y>
    </cdr:from>
    <cdr:to>
      <cdr:x>0.28172</cdr:x>
      <cdr:y>0.42009</cdr:y>
    </cdr:to>
    <cdr:sp macro="" textlink="">
      <cdr:nvSpPr>
        <cdr:cNvPr id="2055" name="Text Box 7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2012435" y="1477420"/>
          <a:ext cx="528763" cy="25184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  <cdr:txBody>
        <a:bodyPr xmlns:a="http://schemas.openxmlformats.org/drawingml/2006/main" vertOverflow="clip" wrap="square" lIns="27432" tIns="22860" rIns="27432" bIns="22860" anchor="ctr" upright="1"/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pt-BR" sz="1075" b="0" i="0" strike="noStrike">
              <a:solidFill>
                <a:srgbClr val="000000"/>
              </a:solidFill>
              <a:latin typeface="Arial"/>
              <a:cs typeface="Arial"/>
            </a:rPr>
            <a:t>Mai/23</a:t>
          </a:r>
        </a:p>
      </cdr:txBody>
    </cdr:sp>
  </cdr:relSizeAnchor>
  <cdr:relSizeAnchor xmlns:cdr="http://schemas.openxmlformats.org/drawingml/2006/chartDrawing">
    <cdr:from>
      <cdr:x>0.42952</cdr:x>
      <cdr:y>0.23515</cdr:y>
    </cdr:from>
    <cdr:to>
      <cdr:x>0.48664</cdr:x>
      <cdr:y>0.29634</cdr:y>
    </cdr:to>
    <cdr:sp macro="" textlink="">
      <cdr:nvSpPr>
        <cdr:cNvPr id="2056" name="Text Box 8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3874345" y="967964"/>
          <a:ext cx="515232" cy="25188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  <cdr:txBody>
        <a:bodyPr xmlns:a="http://schemas.openxmlformats.org/drawingml/2006/main" vertOverflow="clip" wrap="square" lIns="27432" tIns="22860" rIns="27432" bIns="22860" anchor="ctr" upright="1"/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pt-BR" sz="1075" b="0" i="0" strike="noStrike">
              <a:solidFill>
                <a:srgbClr val="000000"/>
              </a:solidFill>
              <a:latin typeface="Arial"/>
              <a:cs typeface="Arial"/>
            </a:rPr>
            <a:t>Fev/23</a:t>
          </a:r>
        </a:p>
      </cdr:txBody>
    </cdr:sp>
  </cdr:relSizeAnchor>
  <cdr:relSizeAnchor xmlns:cdr="http://schemas.openxmlformats.org/drawingml/2006/chartDrawing">
    <cdr:from>
      <cdr:x>0.3633</cdr:x>
      <cdr:y>0.3532</cdr:y>
    </cdr:from>
    <cdr:to>
      <cdr:x>0.42118</cdr:x>
      <cdr:y>0.41439</cdr:y>
    </cdr:to>
    <cdr:sp macro="" textlink="">
      <cdr:nvSpPr>
        <cdr:cNvPr id="2057" name="Text Box 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3277046" y="1453909"/>
          <a:ext cx="522088" cy="25188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  <cdr:txBody>
        <a:bodyPr xmlns:a="http://schemas.openxmlformats.org/drawingml/2006/main" vertOverflow="clip" wrap="square" lIns="27432" tIns="22860" rIns="27432" bIns="22860" anchor="ctr" upright="1"/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pt-BR" sz="1075" b="0" i="0" strike="noStrike">
              <a:solidFill>
                <a:srgbClr val="000000"/>
              </a:solidFill>
              <a:latin typeface="Arial"/>
              <a:cs typeface="Arial"/>
            </a:rPr>
            <a:t>Mar/23</a:t>
          </a:r>
        </a:p>
      </cdr:txBody>
    </cdr:sp>
  </cdr:relSizeAnchor>
  <cdr:relSizeAnchor xmlns:cdr="http://schemas.openxmlformats.org/drawingml/2006/chartDrawing">
    <cdr:from>
      <cdr:x>0.29516</cdr:x>
      <cdr:y>0.32857</cdr:y>
    </cdr:from>
    <cdr:to>
      <cdr:x>0.35304</cdr:x>
      <cdr:y>0.40461</cdr:y>
    </cdr:to>
    <cdr:sp macro="" textlink="">
      <cdr:nvSpPr>
        <cdr:cNvPr id="2058" name="Text Box 10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2662410" y="1352513"/>
          <a:ext cx="522088" cy="31301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  <cdr:txBody>
        <a:bodyPr xmlns:a="http://schemas.openxmlformats.org/drawingml/2006/main" vertOverflow="clip" wrap="square" lIns="27432" tIns="22860" rIns="27432" bIns="22860" anchor="ctr" upright="1"/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pt-BR" sz="1075" b="0" i="0" strike="noStrike">
              <a:solidFill>
                <a:srgbClr val="000000"/>
              </a:solidFill>
              <a:latin typeface="Arial"/>
              <a:cs typeface="Arial"/>
            </a:rPr>
            <a:t>Abr/23</a:t>
          </a:r>
        </a:p>
      </cdr:txBody>
    </cdr:sp>
  </cdr:relSizeAnchor>
  <cdr:relSizeAnchor xmlns:cdr="http://schemas.openxmlformats.org/drawingml/2006/chartDrawing">
    <cdr:from>
      <cdr:x>0.78909</cdr:x>
      <cdr:y>0.27656</cdr:y>
    </cdr:from>
    <cdr:to>
      <cdr:x>0.84796</cdr:x>
      <cdr:y>0.33849</cdr:y>
    </cdr:to>
    <cdr:sp macro="" textlink="">
      <cdr:nvSpPr>
        <cdr:cNvPr id="2059" name="Text Box 1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7117743" y="1138431"/>
          <a:ext cx="531018" cy="254928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  <cdr:txBody>
        <a:bodyPr xmlns:a="http://schemas.openxmlformats.org/drawingml/2006/main" vertOverflow="clip" wrap="square" lIns="27432" tIns="22860" rIns="27432" bIns="22860" anchor="ctr" upright="1"/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pt-BR" sz="1075" b="0" i="0" strike="noStrike">
              <a:solidFill>
                <a:srgbClr val="000000"/>
              </a:solidFill>
              <a:latin typeface="Arial"/>
              <a:cs typeface="Arial"/>
            </a:rPr>
            <a:t>Set/22</a:t>
          </a:r>
        </a:p>
      </cdr:txBody>
    </cdr:sp>
  </cdr:relSizeAnchor>
  <cdr:relSizeAnchor xmlns:cdr="http://schemas.openxmlformats.org/drawingml/2006/chartDrawing">
    <cdr:from>
      <cdr:x>0.64389</cdr:x>
      <cdr:y>0.27846</cdr:y>
    </cdr:from>
    <cdr:to>
      <cdr:x>0.70178</cdr:x>
      <cdr:y>0.33965</cdr:y>
    </cdr:to>
    <cdr:sp macro="" textlink="">
      <cdr:nvSpPr>
        <cdr:cNvPr id="2060" name="Text Box 1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08001" y="1146251"/>
          <a:ext cx="522178" cy="251881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  <cdr:txBody>
        <a:bodyPr xmlns:a="http://schemas.openxmlformats.org/drawingml/2006/main" vertOverflow="clip" wrap="square" lIns="27432" tIns="22860" rIns="27432" bIns="22860" anchor="ctr" upright="1"/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pt-BR" sz="1075" b="0" i="0" strike="noStrike">
              <a:solidFill>
                <a:srgbClr val="000000"/>
              </a:solidFill>
              <a:latin typeface="Arial"/>
              <a:cs typeface="Arial"/>
            </a:rPr>
            <a:t>Nov/22</a:t>
          </a:r>
        </a:p>
      </cdr:txBody>
    </cdr:sp>
  </cdr:relSizeAnchor>
</c:userShapes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161925</xdr:colOff>
      <xdr:row>78</xdr:row>
      <xdr:rowOff>0</xdr:rowOff>
    </xdr:from>
    <xdr:to>
      <xdr:col>12</xdr:col>
      <xdr:colOff>0</xdr:colOff>
      <xdr:row>78</xdr:row>
      <xdr:rowOff>0</xdr:rowOff>
    </xdr:to>
    <xdr:graphicFrame macro="">
      <xdr:nvGraphicFramePr>
        <xdr:cNvPr id="2" name="Chart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161925</xdr:colOff>
      <xdr:row>78</xdr:row>
      <xdr:rowOff>0</xdr:rowOff>
    </xdr:from>
    <xdr:to>
      <xdr:col>12</xdr:col>
      <xdr:colOff>0</xdr:colOff>
      <xdr:row>78</xdr:row>
      <xdr:rowOff>0</xdr:rowOff>
    </xdr:to>
    <xdr:graphicFrame macro="">
      <xdr:nvGraphicFramePr>
        <xdr:cNvPr id="3" name="Chart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42</xdr:row>
      <xdr:rowOff>76200</xdr:rowOff>
    </xdr:from>
    <xdr:to>
      <xdr:col>10</xdr:col>
      <xdr:colOff>628650</xdr:colOff>
      <xdr:row>73</xdr:row>
      <xdr:rowOff>0</xdr:rowOff>
    </xdr:to>
    <xdr:graphicFrame macro="">
      <xdr:nvGraphicFramePr>
        <xdr:cNvPr id="4" name="Chart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User\Documents\Docum2021\Presta&#231;&#227;o_De_Contas_Abril_2021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Administrador\Meus%20documentos\Exerc2006\Apresenta12de2006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REO"/>
      <sheetName val="RGF"/>
      <sheetName val="BalOrç"/>
      <sheetName val="SubFunç"/>
      <sheetName val="RPPS"/>
      <sheetName val="Prim"/>
      <sheetName val="RCL"/>
      <sheetName val="DCLP"/>
      <sheetName val="Plan1"/>
      <sheetName val="Mini"/>
      <sheetName val="DespEduc"/>
      <sheetName val="Cronogra"/>
      <sheetName val="Cruz"/>
      <sheetName val="MDE"/>
      <sheetName val="ASPS"/>
      <sheetName val="DespEmp"/>
      <sheetName val="DespLiq"/>
      <sheetName val="DespPaga"/>
      <sheetName val="Exec"/>
      <sheetName val="RAP"/>
      <sheetName val="AcompFAP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>
        <row r="9">
          <cell r="D9">
            <v>0.54</v>
          </cell>
          <cell r="E9">
            <v>0.54</v>
          </cell>
          <cell r="F9">
            <v>0.54</v>
          </cell>
          <cell r="G9">
            <v>0.54</v>
          </cell>
          <cell r="H9">
            <v>0.54</v>
          </cell>
          <cell r="I9">
            <v>0.54</v>
          </cell>
          <cell r="J9">
            <v>0.54</v>
          </cell>
          <cell r="K9">
            <v>0.54</v>
          </cell>
          <cell r="L9">
            <v>0.54</v>
          </cell>
          <cell r="M9">
            <v>0.54</v>
          </cell>
          <cell r="N9">
            <v>0.54</v>
          </cell>
          <cell r="O9">
            <v>0.54</v>
          </cell>
        </row>
      </sheetData>
      <sheetData sheetId="9">
        <row r="20">
          <cell r="D20">
            <v>8576229.0500000007</v>
          </cell>
        </row>
      </sheetData>
      <sheetData sheetId="10" refreshError="1"/>
      <sheetData sheetId="11">
        <row r="40">
          <cell r="AE40">
            <v>40865393.119999997</v>
          </cell>
        </row>
      </sheetData>
      <sheetData sheetId="12">
        <row r="28">
          <cell r="I28">
            <v>144789216.63000003</v>
          </cell>
        </row>
      </sheetData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PPS"/>
      <sheetName val="BalFin"/>
      <sheetName val="VarRPPS"/>
      <sheetName val="PatRPPS"/>
      <sheetName val="FinCons"/>
      <sheetName val="VarCons"/>
      <sheetName val="PatCons"/>
      <sheetName val="Consolid"/>
      <sheetName val="Financ"/>
      <sheetName val="BalSISTN"/>
      <sheetName val="Patrim"/>
      <sheetName val="Resum2"/>
      <sheetName val="DivAt"/>
      <sheetName val="Limites"/>
      <sheetName val="Mínim"/>
      <sheetName val="Atuarial"/>
      <sheetName val="CRUZ"/>
      <sheetName val="Metas"/>
      <sheetName val="DDPEL"/>
      <sheetName val="Resumos"/>
      <sheetName val="RCL"/>
      <sheetName val="MPS"/>
      <sheetName val="Disponib"/>
      <sheetName val="Funç"/>
      <sheetName val="BalOrç"/>
      <sheetName val="Prim"/>
      <sheetName val="Nomi"/>
      <sheetName val="DCL"/>
      <sheetName val="Restos"/>
      <sheetName val="RAPinscritos"/>
      <sheetName val="RecDespFAPS"/>
      <sheetName val="VINC"/>
      <sheetName val="Plan3"/>
      <sheetName val="Plan1"/>
      <sheetName val="Plan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>
        <row r="102">
          <cell r="J102">
            <v>59301.533333333209</v>
          </cell>
        </row>
        <row r="103">
          <cell r="J103">
            <v>-28113.66333333333</v>
          </cell>
        </row>
        <row r="104">
          <cell r="J104">
            <v>-8269.1199999999953</v>
          </cell>
        </row>
        <row r="105">
          <cell r="J105">
            <v>5654.826666666675</v>
          </cell>
        </row>
        <row r="106">
          <cell r="J106">
            <v>-70756.576666666893</v>
          </cell>
        </row>
        <row r="107">
          <cell r="J107">
            <v>13654.580000000016</v>
          </cell>
        </row>
        <row r="108">
          <cell r="J108">
            <v>78357.869999999966</v>
          </cell>
        </row>
        <row r="109">
          <cell r="J109">
            <v>-182954.47666666657</v>
          </cell>
        </row>
        <row r="110">
          <cell r="J110">
            <v>-129513.63666666579</v>
          </cell>
        </row>
        <row r="111">
          <cell r="J111">
            <v>88479.670000000391</v>
          </cell>
        </row>
        <row r="112">
          <cell r="J112">
            <v>80146.053333333286</v>
          </cell>
        </row>
        <row r="113">
          <cell r="J113">
            <v>104245.48333333328</v>
          </cell>
        </row>
        <row r="114">
          <cell r="J114">
            <v>7241.7066666666651</v>
          </cell>
        </row>
        <row r="115">
          <cell r="J115">
            <v>35295.373333333329</v>
          </cell>
        </row>
        <row r="116">
          <cell r="J116">
            <v>217853.67333333334</v>
          </cell>
        </row>
        <row r="117">
          <cell r="J117">
            <v>-176204.25333333411</v>
          </cell>
        </row>
        <row r="192">
          <cell r="J192">
            <v>67808.04999999993</v>
          </cell>
        </row>
        <row r="193">
          <cell r="J193">
            <v>18918.219999999972</v>
          </cell>
        </row>
        <row r="194">
          <cell r="J194">
            <v>9857.5100000000093</v>
          </cell>
        </row>
        <row r="195">
          <cell r="J195">
            <v>1006.5599999999977</v>
          </cell>
        </row>
        <row r="196">
          <cell r="J196">
            <v>249769.87999999989</v>
          </cell>
        </row>
        <row r="197">
          <cell r="J197">
            <v>29268.719999999972</v>
          </cell>
        </row>
        <row r="198">
          <cell r="J198">
            <v>13008.560000000056</v>
          </cell>
        </row>
        <row r="199">
          <cell r="J199">
            <v>101946.72999999998</v>
          </cell>
        </row>
        <row r="200">
          <cell r="J200">
            <v>533680.19999999925</v>
          </cell>
        </row>
        <row r="201">
          <cell r="J201">
            <v>378077.09999999963</v>
          </cell>
        </row>
        <row r="202">
          <cell r="J202">
            <v>35528.70000000007</v>
          </cell>
        </row>
        <row r="203">
          <cell r="J203">
            <v>60700.789999999804</v>
          </cell>
        </row>
        <row r="204">
          <cell r="J204">
            <v>23912.360000000102</v>
          </cell>
        </row>
        <row r="205">
          <cell r="J205">
            <v>7234.86</v>
          </cell>
        </row>
        <row r="206">
          <cell r="J206">
            <v>222838.98999999976</v>
          </cell>
        </row>
        <row r="207">
          <cell r="J207">
            <v>-676947.98000000138</v>
          </cell>
        </row>
      </sheetData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12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15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01"/>
  <sheetViews>
    <sheetView tabSelected="1" workbookViewId="0">
      <selection activeCell="K95" sqref="K95"/>
    </sheetView>
  </sheetViews>
  <sheetFormatPr defaultRowHeight="15" x14ac:dyDescent="0.25"/>
  <cols>
    <col min="1" max="2" width="1.7109375" customWidth="1"/>
    <col min="3" max="3" width="18.85546875" customWidth="1"/>
    <col min="4" max="4" width="12" customWidth="1"/>
    <col min="5" max="5" width="14.28515625" bestFit="1" customWidth="1"/>
    <col min="6" max="6" width="18.28515625" customWidth="1"/>
    <col min="7" max="7" width="13.140625" bestFit="1" customWidth="1"/>
    <col min="8" max="8" width="12.28515625" bestFit="1" customWidth="1"/>
    <col min="9" max="9" width="14.85546875" bestFit="1" customWidth="1"/>
    <col min="10" max="10" width="10.140625" bestFit="1" customWidth="1"/>
    <col min="11" max="11" width="14.85546875" bestFit="1" customWidth="1"/>
    <col min="13" max="13" width="14.7109375" bestFit="1" customWidth="1"/>
  </cols>
  <sheetData>
    <row r="1" spans="1:13" x14ac:dyDescent="0.25">
      <c r="A1" s="441" t="s">
        <v>466</v>
      </c>
      <c r="B1" s="441"/>
      <c r="C1" s="441"/>
      <c r="D1" s="441"/>
      <c r="E1" s="441"/>
      <c r="F1" s="441"/>
      <c r="G1" s="441"/>
    </row>
    <row r="2" spans="1:13" x14ac:dyDescent="0.25">
      <c r="A2" s="441" t="s">
        <v>467</v>
      </c>
      <c r="B2" s="441"/>
      <c r="C2" s="441"/>
      <c r="D2" s="441"/>
      <c r="E2" s="441"/>
      <c r="F2" s="441"/>
      <c r="G2" s="441"/>
    </row>
    <row r="3" spans="1:13" x14ac:dyDescent="0.25">
      <c r="A3" s="442" t="s">
        <v>468</v>
      </c>
      <c r="B3" s="442"/>
      <c r="C3" s="442"/>
      <c r="D3" s="442"/>
      <c r="E3" s="442"/>
      <c r="F3" s="442"/>
      <c r="G3" s="442"/>
    </row>
    <row r="4" spans="1:13" x14ac:dyDescent="0.25">
      <c r="A4" s="441" t="s">
        <v>469</v>
      </c>
      <c r="B4" s="441"/>
      <c r="C4" s="441"/>
      <c r="D4" s="441"/>
      <c r="E4" s="441"/>
      <c r="F4" s="441"/>
      <c r="G4" s="441"/>
    </row>
    <row r="5" spans="1:13" x14ac:dyDescent="0.25">
      <c r="A5" s="441" t="s">
        <v>1852</v>
      </c>
      <c r="B5" s="441"/>
      <c r="C5" s="441"/>
      <c r="D5" s="441"/>
      <c r="E5" s="441"/>
      <c r="F5" s="441"/>
      <c r="G5" s="441"/>
    </row>
    <row r="6" spans="1:13" ht="15.75" thickBot="1" x14ac:dyDescent="0.3">
      <c r="A6" s="441" t="s">
        <v>470</v>
      </c>
      <c r="B6" s="441"/>
      <c r="C6" s="441"/>
      <c r="F6" s="450"/>
      <c r="G6" s="450"/>
      <c r="H6" s="450" t="s">
        <v>471</v>
      </c>
    </row>
    <row r="7" spans="1:13" ht="15.75" thickBot="1" x14ac:dyDescent="0.3">
      <c r="A7" s="451" t="s">
        <v>472</v>
      </c>
      <c r="B7" s="452"/>
      <c r="C7" s="452"/>
      <c r="D7" s="452" t="s">
        <v>808</v>
      </c>
      <c r="E7" s="452" t="s">
        <v>1196</v>
      </c>
      <c r="F7" s="452" t="s">
        <v>1841</v>
      </c>
      <c r="G7" s="453"/>
      <c r="H7" s="453" t="s">
        <v>473</v>
      </c>
      <c r="I7" s="500"/>
    </row>
    <row r="8" spans="1:13" x14ac:dyDescent="0.25">
      <c r="A8" s="454" t="s">
        <v>474</v>
      </c>
      <c r="B8" s="455"/>
      <c r="C8" s="455"/>
      <c r="D8" s="456"/>
      <c r="E8" s="456"/>
      <c r="F8" s="456"/>
      <c r="G8" s="457"/>
      <c r="H8" s="456"/>
      <c r="I8" s="500"/>
    </row>
    <row r="9" spans="1:13" x14ac:dyDescent="0.25">
      <c r="B9" s="458" t="s">
        <v>475</v>
      </c>
      <c r="C9" s="459"/>
      <c r="D9" s="498">
        <v>235019191.05000001</v>
      </c>
      <c r="E9" s="460">
        <v>235019191.05000001</v>
      </c>
      <c r="F9" s="460">
        <v>235019191.05000001</v>
      </c>
      <c r="G9" s="462"/>
      <c r="H9" s="547">
        <v>235019191.05000001</v>
      </c>
      <c r="I9" s="599"/>
      <c r="J9" s="434"/>
      <c r="K9" s="434"/>
    </row>
    <row r="10" spans="1:13" x14ac:dyDescent="0.25">
      <c r="B10" s="458" t="s">
        <v>476</v>
      </c>
      <c r="C10" s="459"/>
      <c r="D10" s="498">
        <v>235019191.05000001</v>
      </c>
      <c r="E10" s="460">
        <v>235032938.25999999</v>
      </c>
      <c r="F10" s="461">
        <v>235870219.94999999</v>
      </c>
      <c r="G10" s="462"/>
      <c r="H10" s="461">
        <v>235870219.94999999</v>
      </c>
      <c r="I10" s="599"/>
      <c r="J10" s="434"/>
      <c r="K10" s="434"/>
    </row>
    <row r="11" spans="1:13" x14ac:dyDescent="0.25">
      <c r="B11" s="458" t="s">
        <v>477</v>
      </c>
      <c r="C11" s="459"/>
      <c r="D11" s="498">
        <v>30373838.5</v>
      </c>
      <c r="E11" s="460">
        <v>60509686.850000001</v>
      </c>
      <c r="F11" s="461">
        <v>91605278.079999998</v>
      </c>
      <c r="G11" s="462"/>
      <c r="H11" s="461">
        <v>91605278.079999998</v>
      </c>
      <c r="I11" s="599"/>
      <c r="J11" s="434"/>
      <c r="K11" s="434"/>
    </row>
    <row r="12" spans="1:13" x14ac:dyDescent="0.25">
      <c r="B12" s="458" t="s">
        <v>478</v>
      </c>
      <c r="C12" s="459"/>
      <c r="D12" s="547"/>
      <c r="E12" s="460"/>
      <c r="F12" s="463"/>
      <c r="G12" s="464"/>
      <c r="H12" s="463"/>
      <c r="I12" s="500"/>
    </row>
    <row r="13" spans="1:13" ht="34.5" customHeight="1" x14ac:dyDescent="0.25">
      <c r="B13" s="863" t="s">
        <v>480</v>
      </c>
      <c r="C13" s="864"/>
      <c r="D13" s="314">
        <v>1260790.33</v>
      </c>
      <c r="E13" s="460">
        <v>1853823.09</v>
      </c>
      <c r="F13" s="461">
        <v>2285209.83</v>
      </c>
      <c r="G13" s="462"/>
      <c r="H13" s="461">
        <v>2285209.83</v>
      </c>
      <c r="I13" s="500"/>
      <c r="K13" s="434"/>
      <c r="L13" s="434"/>
      <c r="M13" s="434"/>
    </row>
    <row r="14" spans="1:13" x14ac:dyDescent="0.25">
      <c r="A14" s="458" t="s">
        <v>481</v>
      </c>
      <c r="B14" s="459"/>
      <c r="C14" s="459"/>
      <c r="D14" s="314"/>
      <c r="E14" s="465"/>
      <c r="F14" s="466"/>
      <c r="G14" s="467"/>
      <c r="H14" s="466"/>
      <c r="I14" s="500"/>
      <c r="K14" s="434"/>
      <c r="L14" s="434"/>
      <c r="M14" s="434"/>
    </row>
    <row r="15" spans="1:13" x14ac:dyDescent="0.25">
      <c r="B15" s="458" t="s">
        <v>482</v>
      </c>
      <c r="C15" s="459"/>
      <c r="D15" s="314">
        <v>218276502.62</v>
      </c>
      <c r="E15" s="460">
        <v>218276502.62</v>
      </c>
      <c r="F15" s="461">
        <v>218276502.62</v>
      </c>
      <c r="G15" s="462"/>
      <c r="H15" s="461">
        <v>218276502.62</v>
      </c>
      <c r="I15" s="500"/>
      <c r="K15" s="434"/>
      <c r="L15" s="434"/>
      <c r="M15" s="434"/>
    </row>
    <row r="16" spans="1:13" x14ac:dyDescent="0.25">
      <c r="B16" s="458" t="s">
        <v>483</v>
      </c>
      <c r="C16" s="459"/>
      <c r="D16" s="314">
        <v>220560076.99000001</v>
      </c>
      <c r="E16" s="460">
        <v>221163077.99000001</v>
      </c>
      <c r="F16" s="461">
        <v>222518899.11000001</v>
      </c>
      <c r="G16" s="462"/>
      <c r="H16" s="461">
        <v>222518899.11000001</v>
      </c>
      <c r="I16" s="500"/>
      <c r="K16" s="434"/>
      <c r="L16" s="434"/>
      <c r="M16" s="434"/>
    </row>
    <row r="17" spans="1:13" x14ac:dyDescent="0.25">
      <c r="B17" s="458" t="s">
        <v>484</v>
      </c>
      <c r="C17" s="459"/>
      <c r="D17" s="314">
        <v>40259038.119999997</v>
      </c>
      <c r="E17" s="460">
        <v>72337402.670000002</v>
      </c>
      <c r="F17" s="461">
        <v>103671367.23999999</v>
      </c>
      <c r="G17" s="462"/>
      <c r="H17" s="461">
        <v>103671367.23999999</v>
      </c>
      <c r="I17" s="719"/>
      <c r="K17" s="434"/>
      <c r="L17" s="434"/>
      <c r="M17" s="434"/>
    </row>
    <row r="18" spans="1:13" x14ac:dyDescent="0.25">
      <c r="B18" s="458" t="s">
        <v>485</v>
      </c>
      <c r="C18" s="459"/>
      <c r="D18" s="314">
        <v>26853395.530000001</v>
      </c>
      <c r="E18" s="460">
        <v>58167778.07</v>
      </c>
      <c r="F18" s="461">
        <v>90917225.079999998</v>
      </c>
      <c r="G18" s="462"/>
      <c r="H18" s="461">
        <v>90917225.079999998</v>
      </c>
      <c r="I18" s="500"/>
      <c r="K18" s="434"/>
      <c r="L18" s="434"/>
      <c r="M18" s="434"/>
    </row>
    <row r="19" spans="1:13" x14ac:dyDescent="0.25">
      <c r="B19" s="458" t="s">
        <v>486</v>
      </c>
      <c r="C19" s="459"/>
      <c r="D19" s="314">
        <v>19501448.579999998</v>
      </c>
      <c r="E19" s="460">
        <v>45189535.079999998</v>
      </c>
      <c r="F19" s="461">
        <v>75599827.840000004</v>
      </c>
      <c r="G19" s="462"/>
      <c r="H19" s="461">
        <v>75599827.840000004</v>
      </c>
      <c r="I19" s="500"/>
      <c r="K19" s="434"/>
      <c r="L19" s="434"/>
      <c r="M19" s="434"/>
    </row>
    <row r="20" spans="1:13" ht="15.75" thickBot="1" x14ac:dyDescent="0.3">
      <c r="B20" s="458" t="s">
        <v>487</v>
      </c>
      <c r="C20" s="459"/>
      <c r="D20" s="314">
        <v>3520442.97</v>
      </c>
      <c r="E20" s="460">
        <v>2341908.7799999998</v>
      </c>
      <c r="F20" s="461">
        <v>688053</v>
      </c>
      <c r="G20" s="462"/>
      <c r="H20" s="501">
        <v>688053</v>
      </c>
      <c r="I20" s="500"/>
      <c r="K20" s="434"/>
      <c r="L20" s="434"/>
      <c r="M20" s="434"/>
    </row>
    <row r="21" spans="1:13" s="3" customFormat="1" ht="9" thickBot="1" x14ac:dyDescent="0.2">
      <c r="A21" s="551"/>
      <c r="B21" s="551"/>
      <c r="C21" s="551"/>
      <c r="D21" s="551"/>
      <c r="E21" s="551"/>
      <c r="F21" s="551"/>
      <c r="G21" s="551"/>
      <c r="H21" s="329"/>
      <c r="I21" s="19"/>
    </row>
    <row r="22" spans="1:13" ht="15.75" thickBot="1" x14ac:dyDescent="0.3">
      <c r="A22" s="451" t="s">
        <v>488</v>
      </c>
      <c r="B22" s="452"/>
      <c r="C22" s="452"/>
      <c r="D22" s="469" t="s">
        <v>808</v>
      </c>
      <c r="E22" s="452" t="s">
        <v>1842</v>
      </c>
      <c r="F22" s="452" t="s">
        <v>1843</v>
      </c>
      <c r="G22" s="453" t="s">
        <v>740</v>
      </c>
      <c r="H22" s="453" t="s">
        <v>473</v>
      </c>
    </row>
    <row r="23" spans="1:13" x14ac:dyDescent="0.25">
      <c r="A23" s="454" t="s">
        <v>484</v>
      </c>
      <c r="B23" s="470"/>
      <c r="C23" s="470"/>
      <c r="D23" s="607">
        <v>40259038.119999997</v>
      </c>
      <c r="E23" s="471">
        <v>72337402.670000002</v>
      </c>
      <c r="F23" s="472">
        <v>103671367.23999999</v>
      </c>
      <c r="G23" s="473"/>
      <c r="H23" s="607">
        <v>72337402.670000002</v>
      </c>
    </row>
    <row r="24" spans="1:13" ht="15.75" thickBot="1" x14ac:dyDescent="0.3">
      <c r="A24" s="458" t="s">
        <v>485</v>
      </c>
      <c r="B24" s="459"/>
      <c r="C24" s="459"/>
      <c r="D24" s="689">
        <v>26853395.530000001</v>
      </c>
      <c r="E24" s="474">
        <v>58167778.07</v>
      </c>
      <c r="F24" s="461">
        <v>90917225.079999998</v>
      </c>
      <c r="G24" s="462"/>
      <c r="H24" s="608">
        <v>58167778.07</v>
      </c>
    </row>
    <row r="25" spans="1:13" ht="15.75" thickBot="1" x14ac:dyDescent="0.3">
      <c r="A25" s="468"/>
      <c r="B25" s="468"/>
      <c r="C25" s="468"/>
      <c r="D25" s="859" t="s">
        <v>743</v>
      </c>
      <c r="E25" s="860"/>
      <c r="F25" s="859" t="s">
        <v>744</v>
      </c>
      <c r="G25" s="860"/>
      <c r="H25" s="314"/>
    </row>
    <row r="26" spans="1:13" ht="15.75" thickBot="1" x14ac:dyDescent="0.3">
      <c r="A26" s="858" t="s">
        <v>735</v>
      </c>
      <c r="B26" s="858"/>
      <c r="C26" s="853"/>
      <c r="D26" s="469" t="s">
        <v>1196</v>
      </c>
      <c r="E26" s="452" t="s">
        <v>1844</v>
      </c>
      <c r="F26" s="469" t="s">
        <v>1196</v>
      </c>
      <c r="G26" s="452" t="s">
        <v>1844</v>
      </c>
      <c r="H26" s="453" t="s">
        <v>473</v>
      </c>
    </row>
    <row r="27" spans="1:13" ht="15.75" thickBot="1" x14ac:dyDescent="0.3">
      <c r="A27" s="454" t="s">
        <v>362</v>
      </c>
      <c r="B27" s="455"/>
      <c r="C27" s="455"/>
      <c r="D27" s="472">
        <v>136017374.69999999</v>
      </c>
      <c r="E27" s="472">
        <v>134918200.47999999</v>
      </c>
      <c r="F27" s="668">
        <v>132857311.95</v>
      </c>
      <c r="G27" s="472">
        <f>130014671.91</f>
        <v>130014671.91</v>
      </c>
      <c r="H27" s="833">
        <v>134918200.47999999</v>
      </c>
      <c r="I27" s="475"/>
    </row>
    <row r="28" spans="1:13" ht="38.25" customHeight="1" thickBot="1" x14ac:dyDescent="0.3">
      <c r="A28" s="876" t="s">
        <v>776</v>
      </c>
      <c r="B28" s="876"/>
      <c r="C28" s="877"/>
      <c r="D28" s="472">
        <v>135617374.69999999</v>
      </c>
      <c r="E28" s="472">
        <v>134768200.47999999</v>
      </c>
      <c r="F28" s="482">
        <v>132607311.95</v>
      </c>
      <c r="G28" s="482">
        <f>129745178.91</f>
        <v>129745178.91</v>
      </c>
      <c r="H28" s="833">
        <v>134768200.47999999</v>
      </c>
      <c r="I28" s="475"/>
      <c r="J28" s="836"/>
    </row>
    <row r="29" spans="1:13" ht="36" customHeight="1" thickBot="1" x14ac:dyDescent="0.3">
      <c r="A29" s="876" t="s">
        <v>769</v>
      </c>
      <c r="B29" s="876"/>
      <c r="C29" s="877"/>
      <c r="D29" s="472">
        <v>135617374.69999999</v>
      </c>
      <c r="E29" s="472">
        <v>134768200.47999999</v>
      </c>
      <c r="F29" s="669">
        <v>127408739.75</v>
      </c>
      <c r="G29" s="482">
        <f>129745178.91</f>
        <v>129745178.91</v>
      </c>
      <c r="H29" s="834">
        <v>134768200.47999999</v>
      </c>
      <c r="I29" s="500"/>
      <c r="J29" s="836"/>
    </row>
    <row r="30" spans="1:13" s="3" customFormat="1" ht="9" thickBot="1" x14ac:dyDescent="0.2">
      <c r="A30" s="551"/>
      <c r="B30" s="551"/>
      <c r="C30" s="551"/>
      <c r="D30" s="551"/>
      <c r="E30" s="551"/>
      <c r="F30" s="551"/>
      <c r="G30" s="551"/>
      <c r="H30" s="329"/>
    </row>
    <row r="31" spans="1:13" ht="15.75" thickBot="1" x14ac:dyDescent="0.3">
      <c r="A31" s="858" t="s">
        <v>489</v>
      </c>
      <c r="B31" s="858"/>
      <c r="C31" s="853"/>
      <c r="D31" s="452" t="s">
        <v>808</v>
      </c>
      <c r="E31" s="452" t="s">
        <v>1197</v>
      </c>
      <c r="F31" s="452" t="s">
        <v>1845</v>
      </c>
      <c r="G31" s="453"/>
      <c r="H31" s="453" t="s">
        <v>473</v>
      </c>
    </row>
    <row r="32" spans="1:13" s="1" customFormat="1" ht="24" customHeight="1" x14ac:dyDescent="0.2">
      <c r="A32" s="878" t="s">
        <v>490</v>
      </c>
      <c r="B32" s="878"/>
      <c r="C32" s="879"/>
      <c r="D32" s="618"/>
      <c r="E32" s="618"/>
      <c r="F32" s="618"/>
      <c r="G32" s="548"/>
      <c r="H32" s="618"/>
      <c r="I32" s="507"/>
    </row>
    <row r="33" spans="1:9" s="1" customFormat="1" ht="23.25" customHeight="1" x14ac:dyDescent="0.2">
      <c r="B33" s="863" t="s">
        <v>491</v>
      </c>
      <c r="C33" s="864"/>
      <c r="D33" s="314">
        <v>7047198.7699999996</v>
      </c>
      <c r="E33" s="474">
        <v>12801507.810000001</v>
      </c>
      <c r="F33" s="461">
        <v>21208277.609999999</v>
      </c>
      <c r="G33" s="462"/>
      <c r="H33" s="461">
        <v>21208277.609999999</v>
      </c>
      <c r="I33" s="507"/>
    </row>
    <row r="34" spans="1:9" s="1" customFormat="1" ht="23.25" customHeight="1" x14ac:dyDescent="0.2">
      <c r="B34" s="863" t="s">
        <v>492</v>
      </c>
      <c r="C34" s="864"/>
      <c r="D34" s="314">
        <v>5127182.29</v>
      </c>
      <c r="E34" s="474">
        <v>10531939.550000001</v>
      </c>
      <c r="F34" s="461">
        <v>17325616.289999999</v>
      </c>
      <c r="G34" s="462"/>
      <c r="H34" s="461">
        <v>17325616.289999999</v>
      </c>
      <c r="I34" s="507"/>
    </row>
    <row r="35" spans="1:9" s="1" customFormat="1" ht="24" customHeight="1" x14ac:dyDescent="0.2">
      <c r="B35" s="863" t="s">
        <v>493</v>
      </c>
      <c r="C35" s="864"/>
      <c r="D35" s="314">
        <v>5127182.29</v>
      </c>
      <c r="E35" s="474">
        <v>10531939.550000001</v>
      </c>
      <c r="F35" s="461">
        <v>17325616.289999999</v>
      </c>
      <c r="G35" s="462"/>
      <c r="H35" s="461">
        <v>17325616.289999999</v>
      </c>
      <c r="I35" s="507"/>
    </row>
    <row r="36" spans="1:9" s="1" customFormat="1" ht="21.75" customHeight="1" x14ac:dyDescent="0.2">
      <c r="B36" s="863" t="s">
        <v>494</v>
      </c>
      <c r="C36" s="864"/>
      <c r="D36" s="314">
        <v>5127182.29</v>
      </c>
      <c r="E36" s="474">
        <v>10530760.49</v>
      </c>
      <c r="F36" s="461">
        <v>17317380.469999999</v>
      </c>
      <c r="G36" s="462"/>
      <c r="H36" s="461">
        <v>17317380.469999999</v>
      </c>
      <c r="I36" s="507"/>
    </row>
    <row r="37" spans="1:9" s="1" customFormat="1" ht="11.25" x14ac:dyDescent="0.2">
      <c r="B37" s="458" t="s">
        <v>495</v>
      </c>
      <c r="C37" s="459"/>
      <c r="D37" s="314">
        <v>1920016.48</v>
      </c>
      <c r="E37" s="474">
        <v>2269631.2599999998</v>
      </c>
      <c r="F37" s="461">
        <v>3882661.32</v>
      </c>
      <c r="G37" s="462"/>
      <c r="H37" s="461">
        <v>3882661.32</v>
      </c>
      <c r="I37" s="507"/>
    </row>
    <row r="38" spans="1:9" s="1" customFormat="1" ht="11.25" x14ac:dyDescent="0.2">
      <c r="A38" s="458" t="s">
        <v>496</v>
      </c>
      <c r="B38" s="459"/>
      <c r="C38" s="459"/>
      <c r="D38" s="460"/>
      <c r="E38" s="549"/>
      <c r="F38" s="619"/>
      <c r="G38" s="549"/>
      <c r="H38" s="619"/>
      <c r="I38" s="507"/>
    </row>
    <row r="39" spans="1:9" s="1" customFormat="1" ht="11.25" x14ac:dyDescent="0.2">
      <c r="B39" s="458" t="s">
        <v>491</v>
      </c>
      <c r="C39" s="459"/>
      <c r="D39" s="474">
        <v>0</v>
      </c>
      <c r="E39" s="474">
        <v>0</v>
      </c>
      <c r="F39" s="461">
        <v>0</v>
      </c>
      <c r="G39" s="462"/>
      <c r="H39" s="461">
        <v>0</v>
      </c>
      <c r="I39" s="507"/>
    </row>
    <row r="40" spans="1:9" s="1" customFormat="1" ht="11.25" x14ac:dyDescent="0.2">
      <c r="B40" s="458" t="s">
        <v>492</v>
      </c>
      <c r="C40" s="459"/>
      <c r="D40" s="474">
        <v>0</v>
      </c>
      <c r="E40" s="474">
        <v>0</v>
      </c>
      <c r="F40" s="461">
        <v>0</v>
      </c>
      <c r="G40" s="462"/>
      <c r="H40" s="461">
        <v>0</v>
      </c>
      <c r="I40" s="507"/>
    </row>
    <row r="41" spans="1:9" s="1" customFormat="1" ht="11.25" x14ac:dyDescent="0.2">
      <c r="B41" s="458" t="s">
        <v>493</v>
      </c>
      <c r="C41" s="459"/>
      <c r="D41" s="474">
        <v>0</v>
      </c>
      <c r="E41" s="474">
        <v>0</v>
      </c>
      <c r="F41" s="461">
        <v>0</v>
      </c>
      <c r="G41" s="462"/>
      <c r="H41" s="461">
        <v>0</v>
      </c>
      <c r="I41" s="507"/>
    </row>
    <row r="42" spans="1:9" s="1" customFormat="1" ht="11.25" x14ac:dyDescent="0.2">
      <c r="B42" s="458" t="s">
        <v>494</v>
      </c>
      <c r="C42" s="459"/>
      <c r="D42" s="474">
        <v>0</v>
      </c>
      <c r="E42" s="474">
        <v>0</v>
      </c>
      <c r="F42" s="461">
        <v>0</v>
      </c>
      <c r="G42" s="462"/>
      <c r="H42" s="461">
        <v>0</v>
      </c>
      <c r="I42" s="507"/>
    </row>
    <row r="43" spans="1:9" s="1" customFormat="1" ht="12" thickBot="1" x14ac:dyDescent="0.25">
      <c r="B43" s="458" t="s">
        <v>495</v>
      </c>
      <c r="C43" s="459"/>
      <c r="D43" s="474">
        <v>0</v>
      </c>
      <c r="E43" s="474">
        <v>0</v>
      </c>
      <c r="F43" s="461">
        <v>0</v>
      </c>
      <c r="G43" s="462"/>
      <c r="H43" s="501">
        <v>0</v>
      </c>
      <c r="I43" s="507"/>
    </row>
    <row r="44" spans="1:9" s="3" customFormat="1" ht="9" thickBot="1" x14ac:dyDescent="0.2">
      <c r="A44" s="551"/>
      <c r="B44" s="551"/>
      <c r="C44" s="551"/>
      <c r="D44" s="551"/>
      <c r="E44" s="551"/>
      <c r="F44" s="551"/>
      <c r="G44" s="551"/>
      <c r="H44" s="329"/>
    </row>
    <row r="45" spans="1:9" ht="15.75" customHeight="1" x14ac:dyDescent="0.25">
      <c r="A45" s="854" t="s">
        <v>497</v>
      </c>
      <c r="B45" s="854"/>
      <c r="C45" s="855"/>
      <c r="D45" s="452" t="s">
        <v>498</v>
      </c>
      <c r="E45" s="452" t="s">
        <v>499</v>
      </c>
      <c r="F45" s="452" t="s">
        <v>499</v>
      </c>
      <c r="G45" s="874" t="s">
        <v>500</v>
      </c>
      <c r="H45" s="453"/>
    </row>
    <row r="46" spans="1:9" x14ac:dyDescent="0.25">
      <c r="A46" s="861"/>
      <c r="B46" s="861"/>
      <c r="C46" s="862"/>
      <c r="D46" s="476" t="s">
        <v>501</v>
      </c>
      <c r="E46" s="476" t="s">
        <v>201</v>
      </c>
      <c r="F46" s="476" t="s">
        <v>502</v>
      </c>
      <c r="G46" s="875"/>
      <c r="H46" s="477"/>
    </row>
    <row r="47" spans="1:9" x14ac:dyDescent="0.25">
      <c r="A47" s="861"/>
      <c r="B47" s="861"/>
      <c r="C47" s="862"/>
      <c r="D47" s="476" t="s">
        <v>503</v>
      </c>
      <c r="E47" s="476"/>
      <c r="F47" s="476"/>
      <c r="G47" s="875"/>
      <c r="H47" s="477"/>
    </row>
    <row r="48" spans="1:9" ht="15.75" thickBot="1" x14ac:dyDescent="0.3">
      <c r="A48" s="856"/>
      <c r="B48" s="856"/>
      <c r="C48" s="857"/>
      <c r="D48" s="476" t="s">
        <v>504</v>
      </c>
      <c r="E48" s="476" t="s">
        <v>505</v>
      </c>
      <c r="F48" s="485"/>
      <c r="G48" s="476" t="s">
        <v>506</v>
      </c>
      <c r="H48" s="477"/>
    </row>
    <row r="49" spans="1:9" s="1" customFormat="1" ht="11.25" x14ac:dyDescent="0.2">
      <c r="A49" s="454" t="s">
        <v>507</v>
      </c>
      <c r="B49" s="455"/>
      <c r="C49" s="455"/>
      <c r="D49" s="472">
        <v>-34174904.469999999</v>
      </c>
      <c r="E49" s="472">
        <v>124941.63</v>
      </c>
      <c r="F49" s="314">
        <v>520963.75</v>
      </c>
      <c r="G49" s="546">
        <f>(F49/D49)*100</f>
        <v>-1.5244044075011864</v>
      </c>
      <c r="H49" s="548"/>
      <c r="I49" s="507"/>
    </row>
    <row r="50" spans="1:9" s="1" customFormat="1" ht="12" thickBot="1" x14ac:dyDescent="0.25">
      <c r="A50" s="458" t="s">
        <v>508</v>
      </c>
      <c r="B50" s="459"/>
      <c r="C50" s="459"/>
      <c r="D50" s="461">
        <v>-34174904.469999999</v>
      </c>
      <c r="E50" s="461">
        <v>4006442.02</v>
      </c>
      <c r="F50" s="314">
        <v>-1487573.97</v>
      </c>
      <c r="G50" s="547">
        <f>(F50/D50)*100</f>
        <v>4.352825539880727</v>
      </c>
      <c r="H50" s="550"/>
      <c r="I50" s="507"/>
    </row>
    <row r="51" spans="1:9" s="3" customFormat="1" ht="9" thickBot="1" x14ac:dyDescent="0.2">
      <c r="A51" s="551"/>
      <c r="B51" s="551"/>
      <c r="C51" s="551"/>
      <c r="D51" s="551"/>
      <c r="E51" s="551"/>
      <c r="F51" s="551"/>
      <c r="G51" s="551"/>
      <c r="H51" s="329"/>
    </row>
    <row r="52" spans="1:9" x14ac:dyDescent="0.25">
      <c r="A52" s="854" t="s">
        <v>509</v>
      </c>
      <c r="B52" s="854"/>
      <c r="C52" s="855"/>
      <c r="D52" s="452" t="s">
        <v>510</v>
      </c>
      <c r="E52" s="452" t="s">
        <v>511</v>
      </c>
      <c r="F52" s="452" t="s">
        <v>512</v>
      </c>
      <c r="G52" s="453" t="s">
        <v>513</v>
      </c>
      <c r="H52" s="314"/>
    </row>
    <row r="53" spans="1:9" ht="15.75" thickBot="1" x14ac:dyDescent="0.3">
      <c r="A53" s="856"/>
      <c r="B53" s="856"/>
      <c r="C53" s="857"/>
      <c r="D53" s="476"/>
      <c r="E53" s="476" t="s">
        <v>473</v>
      </c>
      <c r="F53" s="476" t="s">
        <v>473</v>
      </c>
      <c r="G53" s="477" t="s">
        <v>162</v>
      </c>
      <c r="H53" s="314"/>
    </row>
    <row r="54" spans="1:9" s="1" customFormat="1" ht="11.25" x14ac:dyDescent="0.2">
      <c r="B54" s="478" t="s">
        <v>514</v>
      </c>
      <c r="C54" s="454"/>
      <c r="D54" s="472">
        <v>24631979.52</v>
      </c>
      <c r="E54" s="472">
        <v>5971.88</v>
      </c>
      <c r="F54" s="472">
        <v>7808134.9299999997</v>
      </c>
      <c r="G54" s="473">
        <v>16817872.710000001</v>
      </c>
      <c r="H54" s="314"/>
    </row>
    <row r="55" spans="1:9" s="1" customFormat="1" ht="11.25" x14ac:dyDescent="0.2">
      <c r="C55" s="479" t="s">
        <v>515</v>
      </c>
      <c r="D55" s="461">
        <v>24630142.109999999</v>
      </c>
      <c r="E55" s="461">
        <v>5971.88</v>
      </c>
      <c r="F55" s="461">
        <v>78062973.519999996</v>
      </c>
      <c r="G55" s="462">
        <v>16817872.710000001</v>
      </c>
      <c r="H55" s="314"/>
    </row>
    <row r="56" spans="1:9" s="1" customFormat="1" ht="11.25" x14ac:dyDescent="0.2">
      <c r="C56" s="479" t="s">
        <v>516</v>
      </c>
      <c r="D56" s="461">
        <v>1837.41</v>
      </c>
      <c r="E56" s="461">
        <v>0</v>
      </c>
      <c r="F56" s="461">
        <v>1837.41</v>
      </c>
      <c r="G56" s="462">
        <v>0</v>
      </c>
      <c r="H56" s="314"/>
    </row>
    <row r="57" spans="1:9" s="1" customFormat="1" ht="11.25" x14ac:dyDescent="0.2">
      <c r="B57" s="440" t="s">
        <v>517</v>
      </c>
      <c r="C57" s="458"/>
      <c r="D57" s="461">
        <v>4720024.5599999996</v>
      </c>
      <c r="E57" s="461">
        <v>211054.78</v>
      </c>
      <c r="F57" s="461">
        <v>2897110.04</v>
      </c>
      <c r="G57" s="462">
        <v>1611859.74</v>
      </c>
      <c r="H57" s="314"/>
    </row>
    <row r="58" spans="1:9" s="1" customFormat="1" ht="11.25" x14ac:dyDescent="0.2">
      <c r="C58" s="479" t="s">
        <v>515</v>
      </c>
      <c r="D58" s="461">
        <v>4720024.5599999996</v>
      </c>
      <c r="E58" s="461">
        <v>211054.78</v>
      </c>
      <c r="F58" s="461">
        <v>2897110.04</v>
      </c>
      <c r="G58" s="462">
        <v>1611859.74</v>
      </c>
      <c r="H58" s="314"/>
    </row>
    <row r="59" spans="1:9" s="1" customFormat="1" ht="12" thickBot="1" x14ac:dyDescent="0.25">
      <c r="C59" s="479" t="s">
        <v>516</v>
      </c>
      <c r="D59" s="461">
        <v>0</v>
      </c>
      <c r="E59" s="461">
        <v>0</v>
      </c>
      <c r="F59" s="461">
        <v>0</v>
      </c>
      <c r="G59" s="462">
        <v>0</v>
      </c>
      <c r="H59" s="314"/>
    </row>
    <row r="60" spans="1:9" s="1" customFormat="1" ht="12" thickBot="1" x14ac:dyDescent="0.25">
      <c r="A60" s="480" t="s">
        <v>182</v>
      </c>
      <c r="B60" s="481"/>
      <c r="C60" s="481"/>
      <c r="D60" s="482">
        <v>29352004.079999998</v>
      </c>
      <c r="E60" s="482">
        <v>217026.66</v>
      </c>
      <c r="F60" s="482">
        <v>10705244.970000001</v>
      </c>
      <c r="G60" s="483">
        <v>18429732.449999999</v>
      </c>
      <c r="H60" s="314"/>
    </row>
    <row r="61" spans="1:9" s="3" customFormat="1" ht="9" thickBot="1" x14ac:dyDescent="0.2">
      <c r="H61" s="329"/>
    </row>
    <row r="62" spans="1:9" ht="15.75" thickBot="1" x14ac:dyDescent="0.3">
      <c r="A62" s="865" t="s">
        <v>518</v>
      </c>
      <c r="B62" s="866"/>
      <c r="C62" s="866"/>
      <c r="D62" s="867"/>
      <c r="E62" s="852" t="s">
        <v>741</v>
      </c>
      <c r="F62" s="858"/>
      <c r="G62" s="853"/>
      <c r="H62" s="314"/>
    </row>
    <row r="63" spans="1:9" x14ac:dyDescent="0.25">
      <c r="A63" s="868"/>
      <c r="B63" s="869"/>
      <c r="C63" s="869"/>
      <c r="D63" s="870"/>
      <c r="E63" s="476" t="s">
        <v>519</v>
      </c>
      <c r="F63" s="476" t="s">
        <v>520</v>
      </c>
      <c r="G63" s="453" t="s">
        <v>521</v>
      </c>
      <c r="H63" s="314"/>
    </row>
    <row r="64" spans="1:9" ht="15.75" thickBot="1" x14ac:dyDescent="0.3">
      <c r="A64" s="871"/>
      <c r="B64" s="872"/>
      <c r="C64" s="872"/>
      <c r="D64" s="873"/>
      <c r="E64" s="485" t="s">
        <v>502</v>
      </c>
      <c r="F64" s="485" t="s">
        <v>522</v>
      </c>
      <c r="G64" s="486" t="s">
        <v>523</v>
      </c>
      <c r="H64" s="314"/>
    </row>
    <row r="65" spans="1:8" x14ac:dyDescent="0.25">
      <c r="A65" s="454" t="s">
        <v>1848</v>
      </c>
      <c r="B65" s="455"/>
      <c r="C65" s="455"/>
      <c r="D65" s="472"/>
      <c r="E65" s="609">
        <v>17532937.289999999</v>
      </c>
      <c r="F65" s="611">
        <v>0.25</v>
      </c>
      <c r="G65" s="473">
        <v>35.700000000000003</v>
      </c>
      <c r="H65" s="314"/>
    </row>
    <row r="66" spans="1:8" x14ac:dyDescent="0.25">
      <c r="A66" s="458" t="s">
        <v>524</v>
      </c>
      <c r="B66" s="459"/>
      <c r="C66" s="459"/>
      <c r="D66" s="461"/>
      <c r="E66" s="612">
        <v>13748731.9</v>
      </c>
      <c r="F66" s="610">
        <v>0.7</v>
      </c>
      <c r="G66" s="462">
        <v>98.88</v>
      </c>
      <c r="H66" s="314"/>
    </row>
    <row r="67" spans="1:8" x14ac:dyDescent="0.25">
      <c r="A67" s="458" t="s">
        <v>525</v>
      </c>
      <c r="B67" s="459"/>
      <c r="C67" s="459"/>
      <c r="D67" s="461"/>
      <c r="E67" s="487"/>
      <c r="F67" s="610">
        <v>0.5</v>
      </c>
      <c r="G67" s="462">
        <v>0</v>
      </c>
      <c r="H67" s="314"/>
    </row>
    <row r="68" spans="1:8" x14ac:dyDescent="0.25">
      <c r="A68" s="458" t="s">
        <v>526</v>
      </c>
      <c r="B68" s="459"/>
      <c r="C68" s="459"/>
      <c r="D68" s="461"/>
      <c r="E68" s="487"/>
      <c r="F68" s="610">
        <v>0.15</v>
      </c>
      <c r="G68" s="462">
        <v>0</v>
      </c>
      <c r="H68" s="314"/>
    </row>
    <row r="69" spans="1:8" s="3" customFormat="1" ht="9" thickBot="1" x14ac:dyDescent="0.2">
      <c r="A69" s="19"/>
      <c r="B69" s="19"/>
      <c r="C69" s="530"/>
      <c r="D69" s="531"/>
      <c r="E69" s="531"/>
      <c r="F69" s="531"/>
      <c r="G69" s="531"/>
      <c r="H69" s="532"/>
    </row>
    <row r="70" spans="1:8" x14ac:dyDescent="0.25">
      <c r="A70" s="511"/>
      <c r="B70" s="512"/>
      <c r="C70" s="512" t="s">
        <v>754</v>
      </c>
      <c r="D70" s="484"/>
      <c r="E70" s="484"/>
      <c r="F70" s="528" t="s">
        <v>755</v>
      </c>
      <c r="G70" s="527" t="s">
        <v>756</v>
      </c>
    </row>
    <row r="71" spans="1:8" x14ac:dyDescent="0.25">
      <c r="A71" s="499"/>
      <c r="B71" s="524" t="s">
        <v>757</v>
      </c>
      <c r="C71" s="524"/>
      <c r="D71" s="524"/>
      <c r="E71" s="524"/>
      <c r="F71" s="498"/>
      <c r="G71" s="524"/>
      <c r="H71" s="500"/>
    </row>
    <row r="72" spans="1:8" ht="15.75" thickBot="1" x14ac:dyDescent="0.3">
      <c r="A72" s="525"/>
      <c r="B72" s="526" t="s">
        <v>758</v>
      </c>
      <c r="C72" s="526"/>
      <c r="D72" s="518"/>
      <c r="E72" s="518"/>
      <c r="F72" s="501"/>
      <c r="G72" s="518"/>
      <c r="H72" s="524"/>
    </row>
    <row r="73" spans="1:8" s="3" customFormat="1" ht="9" thickBot="1" x14ac:dyDescent="0.2">
      <c r="A73" s="19"/>
      <c r="B73" s="19"/>
      <c r="C73" s="530"/>
      <c r="D73" s="531"/>
      <c r="E73" s="531"/>
      <c r="F73" s="531"/>
      <c r="G73" s="531"/>
      <c r="H73" s="532"/>
    </row>
    <row r="74" spans="1:8" ht="15.75" thickBot="1" x14ac:dyDescent="0.3">
      <c r="A74" s="520" t="s">
        <v>749</v>
      </c>
      <c r="B74" s="521"/>
      <c r="C74" s="521"/>
      <c r="D74" s="469" t="s">
        <v>745</v>
      </c>
      <c r="E74" s="494" t="s">
        <v>746</v>
      </c>
      <c r="F74" s="469" t="s">
        <v>747</v>
      </c>
      <c r="G74" s="494" t="s">
        <v>748</v>
      </c>
      <c r="H74" s="524"/>
    </row>
    <row r="75" spans="1:8" s="621" customFormat="1" ht="11.25" x14ac:dyDescent="0.2">
      <c r="A75" s="513" t="s">
        <v>750</v>
      </c>
      <c r="B75" s="508"/>
      <c r="C75" s="508"/>
      <c r="D75" s="620"/>
      <c r="E75" s="509"/>
      <c r="F75" s="523"/>
      <c r="G75" s="509"/>
      <c r="H75" s="524"/>
    </row>
    <row r="76" spans="1:8" s="621" customFormat="1" ht="11.25" x14ac:dyDescent="0.2">
      <c r="A76" s="513"/>
      <c r="B76" s="508" t="s">
        <v>751</v>
      </c>
      <c r="C76" s="508"/>
      <c r="D76" s="522">
        <v>5034543.4400000004</v>
      </c>
      <c r="E76" s="510">
        <v>15657017.57</v>
      </c>
      <c r="F76" s="522">
        <v>1754724.89</v>
      </c>
      <c r="G76" s="510">
        <v>838596.03</v>
      </c>
      <c r="H76" s="524"/>
    </row>
    <row r="77" spans="1:8" s="621" customFormat="1" ht="11.25" x14ac:dyDescent="0.2">
      <c r="A77" s="513"/>
      <c r="B77" s="508" t="s">
        <v>752</v>
      </c>
      <c r="C77" s="508"/>
      <c r="D77" s="522">
        <v>9128461.0899999999</v>
      </c>
      <c r="E77" s="510">
        <v>15657017.57</v>
      </c>
      <c r="F77" s="522">
        <v>17866060.68</v>
      </c>
      <c r="G77" s="510">
        <v>11592677.27</v>
      </c>
      <c r="H77" s="524"/>
    </row>
    <row r="78" spans="1:8" s="621" customFormat="1" ht="11.25" x14ac:dyDescent="0.2">
      <c r="A78" s="513"/>
      <c r="B78" s="508" t="s">
        <v>495</v>
      </c>
      <c r="C78" s="508"/>
      <c r="D78" s="522">
        <v>-4093917.65</v>
      </c>
      <c r="E78" s="510">
        <v>-12560173.720000001</v>
      </c>
      <c r="F78" s="522">
        <v>-16111335.789999999</v>
      </c>
      <c r="G78" s="510">
        <v>-10754081.24</v>
      </c>
      <c r="H78" s="524"/>
    </row>
    <row r="79" spans="1:8" s="621" customFormat="1" ht="11.25" x14ac:dyDescent="0.2">
      <c r="A79" s="513" t="s">
        <v>753</v>
      </c>
      <c r="B79" s="508"/>
      <c r="C79" s="508"/>
      <c r="D79" s="523"/>
      <c r="E79" s="509"/>
      <c r="F79" s="523"/>
      <c r="G79" s="509"/>
      <c r="H79" s="524"/>
    </row>
    <row r="80" spans="1:8" s="1" customFormat="1" ht="11.25" x14ac:dyDescent="0.2">
      <c r="A80" s="514"/>
      <c r="B80" s="508" t="s">
        <v>751</v>
      </c>
      <c r="C80" s="504"/>
      <c r="D80" s="461">
        <v>0</v>
      </c>
      <c r="E80" s="505">
        <v>0</v>
      </c>
      <c r="F80" s="461">
        <v>0</v>
      </c>
      <c r="G80" s="505">
        <v>0</v>
      </c>
      <c r="H80" s="524"/>
    </row>
    <row r="81" spans="1:8" s="1" customFormat="1" ht="11.25" x14ac:dyDescent="0.2">
      <c r="A81" s="514"/>
      <c r="B81" s="508" t="s">
        <v>752</v>
      </c>
      <c r="C81" s="506"/>
      <c r="D81" s="461">
        <v>0</v>
      </c>
      <c r="E81" s="505">
        <v>0</v>
      </c>
      <c r="F81" s="461">
        <v>0</v>
      </c>
      <c r="G81" s="505">
        <v>0</v>
      </c>
      <c r="H81" s="524"/>
    </row>
    <row r="82" spans="1:8" s="1" customFormat="1" ht="12" thickBot="1" x14ac:dyDescent="0.25">
      <c r="A82" s="515"/>
      <c r="B82" s="516" t="s">
        <v>495</v>
      </c>
      <c r="C82" s="517"/>
      <c r="D82" s="501">
        <v>0</v>
      </c>
      <c r="E82" s="518">
        <v>0</v>
      </c>
      <c r="F82" s="501">
        <v>0</v>
      </c>
      <c r="G82" s="518">
        <v>0</v>
      </c>
      <c r="H82" s="524"/>
    </row>
    <row r="83" spans="1:8" s="3" customFormat="1" ht="9" thickBot="1" x14ac:dyDescent="0.2">
      <c r="A83" s="19"/>
      <c r="B83" s="19"/>
      <c r="C83" s="530"/>
      <c r="D83" s="531"/>
      <c r="E83" s="531"/>
      <c r="F83" s="531"/>
      <c r="G83" s="531"/>
      <c r="H83" s="532"/>
    </row>
    <row r="84" spans="1:8" ht="15.75" thickBot="1" x14ac:dyDescent="0.3">
      <c r="A84" s="511"/>
      <c r="B84" s="512"/>
      <c r="C84" s="512" t="s">
        <v>759</v>
      </c>
      <c r="D84" s="484"/>
      <c r="E84" s="484"/>
      <c r="F84" s="529" t="s">
        <v>762</v>
      </c>
      <c r="G84" s="495" t="s">
        <v>763</v>
      </c>
    </row>
    <row r="85" spans="1:8" x14ac:dyDescent="0.25">
      <c r="A85" s="499"/>
      <c r="B85" s="524" t="s">
        <v>760</v>
      </c>
      <c r="C85" s="524"/>
      <c r="D85" s="524"/>
      <c r="E85" s="524"/>
      <c r="F85" s="472">
        <v>0</v>
      </c>
      <c r="G85" s="505">
        <v>0</v>
      </c>
      <c r="H85" s="500"/>
    </row>
    <row r="86" spans="1:8" ht="15.75" thickBot="1" x14ac:dyDescent="0.3">
      <c r="A86" s="525"/>
      <c r="B86" s="526" t="s">
        <v>761</v>
      </c>
      <c r="C86" s="526"/>
      <c r="D86" s="518"/>
      <c r="E86" s="518"/>
      <c r="F86" s="501">
        <v>0</v>
      </c>
      <c r="G86" s="518">
        <v>0</v>
      </c>
      <c r="H86" s="532"/>
    </row>
    <row r="87" spans="1:8" s="3" customFormat="1" ht="9" thickBot="1" x14ac:dyDescent="0.2">
      <c r="A87" s="19"/>
      <c r="B87" s="19"/>
      <c r="C87" s="530"/>
      <c r="D87" s="531"/>
      <c r="H87" s="532"/>
    </row>
    <row r="88" spans="1:8" ht="15.75" thickBot="1" x14ac:dyDescent="0.3">
      <c r="A88" s="496"/>
      <c r="B88" s="496"/>
      <c r="C88" s="496"/>
      <c r="D88" s="503"/>
      <c r="E88" s="452" t="s">
        <v>519</v>
      </c>
      <c r="F88" s="852" t="s">
        <v>527</v>
      </c>
      <c r="G88" s="853"/>
      <c r="H88" s="532"/>
    </row>
    <row r="89" spans="1:8" x14ac:dyDescent="0.25">
      <c r="A89" s="539" t="s">
        <v>737</v>
      </c>
      <c r="B89" s="496"/>
      <c r="C89" s="496"/>
      <c r="D89" s="503"/>
      <c r="E89" s="476" t="s">
        <v>502</v>
      </c>
      <c r="F89" s="476" t="s">
        <v>520</v>
      </c>
      <c r="G89" s="542" t="s">
        <v>528</v>
      </c>
      <c r="H89" s="532"/>
    </row>
    <row r="90" spans="1:8" ht="15.75" thickBot="1" x14ac:dyDescent="0.3">
      <c r="A90" s="540"/>
      <c r="B90" s="492"/>
      <c r="C90" s="492"/>
      <c r="D90" s="535"/>
      <c r="E90" s="485"/>
      <c r="F90" s="476" t="s">
        <v>529</v>
      </c>
      <c r="G90" s="476"/>
      <c r="H90" s="532"/>
    </row>
    <row r="91" spans="1:8" ht="15.75" thickBot="1" x14ac:dyDescent="0.3">
      <c r="A91" s="537" t="s">
        <v>1849</v>
      </c>
      <c r="B91" s="538"/>
      <c r="C91" s="536"/>
      <c r="D91" s="501"/>
      <c r="E91" s="482">
        <v>13279773.9</v>
      </c>
      <c r="F91" s="533" t="s">
        <v>736</v>
      </c>
      <c r="G91" s="534">
        <v>27.09</v>
      </c>
      <c r="H91" s="532"/>
    </row>
    <row r="92" spans="1:8" s="3" customFormat="1" ht="9" thickBot="1" x14ac:dyDescent="0.2">
      <c r="A92" s="19"/>
      <c r="B92" s="19"/>
      <c r="C92" s="530"/>
      <c r="D92" s="531"/>
      <c r="E92" s="531"/>
      <c r="F92" s="531"/>
      <c r="G92" s="531"/>
      <c r="H92" s="532"/>
    </row>
    <row r="93" spans="1:8" ht="15.75" thickBot="1" x14ac:dyDescent="0.3">
      <c r="A93" s="541" t="s">
        <v>530</v>
      </c>
      <c r="B93" s="493"/>
      <c r="C93" s="494"/>
      <c r="D93" s="494"/>
      <c r="E93" s="494"/>
      <c r="F93" s="852" t="s">
        <v>531</v>
      </c>
      <c r="G93" s="853"/>
      <c r="H93" s="532"/>
    </row>
    <row r="94" spans="1:8" ht="15.75" thickBot="1" x14ac:dyDescent="0.3">
      <c r="A94" s="504" t="s">
        <v>532</v>
      </c>
      <c r="B94" s="537"/>
      <c r="C94" s="526"/>
      <c r="D94" s="518"/>
      <c r="E94" s="518"/>
      <c r="F94" s="502"/>
      <c r="G94" s="519">
        <v>0</v>
      </c>
      <c r="H94" s="314"/>
    </row>
    <row r="95" spans="1:8" x14ac:dyDescent="0.25">
      <c r="A95" s="488" t="s">
        <v>742</v>
      </c>
      <c r="H95" s="314"/>
    </row>
    <row r="96" spans="1:8" x14ac:dyDescent="0.25">
      <c r="A96" s="692" t="s">
        <v>1851</v>
      </c>
      <c r="H96" s="314"/>
    </row>
    <row r="97" spans="1:9" x14ac:dyDescent="0.25">
      <c r="A97" s="488" t="s">
        <v>1850</v>
      </c>
      <c r="H97" s="314"/>
    </row>
    <row r="98" spans="1:9" x14ac:dyDescent="0.25">
      <c r="H98" s="314"/>
    </row>
    <row r="99" spans="1:9" x14ac:dyDescent="0.25">
      <c r="E99" s="545"/>
      <c r="G99" s="545"/>
      <c r="H99" s="314"/>
    </row>
    <row r="100" spans="1:9" x14ac:dyDescent="0.25">
      <c r="B100" s="543" t="s">
        <v>23</v>
      </c>
      <c r="C100" s="544"/>
      <c r="E100" s="29" t="s">
        <v>24</v>
      </c>
      <c r="F100" s="30"/>
      <c r="G100" s="400" t="s">
        <v>25</v>
      </c>
      <c r="H100" s="314"/>
      <c r="I100" s="400"/>
    </row>
    <row r="101" spans="1:9" x14ac:dyDescent="0.25">
      <c r="B101" s="489" t="s">
        <v>26</v>
      </c>
      <c r="C101" s="28"/>
      <c r="E101" s="29" t="s">
        <v>27</v>
      </c>
      <c r="F101" s="30"/>
      <c r="G101" s="400" t="s">
        <v>28</v>
      </c>
      <c r="I101" s="400"/>
    </row>
  </sheetData>
  <mergeCells count="19">
    <mergeCell ref="B13:C13"/>
    <mergeCell ref="A28:C28"/>
    <mergeCell ref="A29:C29"/>
    <mergeCell ref="A32:C32"/>
    <mergeCell ref="B33:C33"/>
    <mergeCell ref="F88:G88"/>
    <mergeCell ref="F93:G93"/>
    <mergeCell ref="A52:C53"/>
    <mergeCell ref="E62:G62"/>
    <mergeCell ref="F25:G25"/>
    <mergeCell ref="D25:E25"/>
    <mergeCell ref="A26:C26"/>
    <mergeCell ref="A31:C31"/>
    <mergeCell ref="A45:C48"/>
    <mergeCell ref="B34:C34"/>
    <mergeCell ref="B35:C35"/>
    <mergeCell ref="B36:C36"/>
    <mergeCell ref="A62:D64"/>
    <mergeCell ref="G45:G47"/>
  </mergeCells>
  <pageMargins left="0.511811024" right="0.511811024" top="0.78740157499999996" bottom="0.78740157499999996" header="0.31496062000000002" footer="0.31496062000000002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7:K48"/>
  <sheetViews>
    <sheetView topLeftCell="A2" workbookViewId="0">
      <selection activeCell="A12" sqref="A12"/>
    </sheetView>
  </sheetViews>
  <sheetFormatPr defaultRowHeight="15" x14ac:dyDescent="0.25"/>
  <cols>
    <col min="1" max="1" width="41.85546875" style="1" customWidth="1"/>
    <col min="2" max="2" width="1.140625" customWidth="1"/>
    <col min="3" max="3" width="22.42578125" bestFit="1" customWidth="1"/>
    <col min="4" max="4" width="1" customWidth="1"/>
    <col min="5" max="6" width="23.140625" bestFit="1" customWidth="1"/>
  </cols>
  <sheetData>
    <row r="7" spans="1:5" x14ac:dyDescent="0.25">
      <c r="A7" s="1" t="s">
        <v>770</v>
      </c>
    </row>
    <row r="8" spans="1:5" x14ac:dyDescent="0.25">
      <c r="A8" s="1" t="s">
        <v>535</v>
      </c>
    </row>
    <row r="9" spans="1:5" x14ac:dyDescent="0.25">
      <c r="A9" s="1" t="s">
        <v>771</v>
      </c>
    </row>
    <row r="10" spans="1:5" x14ac:dyDescent="0.25">
      <c r="A10" s="1" t="s">
        <v>536</v>
      </c>
    </row>
    <row r="11" spans="1:5" x14ac:dyDescent="0.25">
      <c r="A11" s="399" t="s">
        <v>1854</v>
      </c>
      <c r="B11" s="556"/>
    </row>
    <row r="12" spans="1:5" s="3" customFormat="1" ht="11.25" x14ac:dyDescent="0.2">
      <c r="A12" s="40" t="s">
        <v>1852</v>
      </c>
    </row>
    <row r="13" spans="1:5" x14ac:dyDescent="0.25">
      <c r="A13" s="1" t="s">
        <v>772</v>
      </c>
      <c r="E13" s="554" t="s">
        <v>537</v>
      </c>
    </row>
    <row r="14" spans="1:5" s="555" customFormat="1" ht="15" customHeight="1" x14ac:dyDescent="0.25">
      <c r="A14" s="577" t="s">
        <v>773</v>
      </c>
      <c r="B14" s="578"/>
      <c r="C14" s="880" t="s">
        <v>774</v>
      </c>
      <c r="D14" s="880"/>
      <c r="E14" s="880"/>
    </row>
    <row r="15" spans="1:5" x14ac:dyDescent="0.25">
      <c r="A15" s="579" t="s">
        <v>775</v>
      </c>
      <c r="B15" s="571"/>
      <c r="C15" s="571"/>
      <c r="D15" s="571"/>
      <c r="E15" s="690">
        <v>130014671.91</v>
      </c>
    </row>
    <row r="16" spans="1:5" x14ac:dyDescent="0.25">
      <c r="A16" s="417" t="s">
        <v>776</v>
      </c>
      <c r="B16" s="601"/>
      <c r="C16" s="431"/>
      <c r="D16" s="431"/>
      <c r="E16" s="690">
        <v>129745178.91</v>
      </c>
    </row>
    <row r="17" spans="1:5" x14ac:dyDescent="0.25">
      <c r="A17" s="580" t="s">
        <v>777</v>
      </c>
      <c r="B17" s="573"/>
      <c r="C17" s="545"/>
      <c r="D17" s="545"/>
      <c r="E17" s="690">
        <v>129745178.91</v>
      </c>
    </row>
    <row r="18" spans="1:5" s="3" customFormat="1" ht="11.25" x14ac:dyDescent="0.2">
      <c r="A18" s="1"/>
    </row>
    <row r="19" spans="1:5" x14ac:dyDescent="0.25">
      <c r="A19" s="570" t="s">
        <v>778</v>
      </c>
      <c r="B19" s="566"/>
      <c r="C19" s="566" t="s">
        <v>779</v>
      </c>
      <c r="D19" s="566"/>
      <c r="E19" s="558" t="s">
        <v>780</v>
      </c>
    </row>
    <row r="20" spans="1:5" x14ac:dyDescent="0.25">
      <c r="A20" s="422" t="s">
        <v>781</v>
      </c>
      <c r="B20" s="562"/>
      <c r="C20" s="563">
        <v>98216679.200000003</v>
      </c>
      <c r="D20" s="563"/>
      <c r="E20" s="691">
        <f>C20/E17</f>
        <v>0.75699675336784356</v>
      </c>
    </row>
    <row r="21" spans="1:5" x14ac:dyDescent="0.25">
      <c r="A21" s="422" t="s">
        <v>782</v>
      </c>
      <c r="B21" s="562"/>
      <c r="C21" s="563">
        <f>E17*0.54</f>
        <v>70062396.611400008</v>
      </c>
      <c r="D21" s="563"/>
      <c r="E21" s="569">
        <v>54</v>
      </c>
    </row>
    <row r="22" spans="1:5" x14ac:dyDescent="0.25">
      <c r="A22" s="422" t="s">
        <v>783</v>
      </c>
      <c r="B22" s="562"/>
      <c r="C22" s="563">
        <f>C20/0.513</f>
        <v>191455515.00974658</v>
      </c>
      <c r="D22" s="563"/>
      <c r="E22" s="569">
        <v>51.3</v>
      </c>
    </row>
    <row r="23" spans="1:5" x14ac:dyDescent="0.25">
      <c r="A23" s="422" t="s">
        <v>784</v>
      </c>
      <c r="B23" s="562"/>
      <c r="C23" s="563">
        <f>E17*0.486</f>
        <v>63056156.950259998</v>
      </c>
      <c r="D23" s="563"/>
      <c r="E23" s="569">
        <v>48.6</v>
      </c>
    </row>
    <row r="24" spans="1:5" s="3" customFormat="1" ht="11.25" x14ac:dyDescent="0.2">
      <c r="A24" s="1"/>
    </row>
    <row r="25" spans="1:5" ht="23.25" x14ac:dyDescent="0.25">
      <c r="A25" s="575" t="s">
        <v>538</v>
      </c>
      <c r="B25" s="557"/>
      <c r="C25" s="558" t="s">
        <v>785</v>
      </c>
      <c r="D25" s="558"/>
      <c r="E25" s="567" t="s">
        <v>780</v>
      </c>
    </row>
    <row r="26" spans="1:5" x14ac:dyDescent="0.25">
      <c r="A26" s="422" t="s">
        <v>786</v>
      </c>
      <c r="B26" s="562"/>
      <c r="C26" s="563"/>
      <c r="D26" s="563"/>
      <c r="E26" s="568"/>
    </row>
    <row r="27" spans="1:5" x14ac:dyDescent="0.25">
      <c r="A27" s="422" t="s">
        <v>787</v>
      </c>
      <c r="B27" s="562"/>
      <c r="C27" s="563">
        <v>0</v>
      </c>
      <c r="D27" s="563"/>
      <c r="E27" s="563">
        <v>0</v>
      </c>
    </row>
    <row r="28" spans="1:5" s="3" customFormat="1" ht="11.25" x14ac:dyDescent="0.2">
      <c r="A28" s="1"/>
    </row>
    <row r="29" spans="1:5" ht="23.25" x14ac:dyDescent="0.25">
      <c r="A29" s="575" t="s">
        <v>788</v>
      </c>
      <c r="B29" s="557"/>
      <c r="C29" s="564" t="s">
        <v>785</v>
      </c>
      <c r="D29" s="564"/>
      <c r="E29" s="565" t="s">
        <v>780</v>
      </c>
    </row>
    <row r="30" spans="1:5" x14ac:dyDescent="0.25">
      <c r="A30" s="422" t="s">
        <v>789</v>
      </c>
      <c r="B30" s="562"/>
      <c r="C30" s="563">
        <v>0</v>
      </c>
      <c r="D30" s="563"/>
      <c r="E30" s="563">
        <v>0</v>
      </c>
    </row>
    <row r="31" spans="1:5" x14ac:dyDescent="0.25">
      <c r="A31" s="422" t="s">
        <v>787</v>
      </c>
      <c r="B31" s="562"/>
      <c r="C31" s="563">
        <v>0</v>
      </c>
      <c r="D31" s="563"/>
      <c r="E31" s="563">
        <v>0</v>
      </c>
    </row>
    <row r="32" spans="1:5" s="3" customFormat="1" ht="11.25" x14ac:dyDescent="0.2">
      <c r="A32" s="1"/>
    </row>
    <row r="33" spans="1:11" x14ac:dyDescent="0.25">
      <c r="A33" s="561" t="s">
        <v>790</v>
      </c>
      <c r="B33" s="559"/>
      <c r="C33" s="560" t="s">
        <v>779</v>
      </c>
      <c r="D33" s="560"/>
      <c r="E33" s="581" t="s">
        <v>780</v>
      </c>
    </row>
    <row r="34" spans="1:11" x14ac:dyDescent="0.25">
      <c r="A34" s="584" t="s">
        <v>791</v>
      </c>
      <c r="B34" s="562"/>
      <c r="C34" s="563">
        <v>0</v>
      </c>
      <c r="D34" s="563"/>
      <c r="E34" s="563">
        <v>0</v>
      </c>
    </row>
    <row r="35" spans="1:11" x14ac:dyDescent="0.25">
      <c r="A35" s="422" t="s">
        <v>792</v>
      </c>
      <c r="B35" s="562"/>
      <c r="C35" s="563">
        <f>E17*1.2</f>
        <v>155694214.692</v>
      </c>
      <c r="D35" s="583"/>
      <c r="E35" s="563">
        <v>120</v>
      </c>
    </row>
    <row r="36" spans="1:11" x14ac:dyDescent="0.25">
      <c r="A36" s="422" t="s">
        <v>793</v>
      </c>
      <c r="B36" s="562"/>
      <c r="C36" s="563"/>
      <c r="D36" s="563"/>
      <c r="E36" s="582">
        <f>(C36/E17)*100</f>
        <v>0</v>
      </c>
    </row>
    <row r="37" spans="1:11" x14ac:dyDescent="0.25">
      <c r="A37" s="584" t="s">
        <v>794</v>
      </c>
      <c r="B37" s="562"/>
      <c r="C37" s="563">
        <v>0</v>
      </c>
      <c r="D37" s="563"/>
      <c r="E37" s="563">
        <v>0</v>
      </c>
    </row>
    <row r="38" spans="1:11" x14ac:dyDescent="0.25">
      <c r="A38" s="422" t="s">
        <v>792</v>
      </c>
      <c r="B38" s="562"/>
      <c r="C38" s="563"/>
      <c r="D38" s="563"/>
      <c r="E38" s="563"/>
    </row>
    <row r="39" spans="1:11" x14ac:dyDescent="0.25">
      <c r="A39" s="422" t="s">
        <v>795</v>
      </c>
      <c r="B39" s="562"/>
      <c r="C39" s="563">
        <v>0</v>
      </c>
      <c r="D39" s="563"/>
      <c r="E39" s="563">
        <v>0</v>
      </c>
    </row>
    <row r="40" spans="1:11" s="3" customFormat="1" ht="11.25" x14ac:dyDescent="0.2">
      <c r="A40" s="1"/>
    </row>
    <row r="41" spans="1:11" ht="60" customHeight="1" x14ac:dyDescent="0.25">
      <c r="A41" s="575" t="s">
        <v>796</v>
      </c>
      <c r="B41" s="557"/>
      <c r="C41" s="567" t="s">
        <v>797</v>
      </c>
      <c r="D41" s="558"/>
      <c r="E41" s="567" t="s">
        <v>798</v>
      </c>
    </row>
    <row r="42" spans="1:11" x14ac:dyDescent="0.25">
      <c r="A42" s="422" t="s">
        <v>799</v>
      </c>
      <c r="B42" s="562"/>
      <c r="C42" s="563"/>
      <c r="D42" s="563"/>
      <c r="E42" s="563"/>
    </row>
    <row r="43" spans="1:11" x14ac:dyDescent="0.25">
      <c r="A43" s="576" t="s">
        <v>1853</v>
      </c>
      <c r="B43" s="572"/>
    </row>
    <row r="45" spans="1:11" x14ac:dyDescent="0.25">
      <c r="C45" s="545"/>
      <c r="D45" s="500"/>
      <c r="E45" s="545"/>
      <c r="J45" s="314"/>
    </row>
    <row r="46" spans="1:11" x14ac:dyDescent="0.25">
      <c r="A46" s="574" t="s">
        <v>23</v>
      </c>
      <c r="C46" s="29" t="s">
        <v>24</v>
      </c>
      <c r="D46" s="29"/>
      <c r="E46" s="400" t="s">
        <v>25</v>
      </c>
      <c r="J46" s="314"/>
      <c r="K46" s="400"/>
    </row>
    <row r="47" spans="1:11" x14ac:dyDescent="0.25">
      <c r="A47" s="29" t="s">
        <v>26</v>
      </c>
      <c r="C47" s="29" t="s">
        <v>27</v>
      </c>
      <c r="D47" s="29"/>
      <c r="E47" s="400" t="s">
        <v>28</v>
      </c>
      <c r="K47" s="400"/>
    </row>
    <row r="48" spans="1:11" x14ac:dyDescent="0.25">
      <c r="A48" s="40"/>
    </row>
  </sheetData>
  <mergeCells count="1">
    <mergeCell ref="C14:E14"/>
  </mergeCells>
  <pageMargins left="0.511811024" right="0.511811024" top="0.78740157499999996" bottom="0.78740157499999996" header="0.31496062000000002" footer="0.31496062000000002"/>
  <pageSetup paperSize="9"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29"/>
  <sheetViews>
    <sheetView topLeftCell="A75" workbookViewId="0">
      <selection activeCell="A130" sqref="A130"/>
    </sheetView>
  </sheetViews>
  <sheetFormatPr defaultRowHeight="15" x14ac:dyDescent="0.25"/>
  <cols>
    <col min="1" max="1" width="36.28515625" customWidth="1"/>
    <col min="2" max="2" width="8.140625" customWidth="1"/>
    <col min="3" max="3" width="2" customWidth="1"/>
    <col min="4" max="5" width="10.140625" customWidth="1"/>
    <col min="6" max="6" width="5" customWidth="1"/>
    <col min="7" max="7" width="2" customWidth="1"/>
    <col min="8" max="8" width="1" customWidth="1"/>
    <col min="9" max="9" width="1.85546875" customWidth="1"/>
    <col min="10" max="10" width="5.140625" customWidth="1"/>
    <col min="11" max="11" width="5" customWidth="1"/>
    <col min="12" max="12" width="1" customWidth="1"/>
    <col min="13" max="13" width="8.140625" customWidth="1"/>
    <col min="14" max="14" width="1" customWidth="1"/>
    <col min="15" max="15" width="10.140625" customWidth="1"/>
    <col min="16" max="16" width="10" customWidth="1"/>
    <col min="17" max="17" width="10.140625" customWidth="1"/>
    <col min="18" max="18" width="1" customWidth="1"/>
    <col min="19" max="19" width="11.140625" customWidth="1"/>
    <col min="20" max="20" width="0.5703125" customWidth="1"/>
  </cols>
  <sheetData>
    <row r="1" spans="1:19" ht="11.85" customHeight="1" x14ac:dyDescent="0.25">
      <c r="A1" s="904" t="s">
        <v>539</v>
      </c>
      <c r="B1" s="904"/>
      <c r="S1" s="805" t="s">
        <v>540</v>
      </c>
    </row>
    <row r="2" spans="1:19" ht="11.1" customHeight="1" x14ac:dyDescent="0.25">
      <c r="A2" s="904" t="s">
        <v>467</v>
      </c>
      <c r="B2" s="904"/>
    </row>
    <row r="3" spans="1:19" ht="11.85" customHeight="1" x14ac:dyDescent="0.25">
      <c r="A3" s="905" t="s">
        <v>541</v>
      </c>
      <c r="B3" s="905"/>
    </row>
    <row r="4" spans="1:19" ht="11.85" customHeight="1" x14ac:dyDescent="0.25">
      <c r="A4" s="904" t="s">
        <v>542</v>
      </c>
      <c r="B4" s="904"/>
    </row>
    <row r="5" spans="1:19" ht="11.85" customHeight="1" x14ac:dyDescent="0.25">
      <c r="A5" s="904" t="s">
        <v>1852</v>
      </c>
      <c r="B5" s="904"/>
    </row>
    <row r="6" spans="1:19" ht="5.85" customHeight="1" x14ac:dyDescent="0.25"/>
    <row r="7" spans="1:19" ht="11.1" customHeight="1" x14ac:dyDescent="0.25">
      <c r="A7" s="906" t="s">
        <v>543</v>
      </c>
      <c r="B7" s="906"/>
      <c r="C7" s="906"/>
      <c r="D7" s="906"/>
      <c r="E7" s="906"/>
      <c r="F7" s="906"/>
      <c r="G7" s="906"/>
      <c r="H7" s="425"/>
      <c r="I7" s="425"/>
      <c r="J7" s="425"/>
      <c r="K7" s="425"/>
      <c r="L7" s="425"/>
      <c r="M7" s="425"/>
      <c r="N7" s="425"/>
      <c r="O7" s="425"/>
      <c r="Q7" s="889" t="s">
        <v>537</v>
      </c>
      <c r="R7" s="889"/>
      <c r="S7" s="889"/>
    </row>
    <row r="8" spans="1:19" ht="11.85" customHeight="1" x14ac:dyDescent="0.25">
      <c r="A8" s="890" t="s">
        <v>474</v>
      </c>
      <c r="B8" s="892" t="s">
        <v>544</v>
      </c>
      <c r="C8" s="893"/>
      <c r="D8" s="892" t="s">
        <v>545</v>
      </c>
      <c r="E8" s="897" t="s">
        <v>546</v>
      </c>
      <c r="F8" s="898"/>
      <c r="G8" s="898"/>
      <c r="H8" s="898"/>
      <c r="I8" s="898"/>
      <c r="J8" s="898"/>
      <c r="K8" s="898"/>
      <c r="L8" s="898"/>
      <c r="M8" s="898"/>
      <c r="N8" s="899"/>
      <c r="O8" s="892" t="s">
        <v>547</v>
      </c>
      <c r="P8" s="426"/>
    </row>
    <row r="9" spans="1:19" ht="17.850000000000001" customHeight="1" x14ac:dyDescent="0.25">
      <c r="A9" s="891"/>
      <c r="B9" s="894"/>
      <c r="C9" s="895"/>
      <c r="D9" s="896"/>
      <c r="E9" s="787" t="s">
        <v>548</v>
      </c>
      <c r="F9" s="892" t="s">
        <v>549</v>
      </c>
      <c r="G9" s="902"/>
      <c r="H9" s="903"/>
      <c r="I9" s="892" t="s">
        <v>550</v>
      </c>
      <c r="J9" s="902"/>
      <c r="K9" s="902"/>
      <c r="L9" s="903"/>
      <c r="M9" s="892" t="s">
        <v>551</v>
      </c>
      <c r="N9" s="903"/>
      <c r="O9" s="896"/>
      <c r="P9" s="426"/>
    </row>
    <row r="10" spans="1:19" ht="11.1" customHeight="1" x14ac:dyDescent="0.25">
      <c r="A10" s="806" t="s">
        <v>552</v>
      </c>
      <c r="B10" s="886" t="s">
        <v>823</v>
      </c>
      <c r="C10" s="887"/>
      <c r="D10" s="800" t="s">
        <v>1855</v>
      </c>
      <c r="E10" s="800" t="s">
        <v>1856</v>
      </c>
      <c r="F10" s="886" t="s">
        <v>1857</v>
      </c>
      <c r="G10" s="888"/>
      <c r="H10" s="887"/>
      <c r="I10" s="886" t="s">
        <v>1858</v>
      </c>
      <c r="J10" s="888"/>
      <c r="K10" s="888"/>
      <c r="L10" s="887"/>
      <c r="M10" s="886" t="s">
        <v>1859</v>
      </c>
      <c r="N10" s="887"/>
      <c r="O10" s="800" t="s">
        <v>1860</v>
      </c>
      <c r="P10" s="426"/>
    </row>
    <row r="11" spans="1:19" ht="11.85" customHeight="1" x14ac:dyDescent="0.25">
      <c r="A11" s="799" t="s">
        <v>824</v>
      </c>
      <c r="B11" s="881" t="s">
        <v>825</v>
      </c>
      <c r="C11" s="883"/>
      <c r="D11" s="784" t="s">
        <v>1861</v>
      </c>
      <c r="E11" s="784" t="s">
        <v>1862</v>
      </c>
      <c r="F11" s="881" t="s">
        <v>1863</v>
      </c>
      <c r="G11" s="882"/>
      <c r="H11" s="883"/>
      <c r="I11" s="881" t="s">
        <v>1864</v>
      </c>
      <c r="J11" s="882"/>
      <c r="K11" s="882"/>
      <c r="L11" s="883"/>
      <c r="M11" s="881" t="s">
        <v>1865</v>
      </c>
      <c r="N11" s="883"/>
      <c r="O11" s="784" t="s">
        <v>1866</v>
      </c>
      <c r="P11" s="426"/>
    </row>
    <row r="12" spans="1:19" ht="11.85" customHeight="1" x14ac:dyDescent="0.25">
      <c r="A12" s="799" t="s">
        <v>826</v>
      </c>
      <c r="B12" s="881" t="s">
        <v>827</v>
      </c>
      <c r="C12" s="883"/>
      <c r="D12" s="784" t="s">
        <v>827</v>
      </c>
      <c r="E12" s="784" t="s">
        <v>1867</v>
      </c>
      <c r="F12" s="881" t="s">
        <v>1868</v>
      </c>
      <c r="G12" s="882"/>
      <c r="H12" s="883"/>
      <c r="I12" s="881" t="s">
        <v>1869</v>
      </c>
      <c r="J12" s="882"/>
      <c r="K12" s="882"/>
      <c r="L12" s="883"/>
      <c r="M12" s="881" t="s">
        <v>1870</v>
      </c>
      <c r="N12" s="883"/>
      <c r="O12" s="784" t="s">
        <v>1871</v>
      </c>
      <c r="P12" s="426"/>
    </row>
    <row r="13" spans="1:19" ht="11.85" customHeight="1" x14ac:dyDescent="0.25">
      <c r="A13" s="799" t="s">
        <v>828</v>
      </c>
      <c r="B13" s="881" t="s">
        <v>829</v>
      </c>
      <c r="C13" s="883"/>
      <c r="D13" s="784" t="s">
        <v>829</v>
      </c>
      <c r="E13" s="784" t="s">
        <v>1872</v>
      </c>
      <c r="F13" s="881" t="s">
        <v>1873</v>
      </c>
      <c r="G13" s="882"/>
      <c r="H13" s="883"/>
      <c r="I13" s="881" t="s">
        <v>1874</v>
      </c>
      <c r="J13" s="882"/>
      <c r="K13" s="882"/>
      <c r="L13" s="883"/>
      <c r="M13" s="881" t="s">
        <v>1875</v>
      </c>
      <c r="N13" s="883"/>
      <c r="O13" s="784" t="s">
        <v>1876</v>
      </c>
      <c r="P13" s="426"/>
    </row>
    <row r="14" spans="1:19" ht="11.1" customHeight="1" x14ac:dyDescent="0.25">
      <c r="A14" s="799" t="s">
        <v>830</v>
      </c>
      <c r="B14" s="881" t="s">
        <v>831</v>
      </c>
      <c r="C14" s="883"/>
      <c r="D14" s="784" t="s">
        <v>831</v>
      </c>
      <c r="E14" s="784" t="s">
        <v>1877</v>
      </c>
      <c r="F14" s="881" t="s">
        <v>1878</v>
      </c>
      <c r="G14" s="882"/>
      <c r="H14" s="883"/>
      <c r="I14" s="881" t="s">
        <v>1879</v>
      </c>
      <c r="J14" s="882"/>
      <c r="K14" s="882"/>
      <c r="L14" s="883"/>
      <c r="M14" s="881" t="s">
        <v>1880</v>
      </c>
      <c r="N14" s="883"/>
      <c r="O14" s="784" t="s">
        <v>1881</v>
      </c>
      <c r="P14" s="426"/>
    </row>
    <row r="15" spans="1:19" ht="11.85" customHeight="1" x14ac:dyDescent="0.25">
      <c r="A15" s="799" t="s">
        <v>832</v>
      </c>
      <c r="B15" s="881" t="s">
        <v>833</v>
      </c>
      <c r="C15" s="883"/>
      <c r="D15" s="784" t="s">
        <v>833</v>
      </c>
      <c r="E15" s="784" t="s">
        <v>479</v>
      </c>
      <c r="F15" s="881" t="s">
        <v>479</v>
      </c>
      <c r="G15" s="882"/>
      <c r="H15" s="883"/>
      <c r="I15" s="881" t="s">
        <v>1206</v>
      </c>
      <c r="J15" s="882"/>
      <c r="K15" s="882"/>
      <c r="L15" s="883"/>
      <c r="M15" s="881" t="s">
        <v>1207</v>
      </c>
      <c r="N15" s="883"/>
      <c r="O15" s="784" t="s">
        <v>1208</v>
      </c>
      <c r="P15" s="426"/>
    </row>
    <row r="16" spans="1:19" ht="11.85" customHeight="1" x14ac:dyDescent="0.25">
      <c r="A16" s="799" t="s">
        <v>834</v>
      </c>
      <c r="B16" s="881" t="s">
        <v>835</v>
      </c>
      <c r="C16" s="883"/>
      <c r="D16" s="784" t="s">
        <v>835</v>
      </c>
      <c r="E16" s="784" t="s">
        <v>1882</v>
      </c>
      <c r="F16" s="881" t="s">
        <v>1883</v>
      </c>
      <c r="G16" s="882"/>
      <c r="H16" s="883"/>
      <c r="I16" s="881" t="s">
        <v>1884</v>
      </c>
      <c r="J16" s="882"/>
      <c r="K16" s="882"/>
      <c r="L16" s="883"/>
      <c r="M16" s="881" t="s">
        <v>1885</v>
      </c>
      <c r="N16" s="883"/>
      <c r="O16" s="784" t="s">
        <v>1886</v>
      </c>
      <c r="P16" s="426"/>
    </row>
    <row r="17" spans="1:16" ht="11.85" customHeight="1" x14ac:dyDescent="0.25">
      <c r="A17" s="799" t="s">
        <v>836</v>
      </c>
      <c r="B17" s="881" t="s">
        <v>837</v>
      </c>
      <c r="C17" s="883"/>
      <c r="D17" s="784" t="s">
        <v>837</v>
      </c>
      <c r="E17" s="784" t="s">
        <v>1882</v>
      </c>
      <c r="F17" s="881" t="s">
        <v>1887</v>
      </c>
      <c r="G17" s="882"/>
      <c r="H17" s="883"/>
      <c r="I17" s="881" t="s">
        <v>1888</v>
      </c>
      <c r="J17" s="882"/>
      <c r="K17" s="882"/>
      <c r="L17" s="883"/>
      <c r="M17" s="881" t="s">
        <v>1889</v>
      </c>
      <c r="N17" s="883"/>
      <c r="O17" s="784" t="s">
        <v>1890</v>
      </c>
      <c r="P17" s="426"/>
    </row>
    <row r="18" spans="1:16" ht="11.1" customHeight="1" x14ac:dyDescent="0.25">
      <c r="A18" s="799" t="s">
        <v>838</v>
      </c>
      <c r="B18" s="881" t="s">
        <v>839</v>
      </c>
      <c r="C18" s="883"/>
      <c r="D18" s="784" t="s">
        <v>839</v>
      </c>
      <c r="E18" s="784" t="s">
        <v>479</v>
      </c>
      <c r="F18" s="881" t="s">
        <v>479</v>
      </c>
      <c r="G18" s="882"/>
      <c r="H18" s="883"/>
      <c r="I18" s="881" t="s">
        <v>840</v>
      </c>
      <c r="J18" s="882"/>
      <c r="K18" s="882"/>
      <c r="L18" s="883"/>
      <c r="M18" s="881" t="s">
        <v>841</v>
      </c>
      <c r="N18" s="883"/>
      <c r="O18" s="784" t="s">
        <v>842</v>
      </c>
      <c r="P18" s="426"/>
    </row>
    <row r="19" spans="1:16" ht="11.85" customHeight="1" x14ac:dyDescent="0.25">
      <c r="A19" s="799" t="s">
        <v>843</v>
      </c>
      <c r="B19" s="881" t="s">
        <v>844</v>
      </c>
      <c r="C19" s="883"/>
      <c r="D19" s="784" t="s">
        <v>1891</v>
      </c>
      <c r="E19" s="784" t="s">
        <v>1892</v>
      </c>
      <c r="F19" s="881" t="s">
        <v>1893</v>
      </c>
      <c r="G19" s="882"/>
      <c r="H19" s="883"/>
      <c r="I19" s="881" t="s">
        <v>1894</v>
      </c>
      <c r="J19" s="882"/>
      <c r="K19" s="882"/>
      <c r="L19" s="883"/>
      <c r="M19" s="881" t="s">
        <v>1895</v>
      </c>
      <c r="N19" s="883"/>
      <c r="O19" s="784" t="s">
        <v>1896</v>
      </c>
      <c r="P19" s="426"/>
    </row>
    <row r="20" spans="1:16" ht="11.85" customHeight="1" x14ac:dyDescent="0.25">
      <c r="A20" s="799" t="s">
        <v>845</v>
      </c>
      <c r="B20" s="881" t="s">
        <v>839</v>
      </c>
      <c r="C20" s="883"/>
      <c r="D20" s="784" t="s">
        <v>839</v>
      </c>
      <c r="E20" s="784" t="s">
        <v>1897</v>
      </c>
      <c r="F20" s="881" t="s">
        <v>1898</v>
      </c>
      <c r="G20" s="882"/>
      <c r="H20" s="883"/>
      <c r="I20" s="881" t="s">
        <v>1899</v>
      </c>
      <c r="J20" s="882"/>
      <c r="K20" s="882"/>
      <c r="L20" s="883"/>
      <c r="M20" s="881" t="s">
        <v>1900</v>
      </c>
      <c r="N20" s="883"/>
      <c r="O20" s="784" t="s">
        <v>1901</v>
      </c>
      <c r="P20" s="426"/>
    </row>
    <row r="21" spans="1:16" ht="11.85" customHeight="1" x14ac:dyDescent="0.25">
      <c r="A21" s="799" t="s">
        <v>846</v>
      </c>
      <c r="B21" s="881" t="s">
        <v>847</v>
      </c>
      <c r="C21" s="883"/>
      <c r="D21" s="784" t="s">
        <v>1902</v>
      </c>
      <c r="E21" s="784" t="s">
        <v>1903</v>
      </c>
      <c r="F21" s="881" t="s">
        <v>1904</v>
      </c>
      <c r="G21" s="882"/>
      <c r="H21" s="883"/>
      <c r="I21" s="881" t="s">
        <v>1905</v>
      </c>
      <c r="J21" s="882"/>
      <c r="K21" s="882"/>
      <c r="L21" s="883"/>
      <c r="M21" s="881" t="s">
        <v>1906</v>
      </c>
      <c r="N21" s="883"/>
      <c r="O21" s="784" t="s">
        <v>1907</v>
      </c>
      <c r="P21" s="426"/>
    </row>
    <row r="22" spans="1:16" ht="11.1" customHeight="1" x14ac:dyDescent="0.25">
      <c r="A22" s="799" t="s">
        <v>848</v>
      </c>
      <c r="B22" s="881" t="s">
        <v>479</v>
      </c>
      <c r="C22" s="883"/>
      <c r="D22" s="784" t="s">
        <v>479</v>
      </c>
      <c r="E22" s="784" t="s">
        <v>479</v>
      </c>
      <c r="F22" s="881" t="s">
        <v>479</v>
      </c>
      <c r="G22" s="882"/>
      <c r="H22" s="883"/>
      <c r="I22" s="881" t="s">
        <v>1209</v>
      </c>
      <c r="J22" s="882"/>
      <c r="K22" s="882"/>
      <c r="L22" s="883"/>
      <c r="M22" s="881" t="s">
        <v>479</v>
      </c>
      <c r="N22" s="883"/>
      <c r="O22" s="784" t="s">
        <v>1210</v>
      </c>
      <c r="P22" s="426"/>
    </row>
    <row r="23" spans="1:16" ht="11.85" customHeight="1" x14ac:dyDescent="0.25">
      <c r="A23" s="799" t="s">
        <v>849</v>
      </c>
      <c r="B23" s="881" t="s">
        <v>850</v>
      </c>
      <c r="C23" s="883"/>
      <c r="D23" s="784" t="s">
        <v>850</v>
      </c>
      <c r="E23" s="784" t="s">
        <v>1908</v>
      </c>
      <c r="F23" s="881" t="s">
        <v>1909</v>
      </c>
      <c r="G23" s="882"/>
      <c r="H23" s="883"/>
      <c r="I23" s="881" t="s">
        <v>1910</v>
      </c>
      <c r="J23" s="882"/>
      <c r="K23" s="882"/>
      <c r="L23" s="883"/>
      <c r="M23" s="881" t="s">
        <v>1911</v>
      </c>
      <c r="N23" s="883"/>
      <c r="O23" s="784" t="s">
        <v>1912</v>
      </c>
      <c r="P23" s="426"/>
    </row>
    <row r="24" spans="1:16" ht="11.85" customHeight="1" x14ac:dyDescent="0.25">
      <c r="A24" s="799" t="s">
        <v>851</v>
      </c>
      <c r="B24" s="881" t="s">
        <v>852</v>
      </c>
      <c r="C24" s="883"/>
      <c r="D24" s="784" t="s">
        <v>852</v>
      </c>
      <c r="E24" s="784" t="s">
        <v>1913</v>
      </c>
      <c r="F24" s="881" t="s">
        <v>1914</v>
      </c>
      <c r="G24" s="882"/>
      <c r="H24" s="883"/>
      <c r="I24" s="881" t="s">
        <v>1915</v>
      </c>
      <c r="J24" s="882"/>
      <c r="K24" s="882"/>
      <c r="L24" s="883"/>
      <c r="M24" s="881" t="s">
        <v>1916</v>
      </c>
      <c r="N24" s="883"/>
      <c r="O24" s="784" t="s">
        <v>1917</v>
      </c>
      <c r="P24" s="426"/>
    </row>
    <row r="25" spans="1:16" ht="11.85" customHeight="1" x14ac:dyDescent="0.25">
      <c r="A25" s="799" t="s">
        <v>853</v>
      </c>
      <c r="B25" s="881" t="s">
        <v>854</v>
      </c>
      <c r="C25" s="883"/>
      <c r="D25" s="784" t="s">
        <v>854</v>
      </c>
      <c r="E25" s="784" t="s">
        <v>1918</v>
      </c>
      <c r="F25" s="881" t="s">
        <v>1919</v>
      </c>
      <c r="G25" s="882"/>
      <c r="H25" s="883"/>
      <c r="I25" s="881" t="s">
        <v>1920</v>
      </c>
      <c r="J25" s="882"/>
      <c r="K25" s="882"/>
      <c r="L25" s="883"/>
      <c r="M25" s="881" t="s">
        <v>1921</v>
      </c>
      <c r="N25" s="883"/>
      <c r="O25" s="784" t="s">
        <v>1922</v>
      </c>
      <c r="P25" s="426"/>
    </row>
    <row r="26" spans="1:16" ht="11.1" customHeight="1" x14ac:dyDescent="0.25">
      <c r="A26" s="799" t="s">
        <v>855</v>
      </c>
      <c r="B26" s="881" t="s">
        <v>839</v>
      </c>
      <c r="C26" s="883"/>
      <c r="D26" s="784" t="s">
        <v>839</v>
      </c>
      <c r="E26" s="784" t="s">
        <v>1923</v>
      </c>
      <c r="F26" s="881" t="s">
        <v>1924</v>
      </c>
      <c r="G26" s="882"/>
      <c r="H26" s="883"/>
      <c r="I26" s="881" t="s">
        <v>1925</v>
      </c>
      <c r="J26" s="882"/>
      <c r="K26" s="882"/>
      <c r="L26" s="883"/>
      <c r="M26" s="881" t="s">
        <v>1926</v>
      </c>
      <c r="N26" s="883"/>
      <c r="O26" s="784" t="s">
        <v>1927</v>
      </c>
      <c r="P26" s="426"/>
    </row>
    <row r="27" spans="1:16" ht="11.85" customHeight="1" x14ac:dyDescent="0.25">
      <c r="A27" s="799" t="s">
        <v>856</v>
      </c>
      <c r="B27" s="881" t="s">
        <v>857</v>
      </c>
      <c r="C27" s="883"/>
      <c r="D27" s="784" t="s">
        <v>1928</v>
      </c>
      <c r="E27" s="784" t="s">
        <v>1929</v>
      </c>
      <c r="F27" s="881" t="s">
        <v>1930</v>
      </c>
      <c r="G27" s="882"/>
      <c r="H27" s="883"/>
      <c r="I27" s="881" t="s">
        <v>1931</v>
      </c>
      <c r="J27" s="882"/>
      <c r="K27" s="882"/>
      <c r="L27" s="883"/>
      <c r="M27" s="881" t="s">
        <v>1932</v>
      </c>
      <c r="N27" s="883"/>
      <c r="O27" s="784" t="s">
        <v>1933</v>
      </c>
      <c r="P27" s="426"/>
    </row>
    <row r="28" spans="1:16" ht="11.85" customHeight="1" x14ac:dyDescent="0.25">
      <c r="A28" s="799" t="s">
        <v>858</v>
      </c>
      <c r="B28" s="881" t="s">
        <v>859</v>
      </c>
      <c r="C28" s="883"/>
      <c r="D28" s="784" t="s">
        <v>1934</v>
      </c>
      <c r="E28" s="784" t="s">
        <v>1935</v>
      </c>
      <c r="F28" s="881" t="s">
        <v>1936</v>
      </c>
      <c r="G28" s="882"/>
      <c r="H28" s="883"/>
      <c r="I28" s="881" t="s">
        <v>1937</v>
      </c>
      <c r="J28" s="882"/>
      <c r="K28" s="882"/>
      <c r="L28" s="883"/>
      <c r="M28" s="881" t="s">
        <v>1938</v>
      </c>
      <c r="N28" s="883"/>
      <c r="O28" s="784" t="s">
        <v>1939</v>
      </c>
      <c r="P28" s="426"/>
    </row>
    <row r="29" spans="1:16" ht="11.85" customHeight="1" x14ac:dyDescent="0.25">
      <c r="A29" s="799" t="s">
        <v>860</v>
      </c>
      <c r="B29" s="881" t="s">
        <v>861</v>
      </c>
      <c r="C29" s="883"/>
      <c r="D29" s="784" t="s">
        <v>1940</v>
      </c>
      <c r="E29" s="784" t="s">
        <v>1941</v>
      </c>
      <c r="F29" s="881" t="s">
        <v>1930</v>
      </c>
      <c r="G29" s="882"/>
      <c r="H29" s="883"/>
      <c r="I29" s="881" t="s">
        <v>1942</v>
      </c>
      <c r="J29" s="882"/>
      <c r="K29" s="882"/>
      <c r="L29" s="883"/>
      <c r="M29" s="881" t="s">
        <v>1943</v>
      </c>
      <c r="N29" s="883"/>
      <c r="O29" s="784" t="s">
        <v>1944</v>
      </c>
      <c r="P29" s="426"/>
    </row>
    <row r="30" spans="1:16" ht="11.1" customHeight="1" x14ac:dyDescent="0.25">
      <c r="A30" s="799" t="s">
        <v>862</v>
      </c>
      <c r="B30" s="881" t="s">
        <v>863</v>
      </c>
      <c r="C30" s="883"/>
      <c r="D30" s="784" t="s">
        <v>863</v>
      </c>
      <c r="E30" s="784" t="s">
        <v>1945</v>
      </c>
      <c r="F30" s="881" t="s">
        <v>1946</v>
      </c>
      <c r="G30" s="882"/>
      <c r="H30" s="883"/>
      <c r="I30" s="881" t="s">
        <v>1947</v>
      </c>
      <c r="J30" s="882"/>
      <c r="K30" s="882"/>
      <c r="L30" s="883"/>
      <c r="M30" s="881" t="s">
        <v>1948</v>
      </c>
      <c r="N30" s="883"/>
      <c r="O30" s="784" t="s">
        <v>1949</v>
      </c>
      <c r="P30" s="426"/>
    </row>
    <row r="31" spans="1:16" ht="11.85" customHeight="1" x14ac:dyDescent="0.25">
      <c r="A31" s="799" t="s">
        <v>864</v>
      </c>
      <c r="B31" s="881" t="s">
        <v>865</v>
      </c>
      <c r="C31" s="883"/>
      <c r="D31" s="784" t="s">
        <v>865</v>
      </c>
      <c r="E31" s="784" t="s">
        <v>1950</v>
      </c>
      <c r="F31" s="881" t="s">
        <v>1951</v>
      </c>
      <c r="G31" s="882"/>
      <c r="H31" s="883"/>
      <c r="I31" s="881" t="s">
        <v>1952</v>
      </c>
      <c r="J31" s="882"/>
      <c r="K31" s="882"/>
      <c r="L31" s="883"/>
      <c r="M31" s="881" t="s">
        <v>1953</v>
      </c>
      <c r="N31" s="883"/>
      <c r="O31" s="784" t="s">
        <v>1954</v>
      </c>
      <c r="P31" s="426"/>
    </row>
    <row r="32" spans="1:16" ht="11.85" customHeight="1" x14ac:dyDescent="0.25">
      <c r="A32" s="799" t="s">
        <v>866</v>
      </c>
      <c r="B32" s="881" t="s">
        <v>867</v>
      </c>
      <c r="C32" s="883"/>
      <c r="D32" s="784" t="s">
        <v>867</v>
      </c>
      <c r="E32" s="784" t="s">
        <v>1955</v>
      </c>
      <c r="F32" s="881" t="s">
        <v>1956</v>
      </c>
      <c r="G32" s="882"/>
      <c r="H32" s="883"/>
      <c r="I32" s="881" t="s">
        <v>1957</v>
      </c>
      <c r="J32" s="882"/>
      <c r="K32" s="882"/>
      <c r="L32" s="883"/>
      <c r="M32" s="881" t="s">
        <v>1958</v>
      </c>
      <c r="N32" s="883"/>
      <c r="O32" s="784" t="s">
        <v>1959</v>
      </c>
      <c r="P32" s="426"/>
    </row>
    <row r="33" spans="1:19" ht="11.85" customHeight="1" x14ac:dyDescent="0.25">
      <c r="A33" s="799" t="s">
        <v>868</v>
      </c>
      <c r="B33" s="881" t="s">
        <v>869</v>
      </c>
      <c r="C33" s="883"/>
      <c r="D33" s="784" t="s">
        <v>869</v>
      </c>
      <c r="E33" s="784" t="s">
        <v>1960</v>
      </c>
      <c r="F33" s="881" t="s">
        <v>1961</v>
      </c>
      <c r="G33" s="882"/>
      <c r="H33" s="883"/>
      <c r="I33" s="881" t="s">
        <v>1962</v>
      </c>
      <c r="J33" s="882"/>
      <c r="K33" s="882"/>
      <c r="L33" s="883"/>
      <c r="M33" s="881" t="s">
        <v>1963</v>
      </c>
      <c r="N33" s="883"/>
      <c r="O33" s="784" t="s">
        <v>1964</v>
      </c>
      <c r="P33" s="426"/>
    </row>
    <row r="34" spans="1:19" ht="11.1" customHeight="1" x14ac:dyDescent="0.25">
      <c r="A34" s="799" t="s">
        <v>1965</v>
      </c>
      <c r="B34" s="881" t="s">
        <v>479</v>
      </c>
      <c r="C34" s="883"/>
      <c r="D34" s="784" t="s">
        <v>479</v>
      </c>
      <c r="E34" s="784" t="s">
        <v>1966</v>
      </c>
      <c r="F34" s="881" t="s">
        <v>479</v>
      </c>
      <c r="G34" s="882"/>
      <c r="H34" s="883"/>
      <c r="I34" s="881" t="s">
        <v>1966</v>
      </c>
      <c r="J34" s="882"/>
      <c r="K34" s="882"/>
      <c r="L34" s="883"/>
      <c r="M34" s="881" t="s">
        <v>479</v>
      </c>
      <c r="N34" s="883"/>
      <c r="O34" s="784" t="s">
        <v>1967</v>
      </c>
      <c r="P34" s="426"/>
    </row>
    <row r="35" spans="1:19" ht="11.85" customHeight="1" x14ac:dyDescent="0.25">
      <c r="A35" s="799" t="s">
        <v>870</v>
      </c>
      <c r="B35" s="881" t="s">
        <v>871</v>
      </c>
      <c r="C35" s="883"/>
      <c r="D35" s="784" t="s">
        <v>871</v>
      </c>
      <c r="E35" s="784" t="s">
        <v>479</v>
      </c>
      <c r="F35" s="881" t="s">
        <v>479</v>
      </c>
      <c r="G35" s="882"/>
      <c r="H35" s="883"/>
      <c r="I35" s="881" t="s">
        <v>479</v>
      </c>
      <c r="J35" s="882"/>
      <c r="K35" s="882"/>
      <c r="L35" s="883"/>
      <c r="M35" s="881" t="s">
        <v>479</v>
      </c>
      <c r="N35" s="883"/>
      <c r="O35" s="784" t="s">
        <v>871</v>
      </c>
      <c r="P35" s="426"/>
    </row>
    <row r="36" spans="1:19" ht="11.85" customHeight="1" x14ac:dyDescent="0.25">
      <c r="A36" s="799" t="s">
        <v>872</v>
      </c>
      <c r="B36" s="881" t="s">
        <v>873</v>
      </c>
      <c r="C36" s="883"/>
      <c r="D36" s="784" t="s">
        <v>873</v>
      </c>
      <c r="E36" s="784" t="s">
        <v>1968</v>
      </c>
      <c r="F36" s="881" t="s">
        <v>1969</v>
      </c>
      <c r="G36" s="882"/>
      <c r="H36" s="883"/>
      <c r="I36" s="881" t="s">
        <v>1970</v>
      </c>
      <c r="J36" s="882"/>
      <c r="K36" s="882"/>
      <c r="L36" s="883"/>
      <c r="M36" s="881" t="s">
        <v>1971</v>
      </c>
      <c r="N36" s="883"/>
      <c r="O36" s="784" t="s">
        <v>1972</v>
      </c>
      <c r="P36" s="426"/>
    </row>
    <row r="37" spans="1:19" ht="11.85" customHeight="1" x14ac:dyDescent="0.25">
      <c r="A37" s="799" t="s">
        <v>874</v>
      </c>
      <c r="B37" s="881" t="s">
        <v>875</v>
      </c>
      <c r="C37" s="883"/>
      <c r="D37" s="784" t="s">
        <v>1973</v>
      </c>
      <c r="E37" s="784" t="s">
        <v>1974</v>
      </c>
      <c r="F37" s="881" t="s">
        <v>1975</v>
      </c>
      <c r="G37" s="882"/>
      <c r="H37" s="883"/>
      <c r="I37" s="881" t="s">
        <v>1976</v>
      </c>
      <c r="J37" s="882"/>
      <c r="K37" s="882"/>
      <c r="L37" s="883"/>
      <c r="M37" s="881" t="s">
        <v>1977</v>
      </c>
      <c r="N37" s="883"/>
      <c r="O37" s="784" t="s">
        <v>1978</v>
      </c>
      <c r="P37" s="426"/>
    </row>
    <row r="38" spans="1:19" ht="11.1" customHeight="1" x14ac:dyDescent="0.25">
      <c r="A38" s="799" t="s">
        <v>790</v>
      </c>
      <c r="B38" s="881" t="s">
        <v>583</v>
      </c>
      <c r="C38" s="883"/>
      <c r="D38" s="784" t="s">
        <v>583</v>
      </c>
      <c r="E38" s="784" t="s">
        <v>479</v>
      </c>
      <c r="F38" s="881" t="s">
        <v>479</v>
      </c>
      <c r="G38" s="882"/>
      <c r="H38" s="883"/>
      <c r="I38" s="881" t="s">
        <v>479</v>
      </c>
      <c r="J38" s="882"/>
      <c r="K38" s="882"/>
      <c r="L38" s="883"/>
      <c r="M38" s="881" t="s">
        <v>479</v>
      </c>
      <c r="N38" s="883"/>
      <c r="O38" s="784" t="s">
        <v>583</v>
      </c>
      <c r="P38" s="426"/>
    </row>
    <row r="39" spans="1:19" ht="11.85" customHeight="1" x14ac:dyDescent="0.25">
      <c r="A39" s="799" t="s">
        <v>876</v>
      </c>
      <c r="B39" s="881" t="s">
        <v>583</v>
      </c>
      <c r="C39" s="883"/>
      <c r="D39" s="784" t="s">
        <v>583</v>
      </c>
      <c r="E39" s="784" t="s">
        <v>479</v>
      </c>
      <c r="F39" s="881" t="s">
        <v>479</v>
      </c>
      <c r="G39" s="882"/>
      <c r="H39" s="883"/>
      <c r="I39" s="881" t="s">
        <v>479</v>
      </c>
      <c r="J39" s="882"/>
      <c r="K39" s="882"/>
      <c r="L39" s="883"/>
      <c r="M39" s="881" t="s">
        <v>479</v>
      </c>
      <c r="N39" s="883"/>
      <c r="O39" s="784" t="s">
        <v>583</v>
      </c>
      <c r="P39" s="426"/>
    </row>
    <row r="40" spans="1:19" ht="11.85" customHeight="1" x14ac:dyDescent="0.25">
      <c r="A40" s="799" t="s">
        <v>877</v>
      </c>
      <c r="B40" s="881" t="s">
        <v>878</v>
      </c>
      <c r="C40" s="883"/>
      <c r="D40" s="784" t="s">
        <v>878</v>
      </c>
      <c r="E40" s="784" t="s">
        <v>479</v>
      </c>
      <c r="F40" s="881" t="s">
        <v>479</v>
      </c>
      <c r="G40" s="882"/>
      <c r="H40" s="883"/>
      <c r="I40" s="881" t="s">
        <v>479</v>
      </c>
      <c r="J40" s="882"/>
      <c r="K40" s="882"/>
      <c r="L40" s="883"/>
      <c r="M40" s="881" t="s">
        <v>479</v>
      </c>
      <c r="N40" s="883"/>
      <c r="O40" s="784" t="s">
        <v>878</v>
      </c>
      <c r="P40" s="426"/>
    </row>
    <row r="41" spans="1:19" ht="11.85" customHeight="1" x14ac:dyDescent="0.25">
      <c r="A41" s="799" t="s">
        <v>879</v>
      </c>
      <c r="B41" s="881" t="s">
        <v>479</v>
      </c>
      <c r="C41" s="883"/>
      <c r="D41" s="784" t="s">
        <v>1979</v>
      </c>
      <c r="E41" s="784" t="s">
        <v>1980</v>
      </c>
      <c r="F41" s="881" t="s">
        <v>1981</v>
      </c>
      <c r="G41" s="882"/>
      <c r="H41" s="883"/>
      <c r="I41" s="881" t="s">
        <v>1982</v>
      </c>
      <c r="J41" s="882"/>
      <c r="K41" s="882"/>
      <c r="L41" s="883"/>
      <c r="M41" s="881" t="s">
        <v>1983</v>
      </c>
      <c r="N41" s="883"/>
      <c r="O41" s="784" t="s">
        <v>1984</v>
      </c>
      <c r="P41" s="426"/>
    </row>
    <row r="42" spans="1:19" ht="11.1" customHeight="1" x14ac:dyDescent="0.25">
      <c r="A42" s="799" t="s">
        <v>858</v>
      </c>
      <c r="B42" s="881" t="s">
        <v>479</v>
      </c>
      <c r="C42" s="883"/>
      <c r="D42" s="784" t="s">
        <v>1979</v>
      </c>
      <c r="E42" s="784" t="s">
        <v>1980</v>
      </c>
      <c r="F42" s="881" t="s">
        <v>1981</v>
      </c>
      <c r="G42" s="882"/>
      <c r="H42" s="883"/>
      <c r="I42" s="881" t="s">
        <v>1985</v>
      </c>
      <c r="J42" s="882"/>
      <c r="K42" s="882"/>
      <c r="L42" s="883"/>
      <c r="M42" s="881" t="s">
        <v>1986</v>
      </c>
      <c r="N42" s="883"/>
      <c r="O42" s="784" t="s">
        <v>1987</v>
      </c>
      <c r="P42" s="426"/>
    </row>
    <row r="43" spans="1:19" ht="11.85" customHeight="1" x14ac:dyDescent="0.25">
      <c r="A43" s="799" t="s">
        <v>860</v>
      </c>
      <c r="B43" s="881" t="s">
        <v>479</v>
      </c>
      <c r="C43" s="883"/>
      <c r="D43" s="784" t="s">
        <v>479</v>
      </c>
      <c r="E43" s="784" t="s">
        <v>479</v>
      </c>
      <c r="F43" s="881" t="s">
        <v>479</v>
      </c>
      <c r="G43" s="882"/>
      <c r="H43" s="883"/>
      <c r="I43" s="881" t="s">
        <v>880</v>
      </c>
      <c r="J43" s="882"/>
      <c r="K43" s="882"/>
      <c r="L43" s="883"/>
      <c r="M43" s="881" t="s">
        <v>479</v>
      </c>
      <c r="N43" s="883"/>
      <c r="O43" s="784" t="s">
        <v>881</v>
      </c>
      <c r="P43" s="426"/>
    </row>
    <row r="44" spans="1:19" ht="11.85" customHeight="1" x14ac:dyDescent="0.25">
      <c r="A44" s="799" t="s">
        <v>882</v>
      </c>
      <c r="B44" s="881" t="s">
        <v>883</v>
      </c>
      <c r="C44" s="883"/>
      <c r="D44" s="784" t="s">
        <v>883</v>
      </c>
      <c r="E44" s="784" t="s">
        <v>1988</v>
      </c>
      <c r="F44" s="881" t="s">
        <v>1989</v>
      </c>
      <c r="G44" s="882"/>
      <c r="H44" s="883"/>
      <c r="I44" s="881" t="s">
        <v>1990</v>
      </c>
      <c r="J44" s="882"/>
      <c r="K44" s="882"/>
      <c r="L44" s="883"/>
      <c r="M44" s="881" t="s">
        <v>1991</v>
      </c>
      <c r="N44" s="883"/>
      <c r="O44" s="784" t="s">
        <v>1992</v>
      </c>
      <c r="P44" s="426"/>
    </row>
    <row r="45" spans="1:19" ht="11.85" customHeight="1" x14ac:dyDescent="0.25">
      <c r="A45" s="799" t="s">
        <v>884</v>
      </c>
      <c r="B45" s="881" t="s">
        <v>883</v>
      </c>
      <c r="C45" s="883"/>
      <c r="D45" s="784" t="s">
        <v>883</v>
      </c>
      <c r="E45" s="784" t="s">
        <v>1988</v>
      </c>
      <c r="F45" s="881" t="s">
        <v>1989</v>
      </c>
      <c r="G45" s="882"/>
      <c r="H45" s="883"/>
      <c r="I45" s="881" t="s">
        <v>1990</v>
      </c>
      <c r="J45" s="882"/>
      <c r="K45" s="882"/>
      <c r="L45" s="883"/>
      <c r="M45" s="881" t="s">
        <v>1991</v>
      </c>
      <c r="N45" s="883"/>
      <c r="O45" s="784" t="s">
        <v>1992</v>
      </c>
      <c r="P45" s="426"/>
    </row>
    <row r="46" spans="1:19" ht="11.1" customHeight="1" x14ac:dyDescent="0.25">
      <c r="A46" s="799" t="s">
        <v>553</v>
      </c>
      <c r="B46" s="881" t="s">
        <v>885</v>
      </c>
      <c r="C46" s="883"/>
      <c r="D46" s="784" t="s">
        <v>885</v>
      </c>
      <c r="E46" s="784" t="s">
        <v>1993</v>
      </c>
      <c r="F46" s="881" t="s">
        <v>1994</v>
      </c>
      <c r="G46" s="882"/>
      <c r="H46" s="883"/>
      <c r="I46" s="881" t="s">
        <v>1995</v>
      </c>
      <c r="J46" s="882"/>
      <c r="K46" s="882"/>
      <c r="L46" s="883"/>
      <c r="M46" s="881" t="s">
        <v>1996</v>
      </c>
      <c r="N46" s="883"/>
      <c r="O46" s="784" t="s">
        <v>1997</v>
      </c>
      <c r="P46" s="426"/>
    </row>
    <row r="47" spans="1:19" ht="11.85" customHeight="1" x14ac:dyDescent="0.25">
      <c r="A47" s="920" t="s">
        <v>1998</v>
      </c>
      <c r="B47" s="920"/>
      <c r="C47" s="920"/>
      <c r="D47" s="920"/>
      <c r="E47" s="920"/>
      <c r="F47" s="920"/>
      <c r="G47" s="920"/>
      <c r="H47" s="920"/>
      <c r="I47" s="920"/>
      <c r="J47" s="920"/>
      <c r="K47" s="920"/>
      <c r="L47" s="920"/>
      <c r="M47" s="920"/>
      <c r="N47" s="920"/>
      <c r="O47" s="920"/>
      <c r="P47" s="920"/>
      <c r="Q47" s="920"/>
      <c r="R47" s="920"/>
      <c r="S47" s="920"/>
    </row>
    <row r="48" spans="1:19" ht="5.85" customHeight="1" x14ac:dyDescent="0.25"/>
    <row r="49" spans="1:19" ht="11.85" customHeight="1" x14ac:dyDescent="0.25">
      <c r="A49" s="904" t="s">
        <v>539</v>
      </c>
      <c r="B49" s="904"/>
      <c r="S49" s="805" t="s">
        <v>555</v>
      </c>
    </row>
    <row r="50" spans="1:19" ht="11.1" customHeight="1" x14ac:dyDescent="0.25">
      <c r="A50" s="904" t="s">
        <v>467</v>
      </c>
      <c r="B50" s="904"/>
    </row>
    <row r="51" spans="1:19" ht="11.85" customHeight="1" x14ac:dyDescent="0.25">
      <c r="A51" s="905" t="s">
        <v>541</v>
      </c>
      <c r="B51" s="905"/>
    </row>
    <row r="52" spans="1:19" ht="11.85" customHeight="1" x14ac:dyDescent="0.25">
      <c r="A52" s="904" t="s">
        <v>542</v>
      </c>
      <c r="B52" s="904"/>
    </row>
    <row r="53" spans="1:19" ht="11.85" customHeight="1" x14ac:dyDescent="0.25">
      <c r="A53" s="904" t="s">
        <v>1852</v>
      </c>
      <c r="B53" s="904"/>
    </row>
    <row r="54" spans="1:19" ht="5.85" customHeight="1" x14ac:dyDescent="0.25"/>
    <row r="55" spans="1:19" ht="11.1" customHeight="1" x14ac:dyDescent="0.25">
      <c r="A55" s="906" t="s">
        <v>543</v>
      </c>
      <c r="B55" s="906"/>
      <c r="C55" s="906"/>
      <c r="D55" s="906"/>
      <c r="E55" s="906"/>
      <c r="F55" s="906"/>
      <c r="G55" s="906"/>
      <c r="H55" s="425"/>
      <c r="I55" s="425"/>
      <c r="J55" s="425"/>
      <c r="K55" s="425"/>
      <c r="L55" s="425"/>
      <c r="M55" s="425"/>
      <c r="N55" s="425"/>
      <c r="O55" s="425"/>
      <c r="Q55" s="889" t="s">
        <v>537</v>
      </c>
      <c r="R55" s="889"/>
      <c r="S55" s="889"/>
    </row>
    <row r="56" spans="1:19" ht="11.85" customHeight="1" x14ac:dyDescent="0.25">
      <c r="A56" s="890" t="s">
        <v>474</v>
      </c>
      <c r="B56" s="892" t="s">
        <v>544</v>
      </c>
      <c r="C56" s="893"/>
      <c r="D56" s="892" t="s">
        <v>545</v>
      </c>
      <c r="E56" s="897" t="s">
        <v>546</v>
      </c>
      <c r="F56" s="898"/>
      <c r="G56" s="898"/>
      <c r="H56" s="898"/>
      <c r="I56" s="898"/>
      <c r="J56" s="898"/>
      <c r="K56" s="898"/>
      <c r="L56" s="898"/>
      <c r="M56" s="898"/>
      <c r="N56" s="899"/>
      <c r="O56" s="892" t="s">
        <v>547</v>
      </c>
      <c r="P56" s="426"/>
    </row>
    <row r="57" spans="1:19" ht="17.850000000000001" customHeight="1" x14ac:dyDescent="0.25">
      <c r="A57" s="891"/>
      <c r="B57" s="894"/>
      <c r="C57" s="895"/>
      <c r="D57" s="896"/>
      <c r="E57" s="787" t="s">
        <v>548</v>
      </c>
      <c r="F57" s="892" t="s">
        <v>549</v>
      </c>
      <c r="G57" s="902"/>
      <c r="H57" s="903"/>
      <c r="I57" s="892" t="s">
        <v>550</v>
      </c>
      <c r="J57" s="902"/>
      <c r="K57" s="902"/>
      <c r="L57" s="903"/>
      <c r="M57" s="892" t="s">
        <v>551</v>
      </c>
      <c r="N57" s="903"/>
      <c r="O57" s="896"/>
      <c r="P57" s="426"/>
    </row>
    <row r="58" spans="1:19" ht="11.1" customHeight="1" x14ac:dyDescent="0.25">
      <c r="A58" s="806" t="s">
        <v>554</v>
      </c>
      <c r="B58" s="886" t="s">
        <v>886</v>
      </c>
      <c r="C58" s="887"/>
      <c r="D58" s="800" t="s">
        <v>1999</v>
      </c>
      <c r="E58" s="800" t="s">
        <v>2000</v>
      </c>
      <c r="F58" s="886" t="s">
        <v>2001</v>
      </c>
      <c r="G58" s="888"/>
      <c r="H58" s="887"/>
      <c r="I58" s="886" t="s">
        <v>2002</v>
      </c>
      <c r="J58" s="888"/>
      <c r="K58" s="888"/>
      <c r="L58" s="887"/>
      <c r="M58" s="886" t="s">
        <v>2003</v>
      </c>
      <c r="N58" s="887"/>
      <c r="O58" s="800" t="s">
        <v>2004</v>
      </c>
      <c r="P58" s="426"/>
    </row>
    <row r="59" spans="1:19" ht="11.85" customHeight="1" x14ac:dyDescent="0.25">
      <c r="A59" s="799" t="s">
        <v>556</v>
      </c>
      <c r="B59" s="881" t="s">
        <v>886</v>
      </c>
      <c r="C59" s="883"/>
      <c r="D59" s="784" t="s">
        <v>1999</v>
      </c>
      <c r="E59" s="784" t="s">
        <v>2000</v>
      </c>
      <c r="F59" s="881" t="s">
        <v>2005</v>
      </c>
      <c r="G59" s="882"/>
      <c r="H59" s="883"/>
      <c r="I59" s="881" t="s">
        <v>2002</v>
      </c>
      <c r="J59" s="882"/>
      <c r="K59" s="882"/>
      <c r="L59" s="883"/>
      <c r="M59" s="881" t="s">
        <v>2006</v>
      </c>
      <c r="N59" s="883"/>
      <c r="O59" s="784" t="s">
        <v>2004</v>
      </c>
      <c r="P59" s="426"/>
    </row>
    <row r="60" spans="1:19" ht="11.85" customHeight="1" x14ac:dyDescent="0.25">
      <c r="A60" s="799" t="s">
        <v>557</v>
      </c>
      <c r="B60" s="881" t="s">
        <v>479</v>
      </c>
      <c r="C60" s="883"/>
      <c r="D60" s="784" t="s">
        <v>479</v>
      </c>
      <c r="E60" s="784" t="s">
        <v>479</v>
      </c>
      <c r="F60" s="881" t="s">
        <v>479</v>
      </c>
      <c r="G60" s="882"/>
      <c r="H60" s="883"/>
      <c r="I60" s="881" t="s">
        <v>479</v>
      </c>
      <c r="J60" s="882"/>
      <c r="K60" s="882"/>
      <c r="L60" s="883"/>
      <c r="M60" s="881" t="s">
        <v>479</v>
      </c>
      <c r="N60" s="883"/>
      <c r="O60" s="784" t="s">
        <v>479</v>
      </c>
      <c r="P60" s="426"/>
    </row>
    <row r="61" spans="1:19" ht="11.85" customHeight="1" x14ac:dyDescent="0.25">
      <c r="A61" s="799" t="s">
        <v>558</v>
      </c>
      <c r="B61" s="881" t="s">
        <v>886</v>
      </c>
      <c r="C61" s="883"/>
      <c r="D61" s="784" t="s">
        <v>1999</v>
      </c>
      <c r="E61" s="784" t="s">
        <v>2000</v>
      </c>
      <c r="F61" s="881" t="s">
        <v>2005</v>
      </c>
      <c r="G61" s="882"/>
      <c r="H61" s="883"/>
      <c r="I61" s="881" t="s">
        <v>2002</v>
      </c>
      <c r="J61" s="882"/>
      <c r="K61" s="882"/>
      <c r="L61" s="883"/>
      <c r="M61" s="881" t="s">
        <v>2006</v>
      </c>
      <c r="N61" s="883"/>
      <c r="O61" s="784" t="s">
        <v>479</v>
      </c>
      <c r="P61" s="426"/>
    </row>
    <row r="62" spans="1:19" ht="11.1" customHeight="1" x14ac:dyDescent="0.25">
      <c r="A62" s="799" t="s">
        <v>559</v>
      </c>
      <c r="B62" s="881" t="s">
        <v>479</v>
      </c>
      <c r="C62" s="883"/>
      <c r="D62" s="784" t="s">
        <v>479</v>
      </c>
      <c r="E62" s="784" t="s">
        <v>479</v>
      </c>
      <c r="F62" s="881" t="s">
        <v>479</v>
      </c>
      <c r="G62" s="882"/>
      <c r="H62" s="883"/>
      <c r="I62" s="881" t="s">
        <v>2007</v>
      </c>
      <c r="J62" s="882"/>
      <c r="K62" s="882"/>
      <c r="L62" s="883"/>
      <c r="M62" s="881" t="s">
        <v>479</v>
      </c>
      <c r="N62" s="883"/>
      <c r="O62" s="784" t="s">
        <v>479</v>
      </c>
      <c r="P62" s="426"/>
    </row>
    <row r="63" spans="1:19" ht="11.85" customHeight="1" x14ac:dyDescent="0.25">
      <c r="A63" s="799" t="s">
        <v>887</v>
      </c>
      <c r="B63" s="881" t="s">
        <v>479</v>
      </c>
      <c r="C63" s="883"/>
      <c r="D63" s="784" t="s">
        <v>479</v>
      </c>
      <c r="E63" s="784" t="s">
        <v>479</v>
      </c>
      <c r="F63" s="881" t="s">
        <v>479</v>
      </c>
      <c r="G63" s="882"/>
      <c r="H63" s="883"/>
      <c r="I63" s="881" t="s">
        <v>479</v>
      </c>
      <c r="J63" s="882"/>
      <c r="K63" s="882"/>
      <c r="L63" s="883"/>
      <c r="M63" s="881" t="s">
        <v>479</v>
      </c>
      <c r="N63" s="883"/>
      <c r="O63" s="784" t="s">
        <v>479</v>
      </c>
      <c r="P63" s="426"/>
    </row>
    <row r="64" spans="1:19" ht="5.85" customHeight="1" x14ac:dyDescent="0.25">
      <c r="A64" s="802" t="s">
        <v>888</v>
      </c>
      <c r="B64" s="917" t="s">
        <v>479</v>
      </c>
      <c r="C64" s="918"/>
      <c r="D64" s="788" t="s">
        <v>479</v>
      </c>
      <c r="E64" s="788" t="s">
        <v>479</v>
      </c>
      <c r="F64" s="917" t="s">
        <v>479</v>
      </c>
      <c r="G64" s="919"/>
      <c r="H64" s="918"/>
      <c r="I64" s="917" t="s">
        <v>2007</v>
      </c>
      <c r="J64" s="919"/>
      <c r="K64" s="919"/>
      <c r="L64" s="918"/>
      <c r="M64" s="917" t="s">
        <v>479</v>
      </c>
      <c r="N64" s="918"/>
      <c r="O64" s="788" t="s">
        <v>479</v>
      </c>
      <c r="P64" s="426"/>
    </row>
    <row r="65" spans="1:20" ht="11.85" customHeight="1" x14ac:dyDescent="0.25">
      <c r="A65" s="427"/>
      <c r="B65" s="427"/>
      <c r="C65" s="427"/>
      <c r="D65" s="427"/>
      <c r="E65" s="427"/>
      <c r="F65" s="427"/>
      <c r="G65" s="427"/>
      <c r="H65" s="427"/>
      <c r="I65" s="427"/>
      <c r="J65" s="427"/>
      <c r="K65" s="427"/>
      <c r="L65" s="427"/>
      <c r="M65" s="427"/>
      <c r="N65" s="427"/>
      <c r="O65" s="427"/>
      <c r="P65" s="425"/>
      <c r="Q65" s="425"/>
      <c r="R65" s="425"/>
      <c r="S65" s="425"/>
    </row>
    <row r="66" spans="1:20" ht="17.100000000000001" customHeight="1" x14ac:dyDescent="0.25">
      <c r="A66" s="890" t="s">
        <v>481</v>
      </c>
      <c r="B66" s="892" t="s">
        <v>560</v>
      </c>
      <c r="C66" s="893"/>
      <c r="D66" s="892" t="s">
        <v>561</v>
      </c>
      <c r="E66" s="897" t="s">
        <v>562</v>
      </c>
      <c r="F66" s="898"/>
      <c r="G66" s="898"/>
      <c r="H66" s="898"/>
      <c r="I66" s="899"/>
      <c r="J66" s="892" t="s">
        <v>563</v>
      </c>
      <c r="K66" s="893"/>
      <c r="L66" s="897" t="s">
        <v>564</v>
      </c>
      <c r="M66" s="898"/>
      <c r="N66" s="898"/>
      <c r="O66" s="899"/>
      <c r="P66" s="892" t="s">
        <v>565</v>
      </c>
      <c r="Q66" s="892" t="s">
        <v>566</v>
      </c>
      <c r="R66" s="892" t="s">
        <v>567</v>
      </c>
      <c r="S66" s="893"/>
      <c r="T66" s="426"/>
    </row>
    <row r="67" spans="1:20" ht="11.85" customHeight="1" x14ac:dyDescent="0.25">
      <c r="A67" s="891"/>
      <c r="B67" s="894"/>
      <c r="C67" s="895"/>
      <c r="D67" s="896"/>
      <c r="E67" s="787" t="s">
        <v>568</v>
      </c>
      <c r="F67" s="892" t="s">
        <v>569</v>
      </c>
      <c r="G67" s="902"/>
      <c r="H67" s="902"/>
      <c r="I67" s="903"/>
      <c r="J67" s="894"/>
      <c r="K67" s="895"/>
      <c r="L67" s="892" t="s">
        <v>568</v>
      </c>
      <c r="M67" s="902"/>
      <c r="N67" s="903"/>
      <c r="O67" s="787" t="s">
        <v>570</v>
      </c>
      <c r="P67" s="896"/>
      <c r="Q67" s="896"/>
      <c r="R67" s="894"/>
      <c r="S67" s="895"/>
      <c r="T67" s="426"/>
    </row>
    <row r="68" spans="1:20" ht="11.85" customHeight="1" x14ac:dyDescent="0.25">
      <c r="A68" s="806" t="s">
        <v>571</v>
      </c>
      <c r="B68" s="914" t="s">
        <v>889</v>
      </c>
      <c r="C68" s="915"/>
      <c r="D68" s="790" t="s">
        <v>2008</v>
      </c>
      <c r="E68" s="790" t="s">
        <v>2009</v>
      </c>
      <c r="F68" s="914" t="s">
        <v>2010</v>
      </c>
      <c r="G68" s="916"/>
      <c r="H68" s="916"/>
      <c r="I68" s="915"/>
      <c r="J68" s="914" t="s">
        <v>2011</v>
      </c>
      <c r="K68" s="915"/>
      <c r="L68" s="914" t="s">
        <v>2012</v>
      </c>
      <c r="M68" s="916"/>
      <c r="N68" s="915"/>
      <c r="O68" s="790" t="s">
        <v>2013</v>
      </c>
      <c r="P68" s="790" t="s">
        <v>2014</v>
      </c>
      <c r="Q68" s="790" t="s">
        <v>2015</v>
      </c>
      <c r="R68" s="914" t="s">
        <v>479</v>
      </c>
      <c r="S68" s="915"/>
      <c r="T68" s="796"/>
    </row>
    <row r="69" spans="1:20" ht="11.85" customHeight="1" x14ac:dyDescent="0.25">
      <c r="A69" s="799" t="s">
        <v>890</v>
      </c>
      <c r="B69" s="884" t="s">
        <v>891</v>
      </c>
      <c r="C69" s="885"/>
      <c r="D69" s="791" t="s">
        <v>2016</v>
      </c>
      <c r="E69" s="791" t="s">
        <v>2017</v>
      </c>
      <c r="F69" s="884" t="s">
        <v>2018</v>
      </c>
      <c r="G69" s="913"/>
      <c r="H69" s="913"/>
      <c r="I69" s="885"/>
      <c r="J69" s="884" t="s">
        <v>2019</v>
      </c>
      <c r="K69" s="885"/>
      <c r="L69" s="884" t="s">
        <v>2020</v>
      </c>
      <c r="M69" s="913"/>
      <c r="N69" s="885"/>
      <c r="O69" s="791" t="s">
        <v>2021</v>
      </c>
      <c r="P69" s="791" t="s">
        <v>2022</v>
      </c>
      <c r="Q69" s="791" t="s">
        <v>2023</v>
      </c>
      <c r="R69" s="884" t="s">
        <v>479</v>
      </c>
      <c r="S69" s="885"/>
      <c r="T69" s="796"/>
    </row>
    <row r="70" spans="1:20" ht="11.1" customHeight="1" x14ac:dyDescent="0.25">
      <c r="A70" s="799" t="s">
        <v>892</v>
      </c>
      <c r="B70" s="884" t="s">
        <v>893</v>
      </c>
      <c r="C70" s="885"/>
      <c r="D70" s="791" t="s">
        <v>2024</v>
      </c>
      <c r="E70" s="791" t="s">
        <v>2025</v>
      </c>
      <c r="F70" s="884" t="s">
        <v>2026</v>
      </c>
      <c r="G70" s="913"/>
      <c r="H70" s="913"/>
      <c r="I70" s="885"/>
      <c r="J70" s="884" t="s">
        <v>2027</v>
      </c>
      <c r="K70" s="885"/>
      <c r="L70" s="884" t="s">
        <v>2028</v>
      </c>
      <c r="M70" s="913"/>
      <c r="N70" s="885"/>
      <c r="O70" s="791" t="s">
        <v>2029</v>
      </c>
      <c r="P70" s="791" t="s">
        <v>2030</v>
      </c>
      <c r="Q70" s="791" t="s">
        <v>2031</v>
      </c>
      <c r="R70" s="884" t="s">
        <v>479</v>
      </c>
      <c r="S70" s="885"/>
      <c r="T70" s="796"/>
    </row>
    <row r="71" spans="1:20" ht="11.85" customHeight="1" x14ac:dyDescent="0.25">
      <c r="A71" s="799" t="s">
        <v>894</v>
      </c>
      <c r="B71" s="884" t="s">
        <v>895</v>
      </c>
      <c r="C71" s="885"/>
      <c r="D71" s="791" t="s">
        <v>895</v>
      </c>
      <c r="E71" s="791" t="s">
        <v>1212</v>
      </c>
      <c r="F71" s="884" t="s">
        <v>2032</v>
      </c>
      <c r="G71" s="913"/>
      <c r="H71" s="913"/>
      <c r="I71" s="885"/>
      <c r="J71" s="884" t="s">
        <v>2033</v>
      </c>
      <c r="K71" s="885"/>
      <c r="L71" s="884" t="s">
        <v>1212</v>
      </c>
      <c r="M71" s="913"/>
      <c r="N71" s="885"/>
      <c r="O71" s="791" t="s">
        <v>2032</v>
      </c>
      <c r="P71" s="791" t="s">
        <v>2033</v>
      </c>
      <c r="Q71" s="791" t="s">
        <v>1213</v>
      </c>
      <c r="R71" s="884" t="s">
        <v>479</v>
      </c>
      <c r="S71" s="885"/>
      <c r="T71" s="796"/>
    </row>
    <row r="72" spans="1:20" ht="11.85" customHeight="1" x14ac:dyDescent="0.25">
      <c r="A72" s="799" t="s">
        <v>896</v>
      </c>
      <c r="B72" s="884" t="s">
        <v>897</v>
      </c>
      <c r="C72" s="885"/>
      <c r="D72" s="791" t="s">
        <v>2034</v>
      </c>
      <c r="E72" s="791" t="s">
        <v>2035</v>
      </c>
      <c r="F72" s="884" t="s">
        <v>2036</v>
      </c>
      <c r="G72" s="913"/>
      <c r="H72" s="913"/>
      <c r="I72" s="885"/>
      <c r="J72" s="884" t="s">
        <v>2037</v>
      </c>
      <c r="K72" s="885"/>
      <c r="L72" s="884" t="s">
        <v>2038</v>
      </c>
      <c r="M72" s="913"/>
      <c r="N72" s="885"/>
      <c r="O72" s="791" t="s">
        <v>2039</v>
      </c>
      <c r="P72" s="791" t="s">
        <v>2040</v>
      </c>
      <c r="Q72" s="791" t="s">
        <v>2041</v>
      </c>
      <c r="R72" s="884" t="s">
        <v>479</v>
      </c>
      <c r="S72" s="885"/>
      <c r="T72" s="796"/>
    </row>
    <row r="73" spans="1:20" ht="11.85" customHeight="1" x14ac:dyDescent="0.25">
      <c r="A73" s="799" t="s">
        <v>805</v>
      </c>
      <c r="B73" s="884" t="s">
        <v>898</v>
      </c>
      <c r="C73" s="885"/>
      <c r="D73" s="791" t="s">
        <v>2042</v>
      </c>
      <c r="E73" s="791" t="s">
        <v>2043</v>
      </c>
      <c r="F73" s="884" t="s">
        <v>2044</v>
      </c>
      <c r="G73" s="913"/>
      <c r="H73" s="913"/>
      <c r="I73" s="885"/>
      <c r="J73" s="884" t="s">
        <v>2045</v>
      </c>
      <c r="K73" s="885"/>
      <c r="L73" s="884" t="s">
        <v>2046</v>
      </c>
      <c r="M73" s="913"/>
      <c r="N73" s="885"/>
      <c r="O73" s="791" t="s">
        <v>2047</v>
      </c>
      <c r="P73" s="791" t="s">
        <v>2048</v>
      </c>
      <c r="Q73" s="791" t="s">
        <v>2049</v>
      </c>
      <c r="R73" s="884" t="s">
        <v>479</v>
      </c>
      <c r="S73" s="885"/>
      <c r="T73" s="796"/>
    </row>
    <row r="74" spans="1:20" ht="11.1" customHeight="1" x14ac:dyDescent="0.25">
      <c r="A74" s="799" t="s">
        <v>899</v>
      </c>
      <c r="B74" s="884" t="s">
        <v>900</v>
      </c>
      <c r="C74" s="885"/>
      <c r="D74" s="791" t="s">
        <v>2050</v>
      </c>
      <c r="E74" s="791" t="s">
        <v>2043</v>
      </c>
      <c r="F74" s="884" t="s">
        <v>2044</v>
      </c>
      <c r="G74" s="913"/>
      <c r="H74" s="913"/>
      <c r="I74" s="885"/>
      <c r="J74" s="884" t="s">
        <v>2051</v>
      </c>
      <c r="K74" s="885"/>
      <c r="L74" s="884" t="s">
        <v>2046</v>
      </c>
      <c r="M74" s="913"/>
      <c r="N74" s="885"/>
      <c r="O74" s="791" t="s">
        <v>2047</v>
      </c>
      <c r="P74" s="791" t="s">
        <v>2052</v>
      </c>
      <c r="Q74" s="791" t="s">
        <v>2049</v>
      </c>
      <c r="R74" s="884" t="s">
        <v>479</v>
      </c>
      <c r="S74" s="885"/>
      <c r="T74" s="796"/>
    </row>
    <row r="75" spans="1:20" ht="11.85" customHeight="1" x14ac:dyDescent="0.25">
      <c r="A75" s="799" t="s">
        <v>901</v>
      </c>
      <c r="B75" s="884">
        <v>252</v>
      </c>
      <c r="C75" s="885"/>
      <c r="D75" s="791">
        <v>252</v>
      </c>
      <c r="E75" s="791" t="s">
        <v>479</v>
      </c>
      <c r="F75" s="884" t="s">
        <v>479</v>
      </c>
      <c r="G75" s="913"/>
      <c r="H75" s="913"/>
      <c r="I75" s="885"/>
      <c r="J75" s="884">
        <v>252</v>
      </c>
      <c r="K75" s="885"/>
      <c r="L75" s="884" t="s">
        <v>479</v>
      </c>
      <c r="M75" s="913"/>
      <c r="N75" s="885"/>
      <c r="O75" s="791" t="s">
        <v>479</v>
      </c>
      <c r="P75" s="791">
        <v>252</v>
      </c>
      <c r="Q75" s="791" t="s">
        <v>479</v>
      </c>
      <c r="R75" s="884" t="s">
        <v>479</v>
      </c>
      <c r="S75" s="885"/>
      <c r="T75" s="796"/>
    </row>
    <row r="76" spans="1:20" ht="11.85" customHeight="1" x14ac:dyDescent="0.25">
      <c r="A76" s="799" t="s">
        <v>902</v>
      </c>
      <c r="B76" s="884">
        <v>511</v>
      </c>
      <c r="C76" s="885"/>
      <c r="D76" s="791">
        <v>511</v>
      </c>
      <c r="E76" s="791" t="s">
        <v>479</v>
      </c>
      <c r="F76" s="884" t="s">
        <v>479</v>
      </c>
      <c r="G76" s="913"/>
      <c r="H76" s="913"/>
      <c r="I76" s="885"/>
      <c r="J76" s="884">
        <v>511</v>
      </c>
      <c r="K76" s="885"/>
      <c r="L76" s="884" t="s">
        <v>479</v>
      </c>
      <c r="M76" s="913"/>
      <c r="N76" s="885"/>
      <c r="O76" s="791" t="s">
        <v>479</v>
      </c>
      <c r="P76" s="791">
        <v>511</v>
      </c>
      <c r="Q76" s="791" t="s">
        <v>479</v>
      </c>
      <c r="R76" s="884" t="s">
        <v>479</v>
      </c>
      <c r="S76" s="885"/>
      <c r="T76" s="796"/>
    </row>
    <row r="77" spans="1:20" ht="11.85" customHeight="1" x14ac:dyDescent="0.25">
      <c r="A77" s="799" t="s">
        <v>572</v>
      </c>
      <c r="B77" s="884" t="s">
        <v>903</v>
      </c>
      <c r="C77" s="885"/>
      <c r="D77" s="791">
        <v>143.07</v>
      </c>
      <c r="E77" s="791" t="s">
        <v>479</v>
      </c>
      <c r="F77" s="884" t="s">
        <v>479</v>
      </c>
      <c r="G77" s="913"/>
      <c r="H77" s="913"/>
      <c r="I77" s="885"/>
      <c r="J77" s="884">
        <v>143.07</v>
      </c>
      <c r="K77" s="885"/>
      <c r="L77" s="884" t="s">
        <v>479</v>
      </c>
      <c r="M77" s="913"/>
      <c r="N77" s="885"/>
      <c r="O77" s="791" t="s">
        <v>479</v>
      </c>
      <c r="P77" s="791">
        <v>143.07</v>
      </c>
      <c r="Q77" s="791" t="s">
        <v>479</v>
      </c>
      <c r="R77" s="884" t="s">
        <v>479</v>
      </c>
      <c r="S77" s="885"/>
      <c r="T77" s="796"/>
    </row>
    <row r="78" spans="1:20" ht="11.1" customHeight="1" x14ac:dyDescent="0.25">
      <c r="A78" s="802" t="s">
        <v>573</v>
      </c>
      <c r="B78" s="910" t="s">
        <v>904</v>
      </c>
      <c r="C78" s="911"/>
      <c r="D78" s="792" t="s">
        <v>2053</v>
      </c>
      <c r="E78" s="792" t="s">
        <v>2054</v>
      </c>
      <c r="F78" s="910" t="s">
        <v>2055</v>
      </c>
      <c r="G78" s="912"/>
      <c r="H78" s="912"/>
      <c r="I78" s="911"/>
      <c r="J78" s="910" t="s">
        <v>2056</v>
      </c>
      <c r="K78" s="911"/>
      <c r="L78" s="910" t="s">
        <v>2054</v>
      </c>
      <c r="M78" s="912"/>
      <c r="N78" s="911"/>
      <c r="O78" s="792" t="s">
        <v>2055</v>
      </c>
      <c r="P78" s="792" t="s">
        <v>2056</v>
      </c>
      <c r="Q78" s="792" t="s">
        <v>2057</v>
      </c>
      <c r="R78" s="910" t="s">
        <v>479</v>
      </c>
      <c r="S78" s="911"/>
      <c r="T78" s="796"/>
    </row>
    <row r="79" spans="1:20" ht="11.85" customHeight="1" x14ac:dyDescent="0.25">
      <c r="A79" s="820" t="s">
        <v>574</v>
      </c>
      <c r="B79" s="907" t="s">
        <v>905</v>
      </c>
      <c r="C79" s="908"/>
      <c r="D79" s="794" t="s">
        <v>2058</v>
      </c>
      <c r="E79" s="794" t="s">
        <v>2059</v>
      </c>
      <c r="F79" s="907" t="s">
        <v>2060</v>
      </c>
      <c r="G79" s="909"/>
      <c r="H79" s="909"/>
      <c r="I79" s="908"/>
      <c r="J79" s="907" t="s">
        <v>2061</v>
      </c>
      <c r="K79" s="908"/>
      <c r="L79" s="907" t="s">
        <v>2062</v>
      </c>
      <c r="M79" s="909"/>
      <c r="N79" s="908"/>
      <c r="O79" s="794" t="s">
        <v>2063</v>
      </c>
      <c r="P79" s="794" t="s">
        <v>2064</v>
      </c>
      <c r="Q79" s="794" t="s">
        <v>2065</v>
      </c>
      <c r="R79" s="907" t="s">
        <v>479</v>
      </c>
      <c r="S79" s="908"/>
      <c r="T79" s="796"/>
    </row>
    <row r="80" spans="1:20" ht="11.85" customHeight="1" x14ac:dyDescent="0.25">
      <c r="A80" s="806" t="s">
        <v>575</v>
      </c>
      <c r="B80" s="914" t="s">
        <v>479</v>
      </c>
      <c r="C80" s="915"/>
      <c r="D80" s="790" t="s">
        <v>479</v>
      </c>
      <c r="E80" s="790" t="s">
        <v>479</v>
      </c>
      <c r="F80" s="914" t="s">
        <v>479</v>
      </c>
      <c r="G80" s="916"/>
      <c r="H80" s="916"/>
      <c r="I80" s="915"/>
      <c r="J80" s="914" t="s">
        <v>479</v>
      </c>
      <c r="K80" s="915"/>
      <c r="L80" s="914" t="s">
        <v>479</v>
      </c>
      <c r="M80" s="916"/>
      <c r="N80" s="915"/>
      <c r="O80" s="790" t="s">
        <v>479</v>
      </c>
      <c r="P80" s="790" t="s">
        <v>479</v>
      </c>
      <c r="Q80" s="790" t="s">
        <v>479</v>
      </c>
      <c r="R80" s="914" t="s">
        <v>479</v>
      </c>
      <c r="S80" s="915"/>
      <c r="T80" s="796"/>
    </row>
    <row r="81" spans="1:20" ht="11.85" customHeight="1" x14ac:dyDescent="0.25">
      <c r="A81" s="799" t="s">
        <v>906</v>
      </c>
      <c r="B81" s="884" t="s">
        <v>479</v>
      </c>
      <c r="C81" s="885"/>
      <c r="D81" s="791" t="s">
        <v>479</v>
      </c>
      <c r="E81" s="791" t="s">
        <v>479</v>
      </c>
      <c r="F81" s="884" t="s">
        <v>479</v>
      </c>
      <c r="G81" s="913"/>
      <c r="H81" s="913"/>
      <c r="I81" s="885"/>
      <c r="J81" s="884" t="s">
        <v>479</v>
      </c>
      <c r="K81" s="885"/>
      <c r="L81" s="884" t="s">
        <v>479</v>
      </c>
      <c r="M81" s="913"/>
      <c r="N81" s="885"/>
      <c r="O81" s="791" t="s">
        <v>479</v>
      </c>
      <c r="P81" s="791" t="s">
        <v>479</v>
      </c>
      <c r="Q81" s="791" t="s">
        <v>479</v>
      </c>
      <c r="R81" s="884" t="s">
        <v>479</v>
      </c>
      <c r="S81" s="885"/>
      <c r="T81" s="796"/>
    </row>
    <row r="82" spans="1:20" ht="11.1" customHeight="1" x14ac:dyDescent="0.25">
      <c r="A82" s="802" t="s">
        <v>907</v>
      </c>
      <c r="B82" s="910" t="s">
        <v>479</v>
      </c>
      <c r="C82" s="911"/>
      <c r="D82" s="792" t="s">
        <v>479</v>
      </c>
      <c r="E82" s="792" t="s">
        <v>479</v>
      </c>
      <c r="F82" s="910" t="s">
        <v>479</v>
      </c>
      <c r="G82" s="912"/>
      <c r="H82" s="912"/>
      <c r="I82" s="911"/>
      <c r="J82" s="910" t="s">
        <v>479</v>
      </c>
      <c r="K82" s="911"/>
      <c r="L82" s="910" t="s">
        <v>479</v>
      </c>
      <c r="M82" s="912"/>
      <c r="N82" s="911"/>
      <c r="O82" s="792" t="s">
        <v>479</v>
      </c>
      <c r="P82" s="792" t="s">
        <v>479</v>
      </c>
      <c r="Q82" s="792" t="s">
        <v>479</v>
      </c>
      <c r="R82" s="910" t="s">
        <v>479</v>
      </c>
      <c r="S82" s="911"/>
      <c r="T82" s="796"/>
    </row>
    <row r="83" spans="1:20" ht="11.85" customHeight="1" x14ac:dyDescent="0.25">
      <c r="A83" s="820" t="s">
        <v>576</v>
      </c>
      <c r="B83" s="907" t="s">
        <v>905</v>
      </c>
      <c r="C83" s="908"/>
      <c r="D83" s="794" t="s">
        <v>2058</v>
      </c>
      <c r="E83" s="794" t="s">
        <v>2059</v>
      </c>
      <c r="F83" s="907" t="s">
        <v>2060</v>
      </c>
      <c r="G83" s="909"/>
      <c r="H83" s="909"/>
      <c r="I83" s="908"/>
      <c r="J83" s="907" t="s">
        <v>2061</v>
      </c>
      <c r="K83" s="908"/>
      <c r="L83" s="907" t="s">
        <v>2062</v>
      </c>
      <c r="M83" s="909"/>
      <c r="N83" s="908"/>
      <c r="O83" s="794" t="s">
        <v>2063</v>
      </c>
      <c r="P83" s="794" t="s">
        <v>2064</v>
      </c>
      <c r="Q83" s="794" t="s">
        <v>2065</v>
      </c>
      <c r="R83" s="907" t="s">
        <v>479</v>
      </c>
      <c r="S83" s="908"/>
      <c r="T83" s="796"/>
    </row>
    <row r="84" spans="1:20" ht="11.85" customHeight="1" x14ac:dyDescent="0.25">
      <c r="A84" s="820" t="s">
        <v>577</v>
      </c>
      <c r="B84" s="907" t="s">
        <v>479</v>
      </c>
      <c r="C84" s="908"/>
      <c r="D84" s="794" t="s">
        <v>479</v>
      </c>
      <c r="E84" s="794" t="s">
        <v>479</v>
      </c>
      <c r="F84" s="907" t="s">
        <v>479</v>
      </c>
      <c r="G84" s="909"/>
      <c r="H84" s="909"/>
      <c r="I84" s="908"/>
      <c r="J84" s="907" t="s">
        <v>479</v>
      </c>
      <c r="K84" s="908"/>
      <c r="L84" s="907" t="s">
        <v>479</v>
      </c>
      <c r="M84" s="909"/>
      <c r="N84" s="908"/>
      <c r="O84" s="794" t="s">
        <v>2066</v>
      </c>
      <c r="P84" s="794" t="s">
        <v>479</v>
      </c>
      <c r="Q84" s="794" t="s">
        <v>2067</v>
      </c>
      <c r="R84" s="907" t="s">
        <v>479</v>
      </c>
      <c r="S84" s="908"/>
      <c r="T84" s="796"/>
    </row>
    <row r="85" spans="1:20" ht="11.85" customHeight="1" x14ac:dyDescent="0.25">
      <c r="A85" s="837" t="s">
        <v>578</v>
      </c>
      <c r="B85" s="921" t="s">
        <v>905</v>
      </c>
      <c r="C85" s="922"/>
      <c r="D85" s="838" t="s">
        <v>2058</v>
      </c>
      <c r="E85" s="838" t="s">
        <v>2059</v>
      </c>
      <c r="F85" s="921" t="s">
        <v>2060</v>
      </c>
      <c r="G85" s="923"/>
      <c r="H85" s="923"/>
      <c r="I85" s="922"/>
      <c r="J85" s="921" t="s">
        <v>479</v>
      </c>
      <c r="K85" s="922"/>
      <c r="L85" s="921" t="s">
        <v>2062</v>
      </c>
      <c r="M85" s="923"/>
      <c r="N85" s="922"/>
      <c r="O85" s="838" t="s">
        <v>2002</v>
      </c>
      <c r="P85" s="838" t="s">
        <v>2064</v>
      </c>
      <c r="Q85" s="838" t="s">
        <v>2002</v>
      </c>
      <c r="R85" s="921" t="s">
        <v>479</v>
      </c>
      <c r="S85" s="922"/>
      <c r="T85" s="796"/>
    </row>
    <row r="86" spans="1:20" ht="5.85" customHeight="1" x14ac:dyDescent="0.25">
      <c r="A86" s="624" t="s">
        <v>579</v>
      </c>
      <c r="B86" s="907" t="s">
        <v>908</v>
      </c>
      <c r="C86" s="908"/>
      <c r="D86" s="794" t="s">
        <v>908</v>
      </c>
      <c r="E86" s="794" t="s">
        <v>479</v>
      </c>
      <c r="F86" s="907" t="s">
        <v>479</v>
      </c>
      <c r="G86" s="909"/>
      <c r="H86" s="909"/>
      <c r="I86" s="908"/>
      <c r="J86" s="907" t="s">
        <v>908</v>
      </c>
      <c r="K86" s="908"/>
      <c r="L86" s="907" t="s">
        <v>479</v>
      </c>
      <c r="M86" s="909"/>
      <c r="N86" s="908"/>
      <c r="O86" s="794" t="s">
        <v>479</v>
      </c>
      <c r="P86" s="794" t="s">
        <v>908</v>
      </c>
      <c r="Q86" s="794" t="s">
        <v>479</v>
      </c>
      <c r="R86" s="907" t="s">
        <v>479</v>
      </c>
      <c r="S86" s="908"/>
      <c r="T86" s="796"/>
    </row>
    <row r="87" spans="1:20" ht="11.1" customHeight="1" x14ac:dyDescent="0.25">
      <c r="A87" s="427"/>
      <c r="B87" s="427"/>
      <c r="C87" s="427"/>
      <c r="D87" s="427"/>
      <c r="E87" s="427"/>
      <c r="F87" s="427"/>
      <c r="G87" s="427"/>
      <c r="H87" s="427"/>
      <c r="I87" s="427"/>
      <c r="J87" s="427"/>
      <c r="K87" s="427"/>
      <c r="L87" s="427"/>
      <c r="M87" s="427"/>
      <c r="N87" s="427"/>
      <c r="O87" s="428"/>
      <c r="P87" s="428"/>
      <c r="Q87" s="428"/>
      <c r="R87" s="428"/>
      <c r="S87" s="428"/>
    </row>
    <row r="88" spans="1:20" ht="17.850000000000001" customHeight="1" x14ac:dyDescent="0.25">
      <c r="A88" s="890" t="s">
        <v>580</v>
      </c>
      <c r="B88" s="892" t="s">
        <v>544</v>
      </c>
      <c r="C88" s="893"/>
      <c r="D88" s="892" t="s">
        <v>545</v>
      </c>
      <c r="E88" s="897" t="s">
        <v>546</v>
      </c>
      <c r="F88" s="898"/>
      <c r="G88" s="898"/>
      <c r="H88" s="898"/>
      <c r="I88" s="898"/>
      <c r="J88" s="898"/>
      <c r="K88" s="899"/>
      <c r="L88" s="892" t="s">
        <v>547</v>
      </c>
      <c r="M88" s="900"/>
      <c r="N88" s="893"/>
      <c r="O88" s="426"/>
    </row>
    <row r="89" spans="1:20" ht="11.85" customHeight="1" x14ac:dyDescent="0.25">
      <c r="A89" s="891"/>
      <c r="B89" s="894"/>
      <c r="C89" s="895"/>
      <c r="D89" s="896"/>
      <c r="E89" s="787" t="s">
        <v>548</v>
      </c>
      <c r="F89" s="787" t="s">
        <v>549</v>
      </c>
      <c r="G89" s="892" t="s">
        <v>550</v>
      </c>
      <c r="H89" s="902"/>
      <c r="I89" s="902"/>
      <c r="J89" s="903"/>
      <c r="K89" s="787" t="s">
        <v>551</v>
      </c>
      <c r="L89" s="894"/>
      <c r="M89" s="901"/>
      <c r="N89" s="895"/>
      <c r="O89" s="426"/>
    </row>
    <row r="90" spans="1:20" ht="11.1" customHeight="1" x14ac:dyDescent="0.25">
      <c r="A90" s="806" t="s">
        <v>553</v>
      </c>
      <c r="B90" s="886" t="s">
        <v>885</v>
      </c>
      <c r="C90" s="887"/>
      <c r="D90" s="800" t="s">
        <v>885</v>
      </c>
      <c r="E90" s="800" t="s">
        <v>1993</v>
      </c>
      <c r="F90" s="800" t="s">
        <v>1994</v>
      </c>
      <c r="G90" s="886" t="s">
        <v>1995</v>
      </c>
      <c r="H90" s="888"/>
      <c r="I90" s="888"/>
      <c r="J90" s="887"/>
      <c r="K90" s="800" t="s">
        <v>1996</v>
      </c>
      <c r="L90" s="886" t="s">
        <v>1997</v>
      </c>
      <c r="M90" s="888"/>
      <c r="N90" s="887"/>
      <c r="O90" s="426"/>
    </row>
    <row r="91" spans="1:20" ht="11.85" customHeight="1" x14ac:dyDescent="0.25">
      <c r="A91" s="799" t="s">
        <v>824</v>
      </c>
      <c r="B91" s="881" t="s">
        <v>885</v>
      </c>
      <c r="C91" s="883"/>
      <c r="D91" s="784" t="s">
        <v>885</v>
      </c>
      <c r="E91" s="784" t="s">
        <v>2068</v>
      </c>
      <c r="F91" s="784" t="s">
        <v>1994</v>
      </c>
      <c r="G91" s="881" t="s">
        <v>2069</v>
      </c>
      <c r="H91" s="882"/>
      <c r="I91" s="882"/>
      <c r="J91" s="883"/>
      <c r="K91" s="784" t="s">
        <v>2070</v>
      </c>
      <c r="L91" s="881" t="s">
        <v>2071</v>
      </c>
      <c r="M91" s="882"/>
      <c r="N91" s="883"/>
      <c r="O91" s="426"/>
    </row>
    <row r="92" spans="1:20" ht="11.85" customHeight="1" x14ac:dyDescent="0.25">
      <c r="A92" s="799" t="s">
        <v>834</v>
      </c>
      <c r="B92" s="881" t="s">
        <v>909</v>
      </c>
      <c r="C92" s="883"/>
      <c r="D92" s="784" t="s">
        <v>909</v>
      </c>
      <c r="E92" s="784" t="s">
        <v>2072</v>
      </c>
      <c r="F92" s="784" t="s">
        <v>2073</v>
      </c>
      <c r="G92" s="881" t="s">
        <v>2074</v>
      </c>
      <c r="H92" s="882"/>
      <c r="I92" s="882"/>
      <c r="J92" s="883"/>
      <c r="K92" s="784" t="s">
        <v>2075</v>
      </c>
      <c r="L92" s="881" t="s">
        <v>2076</v>
      </c>
      <c r="M92" s="882"/>
      <c r="N92" s="883"/>
      <c r="O92" s="426"/>
    </row>
    <row r="93" spans="1:20" ht="11.85" customHeight="1" x14ac:dyDescent="0.25">
      <c r="A93" s="799" t="s">
        <v>836</v>
      </c>
      <c r="B93" s="881" t="s">
        <v>909</v>
      </c>
      <c r="C93" s="883"/>
      <c r="D93" s="784" t="s">
        <v>909</v>
      </c>
      <c r="E93" s="784" t="s">
        <v>2072</v>
      </c>
      <c r="F93" s="784" t="s">
        <v>2073</v>
      </c>
      <c r="G93" s="881" t="s">
        <v>2074</v>
      </c>
      <c r="H93" s="882"/>
      <c r="I93" s="882"/>
      <c r="J93" s="883"/>
      <c r="K93" s="784" t="s">
        <v>2075</v>
      </c>
      <c r="L93" s="881" t="s">
        <v>2076</v>
      </c>
      <c r="M93" s="882"/>
      <c r="N93" s="883"/>
      <c r="O93" s="426"/>
    </row>
    <row r="94" spans="1:20" ht="11.1" customHeight="1" x14ac:dyDescent="0.25">
      <c r="A94" s="799" t="s">
        <v>864</v>
      </c>
      <c r="B94" s="881" t="s">
        <v>910</v>
      </c>
      <c r="C94" s="883"/>
      <c r="D94" s="784" t="s">
        <v>910</v>
      </c>
      <c r="E94" s="784" t="s">
        <v>2077</v>
      </c>
      <c r="F94" s="784" t="s">
        <v>2078</v>
      </c>
      <c r="G94" s="881" t="s">
        <v>2079</v>
      </c>
      <c r="H94" s="882"/>
      <c r="I94" s="882"/>
      <c r="J94" s="883"/>
      <c r="K94" s="784" t="s">
        <v>2080</v>
      </c>
      <c r="L94" s="881" t="s">
        <v>2081</v>
      </c>
      <c r="M94" s="882"/>
      <c r="N94" s="883"/>
      <c r="O94" s="426"/>
    </row>
    <row r="95" spans="1:20" ht="11.85" customHeight="1" x14ac:dyDescent="0.25">
      <c r="A95" s="920" t="s">
        <v>1998</v>
      </c>
      <c r="B95" s="920"/>
      <c r="C95" s="920"/>
      <c r="D95" s="920"/>
      <c r="E95" s="920"/>
      <c r="F95" s="920"/>
      <c r="G95" s="920"/>
      <c r="H95" s="920"/>
      <c r="I95" s="920"/>
      <c r="J95" s="920"/>
      <c r="K95" s="920"/>
      <c r="L95" s="920"/>
      <c r="M95" s="920"/>
      <c r="N95" s="920"/>
      <c r="O95" s="920"/>
      <c r="P95" s="920"/>
      <c r="Q95" s="920"/>
      <c r="R95" s="920"/>
      <c r="S95" s="920"/>
    </row>
    <row r="96" spans="1:20" ht="5.85" customHeight="1" x14ac:dyDescent="0.25"/>
    <row r="97" spans="1:20" ht="11.85" customHeight="1" x14ac:dyDescent="0.25">
      <c r="A97" s="904" t="s">
        <v>539</v>
      </c>
      <c r="B97" s="904"/>
      <c r="S97" s="805" t="s">
        <v>581</v>
      </c>
    </row>
    <row r="98" spans="1:20" ht="11.1" customHeight="1" x14ac:dyDescent="0.25">
      <c r="A98" s="904" t="s">
        <v>467</v>
      </c>
      <c r="B98" s="904"/>
    </row>
    <row r="99" spans="1:20" ht="11.85" customHeight="1" x14ac:dyDescent="0.25">
      <c r="A99" s="905" t="s">
        <v>541</v>
      </c>
      <c r="B99" s="905"/>
    </row>
    <row r="100" spans="1:20" ht="11.85" customHeight="1" x14ac:dyDescent="0.25">
      <c r="A100" s="904" t="s">
        <v>542</v>
      </c>
      <c r="B100" s="904"/>
    </row>
    <row r="101" spans="1:20" ht="11.85" customHeight="1" x14ac:dyDescent="0.25">
      <c r="A101" s="904" t="s">
        <v>1852</v>
      </c>
      <c r="B101" s="904"/>
    </row>
    <row r="102" spans="1:20" ht="5.85" customHeight="1" x14ac:dyDescent="0.25"/>
    <row r="103" spans="1:20" ht="11.1" customHeight="1" x14ac:dyDescent="0.25">
      <c r="A103" s="906" t="s">
        <v>543</v>
      </c>
      <c r="B103" s="906"/>
      <c r="C103" s="906"/>
      <c r="D103" s="906"/>
      <c r="E103" s="906"/>
      <c r="F103" s="906"/>
      <c r="G103" s="906"/>
      <c r="H103" s="425"/>
      <c r="I103" s="425"/>
      <c r="J103" s="425"/>
      <c r="K103" s="425"/>
      <c r="L103" s="425"/>
      <c r="M103" s="425"/>
      <c r="N103" s="425"/>
      <c r="Q103" s="889" t="s">
        <v>537</v>
      </c>
      <c r="R103" s="889"/>
      <c r="S103" s="889"/>
    </row>
    <row r="104" spans="1:20" ht="11.85" customHeight="1" x14ac:dyDescent="0.25">
      <c r="A104" s="890" t="s">
        <v>580</v>
      </c>
      <c r="B104" s="892" t="s">
        <v>544</v>
      </c>
      <c r="C104" s="893"/>
      <c r="D104" s="892" t="s">
        <v>545</v>
      </c>
      <c r="E104" s="897" t="s">
        <v>546</v>
      </c>
      <c r="F104" s="898"/>
      <c r="G104" s="898"/>
      <c r="H104" s="898"/>
      <c r="I104" s="898"/>
      <c r="J104" s="898"/>
      <c r="K104" s="899"/>
      <c r="L104" s="892" t="s">
        <v>547</v>
      </c>
      <c r="M104" s="900"/>
      <c r="N104" s="893"/>
      <c r="O104" s="426"/>
    </row>
    <row r="105" spans="1:20" ht="17.850000000000001" customHeight="1" x14ac:dyDescent="0.25">
      <c r="A105" s="891"/>
      <c r="B105" s="894"/>
      <c r="C105" s="895"/>
      <c r="D105" s="896"/>
      <c r="E105" s="787" t="s">
        <v>548</v>
      </c>
      <c r="F105" s="787" t="s">
        <v>549</v>
      </c>
      <c r="G105" s="892" t="s">
        <v>550</v>
      </c>
      <c r="H105" s="902"/>
      <c r="I105" s="902"/>
      <c r="J105" s="903"/>
      <c r="K105" s="787" t="s">
        <v>551</v>
      </c>
      <c r="L105" s="894"/>
      <c r="M105" s="901"/>
      <c r="N105" s="895"/>
      <c r="O105" s="426"/>
    </row>
    <row r="106" spans="1:20" ht="11.1" customHeight="1" x14ac:dyDescent="0.25">
      <c r="A106" s="806" t="s">
        <v>866</v>
      </c>
      <c r="B106" s="886" t="s">
        <v>479</v>
      </c>
      <c r="C106" s="887"/>
      <c r="D106" s="800" t="s">
        <v>479</v>
      </c>
      <c r="E106" s="800" t="s">
        <v>2077</v>
      </c>
      <c r="F106" s="800" t="s">
        <v>479</v>
      </c>
      <c r="G106" s="886" t="s">
        <v>2079</v>
      </c>
      <c r="H106" s="888"/>
      <c r="I106" s="888"/>
      <c r="J106" s="887"/>
      <c r="K106" s="800" t="s">
        <v>479</v>
      </c>
      <c r="L106" s="886" t="s">
        <v>2082</v>
      </c>
      <c r="M106" s="888"/>
      <c r="N106" s="887"/>
      <c r="O106" s="426"/>
    </row>
    <row r="107" spans="1:20" ht="11.85" customHeight="1" x14ac:dyDescent="0.25">
      <c r="A107" s="799" t="s">
        <v>868</v>
      </c>
      <c r="B107" s="881" t="s">
        <v>911</v>
      </c>
      <c r="C107" s="883"/>
      <c r="D107" s="784" t="s">
        <v>911</v>
      </c>
      <c r="E107" s="784" t="s">
        <v>479</v>
      </c>
      <c r="F107" s="784" t="s">
        <v>479</v>
      </c>
      <c r="G107" s="881" t="s">
        <v>479</v>
      </c>
      <c r="H107" s="882"/>
      <c r="I107" s="882"/>
      <c r="J107" s="883"/>
      <c r="K107" s="784" t="s">
        <v>479</v>
      </c>
      <c r="L107" s="881" t="s">
        <v>911</v>
      </c>
      <c r="M107" s="882"/>
      <c r="N107" s="883"/>
      <c r="O107" s="426"/>
    </row>
    <row r="108" spans="1:20" ht="11.85" customHeight="1" x14ac:dyDescent="0.25">
      <c r="A108" s="799" t="s">
        <v>872</v>
      </c>
      <c r="B108" s="881" t="s">
        <v>912</v>
      </c>
      <c r="C108" s="883"/>
      <c r="D108" s="784" t="s">
        <v>912</v>
      </c>
      <c r="E108" s="784" t="s">
        <v>479</v>
      </c>
      <c r="F108" s="784" t="s">
        <v>479</v>
      </c>
      <c r="G108" s="881" t="s">
        <v>479</v>
      </c>
      <c r="H108" s="882"/>
      <c r="I108" s="882"/>
      <c r="J108" s="883"/>
      <c r="K108" s="784" t="s">
        <v>479</v>
      </c>
      <c r="L108" s="881" t="s">
        <v>912</v>
      </c>
      <c r="M108" s="882"/>
      <c r="N108" s="883"/>
      <c r="O108" s="426"/>
    </row>
    <row r="109" spans="1:20" ht="11.85" customHeight="1" x14ac:dyDescent="0.25">
      <c r="A109" s="799" t="s">
        <v>874</v>
      </c>
      <c r="B109" s="881" t="s">
        <v>479</v>
      </c>
      <c r="C109" s="883"/>
      <c r="D109" s="784" t="s">
        <v>479</v>
      </c>
      <c r="E109" s="784" t="s">
        <v>2083</v>
      </c>
      <c r="F109" s="784" t="s">
        <v>479</v>
      </c>
      <c r="G109" s="881" t="s">
        <v>2084</v>
      </c>
      <c r="H109" s="882"/>
      <c r="I109" s="882"/>
      <c r="J109" s="883"/>
      <c r="K109" s="784" t="s">
        <v>479</v>
      </c>
      <c r="L109" s="881" t="s">
        <v>2085</v>
      </c>
      <c r="M109" s="882"/>
      <c r="N109" s="883"/>
      <c r="O109" s="426"/>
    </row>
    <row r="110" spans="1:20" ht="11.1" customHeight="1" x14ac:dyDescent="0.25">
      <c r="A110" s="802" t="s">
        <v>877</v>
      </c>
      <c r="B110" s="917" t="s">
        <v>479</v>
      </c>
      <c r="C110" s="918"/>
      <c r="D110" s="788" t="s">
        <v>479</v>
      </c>
      <c r="E110" s="788" t="s">
        <v>2083</v>
      </c>
      <c r="F110" s="788" t="s">
        <v>479</v>
      </c>
      <c r="G110" s="917" t="s">
        <v>2084</v>
      </c>
      <c r="H110" s="919"/>
      <c r="I110" s="919"/>
      <c r="J110" s="918"/>
      <c r="K110" s="788" t="s">
        <v>479</v>
      </c>
      <c r="L110" s="917" t="s">
        <v>2085</v>
      </c>
      <c r="M110" s="919"/>
      <c r="N110" s="918"/>
      <c r="O110" s="426"/>
    </row>
    <row r="111" spans="1:20" ht="11.85" customHeight="1" x14ac:dyDescent="0.25">
      <c r="A111" s="427"/>
      <c r="B111" s="427"/>
      <c r="C111" s="427"/>
      <c r="D111" s="427"/>
      <c r="E111" s="427"/>
      <c r="F111" s="427"/>
      <c r="G111" s="427"/>
      <c r="H111" s="427"/>
      <c r="I111" s="427"/>
      <c r="J111" s="427"/>
      <c r="K111" s="427"/>
      <c r="L111" s="427"/>
      <c r="M111" s="427"/>
      <c r="N111" s="427"/>
      <c r="O111" s="425"/>
      <c r="P111" s="425"/>
      <c r="Q111" s="425"/>
      <c r="R111" s="425"/>
      <c r="S111" s="425"/>
    </row>
    <row r="112" spans="1:20" ht="17.850000000000001" customHeight="1" x14ac:dyDescent="0.25">
      <c r="A112" s="890" t="s">
        <v>582</v>
      </c>
      <c r="B112" s="892" t="s">
        <v>560</v>
      </c>
      <c r="C112" s="893"/>
      <c r="D112" s="892" t="s">
        <v>561</v>
      </c>
      <c r="E112" s="897" t="s">
        <v>562</v>
      </c>
      <c r="F112" s="898"/>
      <c r="G112" s="898"/>
      <c r="H112" s="898"/>
      <c r="I112" s="899"/>
      <c r="J112" s="892" t="s">
        <v>563</v>
      </c>
      <c r="K112" s="893"/>
      <c r="L112" s="897" t="s">
        <v>564</v>
      </c>
      <c r="M112" s="898"/>
      <c r="N112" s="898"/>
      <c r="O112" s="899"/>
      <c r="P112" s="892" t="s">
        <v>565</v>
      </c>
      <c r="Q112" s="892" t="s">
        <v>566</v>
      </c>
      <c r="R112" s="892" t="s">
        <v>567</v>
      </c>
      <c r="S112" s="893"/>
      <c r="T112" s="426"/>
    </row>
    <row r="113" spans="1:20" ht="11.85" customHeight="1" x14ac:dyDescent="0.25">
      <c r="A113" s="891"/>
      <c r="B113" s="894"/>
      <c r="C113" s="895"/>
      <c r="D113" s="896"/>
      <c r="E113" s="787" t="s">
        <v>568</v>
      </c>
      <c r="F113" s="892" t="s">
        <v>569</v>
      </c>
      <c r="G113" s="902"/>
      <c r="H113" s="902"/>
      <c r="I113" s="903"/>
      <c r="J113" s="894"/>
      <c r="K113" s="895"/>
      <c r="L113" s="892" t="s">
        <v>568</v>
      </c>
      <c r="M113" s="902"/>
      <c r="N113" s="903"/>
      <c r="O113" s="787" t="s">
        <v>570</v>
      </c>
      <c r="P113" s="896"/>
      <c r="Q113" s="896"/>
      <c r="R113" s="894"/>
      <c r="S113" s="895"/>
      <c r="T113" s="426"/>
    </row>
    <row r="114" spans="1:20" ht="11.1" customHeight="1" x14ac:dyDescent="0.25">
      <c r="A114" s="806" t="s">
        <v>573</v>
      </c>
      <c r="B114" s="914" t="s">
        <v>904</v>
      </c>
      <c r="C114" s="915"/>
      <c r="D114" s="800" t="s">
        <v>2053</v>
      </c>
      <c r="E114" s="800" t="s">
        <v>2054</v>
      </c>
      <c r="F114" s="886" t="s">
        <v>2055</v>
      </c>
      <c r="G114" s="888"/>
      <c r="H114" s="888"/>
      <c r="I114" s="887"/>
      <c r="J114" s="886" t="s">
        <v>2056</v>
      </c>
      <c r="K114" s="887"/>
      <c r="L114" s="886" t="s">
        <v>2054</v>
      </c>
      <c r="M114" s="888"/>
      <c r="N114" s="887"/>
      <c r="O114" s="800" t="s">
        <v>2055</v>
      </c>
      <c r="P114" s="800" t="s">
        <v>2056</v>
      </c>
      <c r="Q114" s="800" t="s">
        <v>2057</v>
      </c>
      <c r="R114" s="886" t="s">
        <v>479</v>
      </c>
      <c r="S114" s="887"/>
      <c r="T114" s="796"/>
    </row>
    <row r="115" spans="1:20" ht="11.85" customHeight="1" x14ac:dyDescent="0.25">
      <c r="A115" s="799" t="s">
        <v>890</v>
      </c>
      <c r="B115" s="884" t="s">
        <v>913</v>
      </c>
      <c r="C115" s="885"/>
      <c r="D115" s="784" t="s">
        <v>2086</v>
      </c>
      <c r="E115" s="784" t="s">
        <v>2054</v>
      </c>
      <c r="F115" s="881" t="s">
        <v>2055</v>
      </c>
      <c r="G115" s="882"/>
      <c r="H115" s="882"/>
      <c r="I115" s="883"/>
      <c r="J115" s="881" t="s">
        <v>2087</v>
      </c>
      <c r="K115" s="883"/>
      <c r="L115" s="881" t="s">
        <v>2054</v>
      </c>
      <c r="M115" s="882"/>
      <c r="N115" s="883"/>
      <c r="O115" s="784" t="s">
        <v>2055</v>
      </c>
      <c r="P115" s="784" t="s">
        <v>2087</v>
      </c>
      <c r="Q115" s="784" t="s">
        <v>2057</v>
      </c>
      <c r="R115" s="881" t="s">
        <v>479</v>
      </c>
      <c r="S115" s="883"/>
      <c r="T115" s="796"/>
    </row>
    <row r="116" spans="1:20" ht="11.85" customHeight="1" x14ac:dyDescent="0.25">
      <c r="A116" s="799" t="s">
        <v>892</v>
      </c>
      <c r="B116" s="884" t="s">
        <v>914</v>
      </c>
      <c r="C116" s="885"/>
      <c r="D116" s="784" t="s">
        <v>2088</v>
      </c>
      <c r="E116" s="784" t="s">
        <v>2089</v>
      </c>
      <c r="F116" s="881" t="s">
        <v>2090</v>
      </c>
      <c r="G116" s="882"/>
      <c r="H116" s="882"/>
      <c r="I116" s="883"/>
      <c r="J116" s="881" t="s">
        <v>2091</v>
      </c>
      <c r="K116" s="883"/>
      <c r="L116" s="881" t="s">
        <v>2089</v>
      </c>
      <c r="M116" s="882"/>
      <c r="N116" s="883"/>
      <c r="O116" s="784" t="s">
        <v>2090</v>
      </c>
      <c r="P116" s="784" t="s">
        <v>2091</v>
      </c>
      <c r="Q116" s="784" t="s">
        <v>2092</v>
      </c>
      <c r="R116" s="881" t="s">
        <v>479</v>
      </c>
      <c r="S116" s="883"/>
      <c r="T116" s="796"/>
    </row>
    <row r="117" spans="1:20" ht="11.85" customHeight="1" x14ac:dyDescent="0.25">
      <c r="A117" s="799" t="s">
        <v>894</v>
      </c>
      <c r="B117" s="884">
        <v>301</v>
      </c>
      <c r="C117" s="885"/>
      <c r="D117" s="784" t="s">
        <v>915</v>
      </c>
      <c r="E117" s="784" t="s">
        <v>479</v>
      </c>
      <c r="F117" s="881" t="s">
        <v>479</v>
      </c>
      <c r="G117" s="882"/>
      <c r="H117" s="882"/>
      <c r="I117" s="883"/>
      <c r="J117" s="881" t="s">
        <v>915</v>
      </c>
      <c r="K117" s="883"/>
      <c r="L117" s="881" t="s">
        <v>479</v>
      </c>
      <c r="M117" s="882"/>
      <c r="N117" s="883"/>
      <c r="O117" s="784" t="s">
        <v>479</v>
      </c>
      <c r="P117" s="784" t="s">
        <v>915</v>
      </c>
      <c r="Q117" s="784" t="s">
        <v>479</v>
      </c>
      <c r="R117" s="881" t="s">
        <v>479</v>
      </c>
      <c r="S117" s="883"/>
      <c r="T117" s="796"/>
    </row>
    <row r="118" spans="1:20" ht="11.1" customHeight="1" x14ac:dyDescent="0.25">
      <c r="A118" s="799" t="s">
        <v>896</v>
      </c>
      <c r="B118" s="884" t="s">
        <v>916</v>
      </c>
      <c r="C118" s="885"/>
      <c r="D118" s="784" t="s">
        <v>2093</v>
      </c>
      <c r="E118" s="784" t="s">
        <v>2094</v>
      </c>
      <c r="F118" s="881" t="s">
        <v>2095</v>
      </c>
      <c r="G118" s="882"/>
      <c r="H118" s="882"/>
      <c r="I118" s="883"/>
      <c r="J118" s="881" t="s">
        <v>2096</v>
      </c>
      <c r="K118" s="883"/>
      <c r="L118" s="881" t="s">
        <v>2094</v>
      </c>
      <c r="M118" s="882"/>
      <c r="N118" s="883"/>
      <c r="O118" s="784" t="s">
        <v>2095</v>
      </c>
      <c r="P118" s="784" t="s">
        <v>2096</v>
      </c>
      <c r="Q118" s="784" t="s">
        <v>2097</v>
      </c>
      <c r="R118" s="881" t="s">
        <v>479</v>
      </c>
      <c r="S118" s="883"/>
      <c r="T118" s="796"/>
    </row>
    <row r="119" spans="1:20" ht="11.85" customHeight="1" x14ac:dyDescent="0.25">
      <c r="A119" s="799" t="s">
        <v>805</v>
      </c>
      <c r="B119" s="884">
        <v>402</v>
      </c>
      <c r="C119" s="885"/>
      <c r="D119" s="784" t="s">
        <v>917</v>
      </c>
      <c r="E119" s="784" t="s">
        <v>479</v>
      </c>
      <c r="F119" s="881" t="s">
        <v>479</v>
      </c>
      <c r="G119" s="882"/>
      <c r="H119" s="882"/>
      <c r="I119" s="883"/>
      <c r="J119" s="881" t="s">
        <v>917</v>
      </c>
      <c r="K119" s="883"/>
      <c r="L119" s="881" t="s">
        <v>479</v>
      </c>
      <c r="M119" s="882"/>
      <c r="N119" s="883"/>
      <c r="O119" s="784" t="s">
        <v>479</v>
      </c>
      <c r="P119" s="784" t="s">
        <v>917</v>
      </c>
      <c r="Q119" s="784" t="s">
        <v>479</v>
      </c>
      <c r="R119" s="881" t="s">
        <v>479</v>
      </c>
      <c r="S119" s="883"/>
      <c r="T119" s="796"/>
    </row>
    <row r="120" spans="1:20" ht="11.85" customHeight="1" x14ac:dyDescent="0.25">
      <c r="A120" s="802" t="s">
        <v>902</v>
      </c>
      <c r="B120" s="910">
        <v>402</v>
      </c>
      <c r="C120" s="911"/>
      <c r="D120" s="788" t="s">
        <v>917</v>
      </c>
      <c r="E120" s="788" t="s">
        <v>479</v>
      </c>
      <c r="F120" s="917" t="s">
        <v>479</v>
      </c>
      <c r="G120" s="919"/>
      <c r="H120" s="919"/>
      <c r="I120" s="918"/>
      <c r="J120" s="917" t="s">
        <v>917</v>
      </c>
      <c r="K120" s="918"/>
      <c r="L120" s="917" t="s">
        <v>479</v>
      </c>
      <c r="M120" s="919"/>
      <c r="N120" s="918"/>
      <c r="O120" s="788" t="s">
        <v>479</v>
      </c>
      <c r="P120" s="788" t="s">
        <v>917</v>
      </c>
      <c r="Q120" s="788" t="s">
        <v>479</v>
      </c>
      <c r="R120" s="917" t="s">
        <v>479</v>
      </c>
      <c r="S120" s="918"/>
      <c r="T120" s="796"/>
    </row>
    <row r="121" spans="1:20" ht="5.85" customHeight="1" x14ac:dyDescent="0.25">
      <c r="A121" s="924" t="s">
        <v>584</v>
      </c>
      <c r="B121" s="924"/>
      <c r="C121" s="924"/>
      <c r="D121" s="924"/>
      <c r="E121" s="924"/>
      <c r="F121" s="924"/>
      <c r="G121" s="924"/>
      <c r="H121" s="924"/>
      <c r="I121" s="924"/>
      <c r="J121" s="924"/>
      <c r="K121" s="924"/>
      <c r="L121" s="924"/>
      <c r="M121" s="924"/>
      <c r="N121" s="428"/>
      <c r="O121" s="428"/>
      <c r="P121" s="428"/>
      <c r="Q121" s="428"/>
      <c r="R121" s="428"/>
      <c r="S121" s="428"/>
    </row>
    <row r="122" spans="1:20" ht="11.1" customHeight="1" x14ac:dyDescent="0.25"/>
    <row r="123" spans="1:20" ht="5.85" customHeight="1" x14ac:dyDescent="0.25"/>
    <row r="124" spans="1:20" ht="51.75" customHeight="1" x14ac:dyDescent="0.25"/>
    <row r="125" spans="1:20" ht="32.25" customHeight="1" x14ac:dyDescent="0.25">
      <c r="A125" s="925" t="s">
        <v>2098</v>
      </c>
      <c r="B125" s="925"/>
      <c r="C125" s="925"/>
      <c r="D125" s="925"/>
      <c r="E125" s="925"/>
      <c r="F125" s="925"/>
      <c r="G125" s="925"/>
      <c r="H125" s="925"/>
      <c r="I125" s="925"/>
      <c r="J125" s="925"/>
      <c r="K125" s="925"/>
      <c r="L125" s="925"/>
      <c r="M125" s="925"/>
      <c r="N125" s="925"/>
      <c r="O125" s="925"/>
      <c r="P125" s="925"/>
      <c r="Q125" s="925"/>
      <c r="R125" s="925"/>
      <c r="S125" s="925"/>
    </row>
    <row r="126" spans="1:20" ht="5.85" customHeight="1" x14ac:dyDescent="0.25"/>
    <row r="129" spans="1:19" x14ac:dyDescent="0.25">
      <c r="A129" s="920" t="s">
        <v>1998</v>
      </c>
      <c r="B129" s="920"/>
      <c r="C129" s="920"/>
      <c r="D129" s="920"/>
      <c r="E129" s="920"/>
      <c r="F129" s="920"/>
      <c r="G129" s="920"/>
      <c r="H129" s="920"/>
      <c r="I129" s="920"/>
      <c r="J129" s="920"/>
      <c r="K129" s="920"/>
      <c r="L129" s="920"/>
      <c r="M129" s="920"/>
      <c r="N129" s="920"/>
      <c r="O129" s="920"/>
      <c r="P129" s="920"/>
      <c r="Q129" s="920"/>
      <c r="R129" s="920"/>
      <c r="S129" s="920"/>
    </row>
  </sheetData>
  <mergeCells count="412">
    <mergeCell ref="A129:S129"/>
    <mergeCell ref="P112:P113"/>
    <mergeCell ref="Q112:Q113"/>
    <mergeCell ref="R112:S113"/>
    <mergeCell ref="B120:C120"/>
    <mergeCell ref="F120:I120"/>
    <mergeCell ref="J120:K120"/>
    <mergeCell ref="L120:N120"/>
    <mergeCell ref="R120:S120"/>
    <mergeCell ref="A121:M121"/>
    <mergeCell ref="A125:S125"/>
    <mergeCell ref="B114:C114"/>
    <mergeCell ref="F114:I114"/>
    <mergeCell ref="J114:K114"/>
    <mergeCell ref="L114:N114"/>
    <mergeCell ref="R114:S114"/>
    <mergeCell ref="B116:C116"/>
    <mergeCell ref="F116:I116"/>
    <mergeCell ref="J116:K116"/>
    <mergeCell ref="L116:N116"/>
    <mergeCell ref="R116:S116"/>
    <mergeCell ref="B115:C115"/>
    <mergeCell ref="F115:I115"/>
    <mergeCell ref="J115:K115"/>
    <mergeCell ref="B110:C110"/>
    <mergeCell ref="G110:J110"/>
    <mergeCell ref="L110:N110"/>
    <mergeCell ref="A112:A113"/>
    <mergeCell ref="B112:C113"/>
    <mergeCell ref="D112:D113"/>
    <mergeCell ref="E112:I112"/>
    <mergeCell ref="J112:K113"/>
    <mergeCell ref="L112:O112"/>
    <mergeCell ref="F113:I113"/>
    <mergeCell ref="L113:N113"/>
    <mergeCell ref="B86:C86"/>
    <mergeCell ref="F86:I86"/>
    <mergeCell ref="J86:K86"/>
    <mergeCell ref="L86:N86"/>
    <mergeCell ref="R86:S86"/>
    <mergeCell ref="A88:A89"/>
    <mergeCell ref="B88:C89"/>
    <mergeCell ref="D88:D89"/>
    <mergeCell ref="E88:K88"/>
    <mergeCell ref="L88:N89"/>
    <mergeCell ref="R85:S85"/>
    <mergeCell ref="B107:C107"/>
    <mergeCell ref="G107:J107"/>
    <mergeCell ref="L107:N107"/>
    <mergeCell ref="B85:C85"/>
    <mergeCell ref="F85:I85"/>
    <mergeCell ref="J85:K85"/>
    <mergeCell ref="L85:N85"/>
    <mergeCell ref="B90:C90"/>
    <mergeCell ref="G90:J90"/>
    <mergeCell ref="L90:N90"/>
    <mergeCell ref="B91:C91"/>
    <mergeCell ref="G91:J91"/>
    <mergeCell ref="L91:N91"/>
    <mergeCell ref="G89:J89"/>
    <mergeCell ref="B94:C94"/>
    <mergeCell ref="G94:J94"/>
    <mergeCell ref="L94:N94"/>
    <mergeCell ref="A95:S95"/>
    <mergeCell ref="A97:B97"/>
    <mergeCell ref="B92:C92"/>
    <mergeCell ref="G92:J92"/>
    <mergeCell ref="L92:N92"/>
    <mergeCell ref="B93:C93"/>
    <mergeCell ref="A1:B1"/>
    <mergeCell ref="A2:B2"/>
    <mergeCell ref="A3:B3"/>
    <mergeCell ref="A4:B4"/>
    <mergeCell ref="A5:B5"/>
    <mergeCell ref="A7:G7"/>
    <mergeCell ref="B10:C10"/>
    <mergeCell ref="F10:H10"/>
    <mergeCell ref="I10:L10"/>
    <mergeCell ref="Q7:S7"/>
    <mergeCell ref="A8:A9"/>
    <mergeCell ref="B8:C9"/>
    <mergeCell ref="D8:D9"/>
    <mergeCell ref="E8:N8"/>
    <mergeCell ref="O8:O9"/>
    <mergeCell ref="F9:H9"/>
    <mergeCell ref="I9:L9"/>
    <mergeCell ref="M9:N9"/>
    <mergeCell ref="M12:N12"/>
    <mergeCell ref="B13:C13"/>
    <mergeCell ref="F13:H13"/>
    <mergeCell ref="I13:L13"/>
    <mergeCell ref="M13:N13"/>
    <mergeCell ref="M10:N10"/>
    <mergeCell ref="B11:C11"/>
    <mergeCell ref="F11:H11"/>
    <mergeCell ref="I11:L11"/>
    <mergeCell ref="M11:N11"/>
    <mergeCell ref="B12:C12"/>
    <mergeCell ref="F12:H12"/>
    <mergeCell ref="I12:L12"/>
    <mergeCell ref="B16:C16"/>
    <mergeCell ref="F16:H16"/>
    <mergeCell ref="I16:L16"/>
    <mergeCell ref="M16:N16"/>
    <mergeCell ref="B17:C17"/>
    <mergeCell ref="F17:H17"/>
    <mergeCell ref="I17:L17"/>
    <mergeCell ref="M17:N17"/>
    <mergeCell ref="I14:L14"/>
    <mergeCell ref="M14:N14"/>
    <mergeCell ref="B15:C15"/>
    <mergeCell ref="F15:H15"/>
    <mergeCell ref="I15:L15"/>
    <mergeCell ref="M15:N15"/>
    <mergeCell ref="B14:C14"/>
    <mergeCell ref="F14:H14"/>
    <mergeCell ref="B20:C20"/>
    <mergeCell ref="F20:H20"/>
    <mergeCell ref="I20:L20"/>
    <mergeCell ref="M20:N20"/>
    <mergeCell ref="B21:C21"/>
    <mergeCell ref="F21:H21"/>
    <mergeCell ref="I21:L21"/>
    <mergeCell ref="M21:N21"/>
    <mergeCell ref="B18:C18"/>
    <mergeCell ref="F18:H18"/>
    <mergeCell ref="I18:L18"/>
    <mergeCell ref="M18:N18"/>
    <mergeCell ref="B19:C19"/>
    <mergeCell ref="F19:H19"/>
    <mergeCell ref="I19:L19"/>
    <mergeCell ref="M19:N19"/>
    <mergeCell ref="B24:C24"/>
    <mergeCell ref="F24:H24"/>
    <mergeCell ref="I24:L24"/>
    <mergeCell ref="M24:N24"/>
    <mergeCell ref="B25:C25"/>
    <mergeCell ref="F25:H25"/>
    <mergeCell ref="I25:L25"/>
    <mergeCell ref="M25:N25"/>
    <mergeCell ref="B22:C22"/>
    <mergeCell ref="F22:H22"/>
    <mergeCell ref="I22:L22"/>
    <mergeCell ref="M22:N22"/>
    <mergeCell ref="B23:C23"/>
    <mergeCell ref="F23:H23"/>
    <mergeCell ref="I23:L23"/>
    <mergeCell ref="M23:N23"/>
    <mergeCell ref="B28:C28"/>
    <mergeCell ref="F28:H28"/>
    <mergeCell ref="I28:L28"/>
    <mergeCell ref="M28:N28"/>
    <mergeCell ref="B29:C29"/>
    <mergeCell ref="F29:H29"/>
    <mergeCell ref="I29:L29"/>
    <mergeCell ref="M29:N29"/>
    <mergeCell ref="B26:C26"/>
    <mergeCell ref="F26:H26"/>
    <mergeCell ref="I26:L26"/>
    <mergeCell ref="M26:N26"/>
    <mergeCell ref="B27:C27"/>
    <mergeCell ref="F27:H27"/>
    <mergeCell ref="I27:L27"/>
    <mergeCell ref="M27:N27"/>
    <mergeCell ref="B32:C32"/>
    <mergeCell ref="F32:H32"/>
    <mergeCell ref="I32:L32"/>
    <mergeCell ref="M32:N32"/>
    <mergeCell ref="B33:C33"/>
    <mergeCell ref="F33:H33"/>
    <mergeCell ref="I33:L33"/>
    <mergeCell ref="M33:N33"/>
    <mergeCell ref="B30:C30"/>
    <mergeCell ref="F30:H30"/>
    <mergeCell ref="I30:L30"/>
    <mergeCell ref="M30:N30"/>
    <mergeCell ref="B31:C31"/>
    <mergeCell ref="F31:H31"/>
    <mergeCell ref="I31:L31"/>
    <mergeCell ref="M31:N31"/>
    <mergeCell ref="B36:C36"/>
    <mergeCell ref="F36:H36"/>
    <mergeCell ref="I36:L36"/>
    <mergeCell ref="M36:N36"/>
    <mergeCell ref="B37:C37"/>
    <mergeCell ref="F37:H37"/>
    <mergeCell ref="I37:L37"/>
    <mergeCell ref="M37:N37"/>
    <mergeCell ref="B34:C34"/>
    <mergeCell ref="F34:H34"/>
    <mergeCell ref="I34:L34"/>
    <mergeCell ref="M34:N34"/>
    <mergeCell ref="B35:C35"/>
    <mergeCell ref="F35:H35"/>
    <mergeCell ref="I35:L35"/>
    <mergeCell ref="M35:N35"/>
    <mergeCell ref="B40:C40"/>
    <mergeCell ref="F40:H40"/>
    <mergeCell ref="I40:L40"/>
    <mergeCell ref="M40:N40"/>
    <mergeCell ref="B41:C41"/>
    <mergeCell ref="F41:H41"/>
    <mergeCell ref="I41:L41"/>
    <mergeCell ref="M41:N41"/>
    <mergeCell ref="B38:C38"/>
    <mergeCell ref="F38:H38"/>
    <mergeCell ref="I38:L38"/>
    <mergeCell ref="M38:N38"/>
    <mergeCell ref="B39:C39"/>
    <mergeCell ref="F39:H39"/>
    <mergeCell ref="I39:L39"/>
    <mergeCell ref="M39:N39"/>
    <mergeCell ref="B44:C44"/>
    <mergeCell ref="F44:H44"/>
    <mergeCell ref="I44:L44"/>
    <mergeCell ref="M44:N44"/>
    <mergeCell ref="B45:C45"/>
    <mergeCell ref="F45:H45"/>
    <mergeCell ref="I45:L45"/>
    <mergeCell ref="M45:N45"/>
    <mergeCell ref="B42:C42"/>
    <mergeCell ref="F42:H42"/>
    <mergeCell ref="I42:L42"/>
    <mergeCell ref="M42:N42"/>
    <mergeCell ref="B43:C43"/>
    <mergeCell ref="F43:H43"/>
    <mergeCell ref="I43:L43"/>
    <mergeCell ref="M43:N43"/>
    <mergeCell ref="A49:B49"/>
    <mergeCell ref="A50:B50"/>
    <mergeCell ref="A51:B51"/>
    <mergeCell ref="A52:B52"/>
    <mergeCell ref="A53:B53"/>
    <mergeCell ref="B46:C46"/>
    <mergeCell ref="F46:H46"/>
    <mergeCell ref="I46:L46"/>
    <mergeCell ref="M46:N46"/>
    <mergeCell ref="A47:S47"/>
    <mergeCell ref="Q55:S55"/>
    <mergeCell ref="A56:A57"/>
    <mergeCell ref="B56:C57"/>
    <mergeCell ref="D56:D57"/>
    <mergeCell ref="E56:N56"/>
    <mergeCell ref="O56:O57"/>
    <mergeCell ref="F57:H57"/>
    <mergeCell ref="I57:L57"/>
    <mergeCell ref="M57:N57"/>
    <mergeCell ref="B58:C58"/>
    <mergeCell ref="F58:H58"/>
    <mergeCell ref="I58:L58"/>
    <mergeCell ref="M58:N58"/>
    <mergeCell ref="B59:C59"/>
    <mergeCell ref="F59:H59"/>
    <mergeCell ref="I59:L59"/>
    <mergeCell ref="M59:N59"/>
    <mergeCell ref="A55:G55"/>
    <mergeCell ref="B60:C60"/>
    <mergeCell ref="F60:H60"/>
    <mergeCell ref="I60:L60"/>
    <mergeCell ref="M60:N60"/>
    <mergeCell ref="B61:C61"/>
    <mergeCell ref="F61:H61"/>
    <mergeCell ref="I61:L61"/>
    <mergeCell ref="M61:N61"/>
    <mergeCell ref="B63:C63"/>
    <mergeCell ref="F63:H63"/>
    <mergeCell ref="I63:L63"/>
    <mergeCell ref="M63:N63"/>
    <mergeCell ref="B62:C62"/>
    <mergeCell ref="F62:H62"/>
    <mergeCell ref="I62:L62"/>
    <mergeCell ref="M62:N62"/>
    <mergeCell ref="B64:C64"/>
    <mergeCell ref="F64:H64"/>
    <mergeCell ref="I64:L64"/>
    <mergeCell ref="M64:N64"/>
    <mergeCell ref="A66:A67"/>
    <mergeCell ref="B66:C67"/>
    <mergeCell ref="D66:D67"/>
    <mergeCell ref="E66:I66"/>
    <mergeCell ref="J66:K67"/>
    <mergeCell ref="L66:O66"/>
    <mergeCell ref="F67:I67"/>
    <mergeCell ref="L67:N67"/>
    <mergeCell ref="P66:P67"/>
    <mergeCell ref="Q66:Q67"/>
    <mergeCell ref="R66:S67"/>
    <mergeCell ref="B69:C69"/>
    <mergeCell ref="F69:I69"/>
    <mergeCell ref="J69:K69"/>
    <mergeCell ref="L69:N69"/>
    <mergeCell ref="R69:S69"/>
    <mergeCell ref="B68:C68"/>
    <mergeCell ref="F68:I68"/>
    <mergeCell ref="J68:K68"/>
    <mergeCell ref="L68:N68"/>
    <mergeCell ref="R68:S68"/>
    <mergeCell ref="B71:C71"/>
    <mergeCell ref="F71:I71"/>
    <mergeCell ref="J71:K71"/>
    <mergeCell ref="L71:N71"/>
    <mergeCell ref="R71:S71"/>
    <mergeCell ref="B70:C70"/>
    <mergeCell ref="F70:I70"/>
    <mergeCell ref="J70:K70"/>
    <mergeCell ref="L70:N70"/>
    <mergeCell ref="R70:S70"/>
    <mergeCell ref="B73:C73"/>
    <mergeCell ref="F73:I73"/>
    <mergeCell ref="J73:K73"/>
    <mergeCell ref="L73:N73"/>
    <mergeCell ref="R73:S73"/>
    <mergeCell ref="B72:C72"/>
    <mergeCell ref="F72:I72"/>
    <mergeCell ref="J72:K72"/>
    <mergeCell ref="L72:N72"/>
    <mergeCell ref="R72:S72"/>
    <mergeCell ref="B75:C75"/>
    <mergeCell ref="F75:I75"/>
    <mergeCell ref="J75:K75"/>
    <mergeCell ref="L75:N75"/>
    <mergeCell ref="R75:S75"/>
    <mergeCell ref="B74:C74"/>
    <mergeCell ref="F74:I74"/>
    <mergeCell ref="J74:K74"/>
    <mergeCell ref="L74:N74"/>
    <mergeCell ref="R74:S74"/>
    <mergeCell ref="B77:C77"/>
    <mergeCell ref="F77:I77"/>
    <mergeCell ref="J77:K77"/>
    <mergeCell ref="L77:N77"/>
    <mergeCell ref="R77:S77"/>
    <mergeCell ref="B76:C76"/>
    <mergeCell ref="F76:I76"/>
    <mergeCell ref="J76:K76"/>
    <mergeCell ref="L76:N76"/>
    <mergeCell ref="R76:S76"/>
    <mergeCell ref="B79:C79"/>
    <mergeCell ref="F79:I79"/>
    <mergeCell ref="J79:K79"/>
    <mergeCell ref="L79:N79"/>
    <mergeCell ref="R79:S79"/>
    <mergeCell ref="B78:C78"/>
    <mergeCell ref="F78:I78"/>
    <mergeCell ref="J78:K78"/>
    <mergeCell ref="L78:N78"/>
    <mergeCell ref="R78:S78"/>
    <mergeCell ref="B81:C81"/>
    <mergeCell ref="F81:I81"/>
    <mergeCell ref="J81:K81"/>
    <mergeCell ref="L81:N81"/>
    <mergeCell ref="R81:S81"/>
    <mergeCell ref="B80:C80"/>
    <mergeCell ref="F80:I80"/>
    <mergeCell ref="J80:K80"/>
    <mergeCell ref="L80:N80"/>
    <mergeCell ref="R80:S80"/>
    <mergeCell ref="R84:S84"/>
    <mergeCell ref="B83:C83"/>
    <mergeCell ref="F83:I83"/>
    <mergeCell ref="J83:K83"/>
    <mergeCell ref="L83:N83"/>
    <mergeCell ref="R83:S83"/>
    <mergeCell ref="B82:C82"/>
    <mergeCell ref="F82:I82"/>
    <mergeCell ref="J82:K82"/>
    <mergeCell ref="L82:N82"/>
    <mergeCell ref="R82:S82"/>
    <mergeCell ref="B84:C84"/>
    <mergeCell ref="F84:I84"/>
    <mergeCell ref="J84:K84"/>
    <mergeCell ref="L84:N84"/>
    <mergeCell ref="G93:J93"/>
    <mergeCell ref="L93:N93"/>
    <mergeCell ref="Q103:S103"/>
    <mergeCell ref="A104:A105"/>
    <mergeCell ref="B104:C105"/>
    <mergeCell ref="D104:D105"/>
    <mergeCell ref="E104:K104"/>
    <mergeCell ref="L104:N105"/>
    <mergeCell ref="G105:J105"/>
    <mergeCell ref="A98:B98"/>
    <mergeCell ref="A99:B99"/>
    <mergeCell ref="A100:B100"/>
    <mergeCell ref="A101:B101"/>
    <mergeCell ref="A103:G103"/>
    <mergeCell ref="B106:C106"/>
    <mergeCell ref="G106:J106"/>
    <mergeCell ref="L106:N106"/>
    <mergeCell ref="B108:C108"/>
    <mergeCell ref="G108:J108"/>
    <mergeCell ref="L108:N108"/>
    <mergeCell ref="B109:C109"/>
    <mergeCell ref="G109:J109"/>
    <mergeCell ref="L109:N109"/>
    <mergeCell ref="L115:N115"/>
    <mergeCell ref="R115:S115"/>
    <mergeCell ref="B119:C119"/>
    <mergeCell ref="B117:C117"/>
    <mergeCell ref="F117:I117"/>
    <mergeCell ref="J117:K117"/>
    <mergeCell ref="L117:N117"/>
    <mergeCell ref="R117:S117"/>
    <mergeCell ref="B118:C118"/>
    <mergeCell ref="F118:I118"/>
    <mergeCell ref="J118:K118"/>
    <mergeCell ref="L118:N118"/>
    <mergeCell ref="R118:S118"/>
    <mergeCell ref="F119:I119"/>
    <mergeCell ref="J119:K119"/>
    <mergeCell ref="L119:N119"/>
    <mergeCell ref="R119:S119"/>
  </mergeCells>
  <pageMargins left="0.511811024" right="0.511811024" top="0.78740157499999996" bottom="0.78740157499999996" header="0.31496062000000002" footer="0.31496062000000002"/>
  <pageSetup paperSize="9" orientation="landscape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58"/>
  <sheetViews>
    <sheetView workbookViewId="0">
      <selection sqref="A1:L158"/>
    </sheetView>
  </sheetViews>
  <sheetFormatPr defaultRowHeight="11.25" x14ac:dyDescent="0.2"/>
  <cols>
    <col min="1" max="1" width="2.5703125" style="1" customWidth="1"/>
    <col min="2" max="2" width="20" style="1" customWidth="1"/>
    <col min="3" max="4" width="12.28515625" style="314" bestFit="1" customWidth="1"/>
    <col min="5" max="5" width="11.5703125" style="314" customWidth="1"/>
    <col min="6" max="6" width="11.42578125" style="314" bestFit="1" customWidth="1"/>
    <col min="7" max="7" width="8.28515625" style="314" bestFit="1" customWidth="1"/>
    <col min="8" max="8" width="12.28515625" style="314" bestFit="1" customWidth="1"/>
    <col min="9" max="9" width="11.42578125" style="314" customWidth="1"/>
    <col min="10" max="10" width="11.42578125" style="314" bestFit="1" customWidth="1"/>
    <col min="11" max="11" width="8.42578125" style="314" bestFit="1" customWidth="1"/>
    <col min="12" max="12" width="12.28515625" style="314" bestFit="1" customWidth="1"/>
    <col min="13" max="16384" width="9.140625" style="1"/>
  </cols>
  <sheetData>
    <row r="1" spans="1:12" ht="11.45" customHeight="1" x14ac:dyDescent="0.2">
      <c r="A1" s="1" t="s">
        <v>466</v>
      </c>
    </row>
    <row r="2" spans="1:12" ht="11.45" customHeight="1" x14ac:dyDescent="0.2">
      <c r="A2" s="1" t="s">
        <v>585</v>
      </c>
    </row>
    <row r="3" spans="1:12" ht="11.45" customHeight="1" x14ac:dyDescent="0.2">
      <c r="A3" s="1" t="s">
        <v>586</v>
      </c>
    </row>
    <row r="4" spans="1:12" ht="11.45" customHeight="1" x14ac:dyDescent="0.2">
      <c r="A4" s="1" t="s">
        <v>587</v>
      </c>
    </row>
    <row r="5" spans="1:12" ht="11.45" customHeight="1" x14ac:dyDescent="0.2">
      <c r="A5" s="1" t="s">
        <v>1852</v>
      </c>
    </row>
    <row r="7" spans="1:12" ht="11.45" customHeight="1" x14ac:dyDescent="0.2">
      <c r="A7" s="1" t="s">
        <v>588</v>
      </c>
      <c r="L7" s="314" t="s">
        <v>537</v>
      </c>
    </row>
    <row r="8" spans="1:12" ht="11.45" customHeight="1" x14ac:dyDescent="0.2">
      <c r="A8" s="1" t="s">
        <v>589</v>
      </c>
      <c r="C8" s="314" t="s">
        <v>590</v>
      </c>
      <c r="D8" s="314" t="s">
        <v>590</v>
      </c>
      <c r="E8" s="314" t="s">
        <v>484</v>
      </c>
      <c r="H8" s="314" t="s">
        <v>591</v>
      </c>
      <c r="I8" s="314" t="s">
        <v>485</v>
      </c>
      <c r="L8" s="314" t="s">
        <v>918</v>
      </c>
    </row>
    <row r="9" spans="1:12" ht="11.45" customHeight="1" x14ac:dyDescent="0.2">
      <c r="C9" s="314" t="s">
        <v>592</v>
      </c>
      <c r="D9" s="314" t="s">
        <v>593</v>
      </c>
      <c r="E9" s="314" t="s">
        <v>568</v>
      </c>
      <c r="F9" s="314" t="s">
        <v>502</v>
      </c>
      <c r="G9" s="314" t="s">
        <v>184</v>
      </c>
      <c r="H9" s="314" t="s">
        <v>594</v>
      </c>
      <c r="I9" s="314" t="s">
        <v>568</v>
      </c>
      <c r="J9" s="314" t="s">
        <v>502</v>
      </c>
      <c r="K9" s="314" t="s">
        <v>184</v>
      </c>
      <c r="L9" s="314" t="s">
        <v>594</v>
      </c>
    </row>
    <row r="10" spans="1:12" ht="11.45" customHeight="1" x14ac:dyDescent="0.2">
      <c r="C10" s="314" t="s">
        <v>594</v>
      </c>
      <c r="D10" s="314" t="s">
        <v>504</v>
      </c>
      <c r="E10" s="314" t="s">
        <v>594</v>
      </c>
      <c r="F10" s="314" t="s">
        <v>505</v>
      </c>
      <c r="G10" s="314" t="s">
        <v>595</v>
      </c>
      <c r="H10" s="314" t="s">
        <v>596</v>
      </c>
      <c r="I10" s="314" t="s">
        <v>594</v>
      </c>
      <c r="J10" s="314" t="s">
        <v>597</v>
      </c>
      <c r="K10" s="314" t="s">
        <v>919</v>
      </c>
      <c r="L10" s="314" t="s">
        <v>598</v>
      </c>
    </row>
    <row r="11" spans="1:12" ht="0.75" customHeight="1" x14ac:dyDescent="0.2"/>
    <row r="12" spans="1:12" ht="11.45" customHeight="1" x14ac:dyDescent="0.2">
      <c r="A12" s="1" t="s">
        <v>599</v>
      </c>
      <c r="C12" s="314">
        <v>169179269.59999999</v>
      </c>
      <c r="D12" s="314">
        <v>173487151.09</v>
      </c>
      <c r="E12" s="314">
        <v>24224665.68</v>
      </c>
      <c r="F12" s="314">
        <v>82405107.069999993</v>
      </c>
      <c r="G12" s="314">
        <v>79.489999999999995</v>
      </c>
      <c r="H12" s="314">
        <v>91082044.019999996</v>
      </c>
      <c r="I12" s="314">
        <v>25640148.120000001</v>
      </c>
      <c r="J12" s="314">
        <v>69650964.909999996</v>
      </c>
      <c r="K12" s="314">
        <v>76.61</v>
      </c>
      <c r="L12" s="314">
        <v>103836186.18000001</v>
      </c>
    </row>
    <row r="13" spans="1:12" ht="11.45" customHeight="1" x14ac:dyDescent="0.2">
      <c r="A13" s="1" t="s">
        <v>600</v>
      </c>
      <c r="C13" s="314">
        <v>5160368</v>
      </c>
      <c r="D13" s="314">
        <v>5160368</v>
      </c>
      <c r="E13" s="314">
        <v>643421.07999999996</v>
      </c>
      <c r="F13" s="314">
        <v>2267063.84</v>
      </c>
      <c r="G13" s="314">
        <v>2.19</v>
      </c>
      <c r="H13" s="314">
        <v>2893304.16</v>
      </c>
      <c r="I13" s="314">
        <v>702773.58</v>
      </c>
      <c r="J13" s="314">
        <v>2041066.08</v>
      </c>
      <c r="K13" s="314">
        <v>2.2400000000000002</v>
      </c>
      <c r="L13" s="314">
        <v>3119301.92</v>
      </c>
    </row>
    <row r="14" spans="1:12" ht="11.45" customHeight="1" x14ac:dyDescent="0.2">
      <c r="B14" s="1" t="s">
        <v>601</v>
      </c>
      <c r="C14" s="314">
        <v>5160368</v>
      </c>
      <c r="D14" s="314">
        <v>5160368</v>
      </c>
      <c r="E14" s="314">
        <v>643421.07999999996</v>
      </c>
      <c r="F14" s="314">
        <v>2267063.84</v>
      </c>
      <c r="G14" s="314">
        <v>2.19</v>
      </c>
      <c r="H14" s="314">
        <v>2893304.16</v>
      </c>
      <c r="I14" s="314">
        <v>702773.58</v>
      </c>
      <c r="J14" s="314">
        <v>2041066.08</v>
      </c>
      <c r="K14" s="314">
        <v>2.2400000000000002</v>
      </c>
      <c r="L14" s="314">
        <v>3119301.92</v>
      </c>
    </row>
    <row r="15" spans="1:12" ht="11.45" customHeight="1" x14ac:dyDescent="0.2">
      <c r="A15" s="1" t="s">
        <v>602</v>
      </c>
      <c r="C15" s="314">
        <v>15000</v>
      </c>
      <c r="D15" s="314">
        <v>20001</v>
      </c>
      <c r="E15" s="314">
        <v>0</v>
      </c>
      <c r="F15" s="314">
        <v>9937.42</v>
      </c>
      <c r="G15" s="314">
        <v>0.01</v>
      </c>
      <c r="H15" s="314">
        <v>10063.58</v>
      </c>
      <c r="I15" s="314">
        <v>0</v>
      </c>
      <c r="J15" s="314">
        <v>8728.6200000000008</v>
      </c>
      <c r="K15" s="314">
        <v>0.01</v>
      </c>
      <c r="L15" s="314">
        <v>11272.38</v>
      </c>
    </row>
    <row r="16" spans="1:12" ht="11.45" customHeight="1" x14ac:dyDescent="0.2">
      <c r="B16" s="1" t="s">
        <v>603</v>
      </c>
      <c r="C16" s="314">
        <v>15000</v>
      </c>
      <c r="D16" s="314">
        <v>20001</v>
      </c>
      <c r="E16" s="314">
        <v>0</v>
      </c>
      <c r="F16" s="314">
        <v>9937.42</v>
      </c>
      <c r="G16" s="314">
        <v>0.01</v>
      </c>
      <c r="H16" s="314">
        <v>10063.58</v>
      </c>
      <c r="I16" s="314">
        <v>0</v>
      </c>
      <c r="J16" s="314">
        <v>8728.6200000000008</v>
      </c>
      <c r="K16" s="314">
        <v>0.01</v>
      </c>
      <c r="L16" s="314">
        <v>11272.38</v>
      </c>
    </row>
    <row r="17" spans="1:12" ht="11.45" customHeight="1" x14ac:dyDescent="0.2">
      <c r="A17" s="1" t="s">
        <v>604</v>
      </c>
      <c r="C17" s="314">
        <v>21993961.02</v>
      </c>
      <c r="D17" s="314">
        <v>22214617.420000002</v>
      </c>
      <c r="E17" s="314">
        <v>2919193.12</v>
      </c>
      <c r="F17" s="314">
        <v>10101196.35</v>
      </c>
      <c r="G17" s="314">
        <v>9.74</v>
      </c>
      <c r="H17" s="314">
        <v>12113421.07</v>
      </c>
      <c r="I17" s="314">
        <v>2850313.1</v>
      </c>
      <c r="J17" s="314">
        <v>9115032.25</v>
      </c>
      <c r="K17" s="314">
        <v>10.029999999999999</v>
      </c>
      <c r="L17" s="314">
        <v>13099585.17</v>
      </c>
    </row>
    <row r="18" spans="1:12" ht="11.45" customHeight="1" x14ac:dyDescent="0.2">
      <c r="B18" s="1" t="s">
        <v>605</v>
      </c>
      <c r="C18" s="314">
        <v>117985.93</v>
      </c>
      <c r="D18" s="314">
        <v>103485.93</v>
      </c>
      <c r="E18" s="314">
        <v>1367.48</v>
      </c>
      <c r="F18" s="314">
        <v>53991.7</v>
      </c>
      <c r="G18" s="314">
        <v>0.05</v>
      </c>
      <c r="H18" s="314">
        <v>49494.23</v>
      </c>
      <c r="I18" s="314">
        <v>21344.93</v>
      </c>
      <c r="J18" s="314">
        <v>38613.86</v>
      </c>
      <c r="K18" s="314">
        <v>0.04</v>
      </c>
      <c r="L18" s="314">
        <v>64872.07</v>
      </c>
    </row>
    <row r="19" spans="1:12" ht="11.45" customHeight="1" x14ac:dyDescent="0.2">
      <c r="B19" s="1" t="s">
        <v>606</v>
      </c>
      <c r="C19" s="314">
        <v>18516829.050000001</v>
      </c>
      <c r="D19" s="314">
        <v>18740053.949999999</v>
      </c>
      <c r="E19" s="314">
        <v>2377409.9</v>
      </c>
      <c r="F19" s="314">
        <v>8286646.9199999999</v>
      </c>
      <c r="G19" s="314">
        <v>7.99</v>
      </c>
      <c r="H19" s="314">
        <v>10453407.029999999</v>
      </c>
      <c r="I19" s="314">
        <v>2457091.87</v>
      </c>
      <c r="J19" s="314">
        <v>7909654.7999999998</v>
      </c>
      <c r="K19" s="314">
        <v>8.6999999999999993</v>
      </c>
      <c r="L19" s="314">
        <v>10830399.15</v>
      </c>
    </row>
    <row r="20" spans="1:12" ht="11.45" customHeight="1" x14ac:dyDescent="0.2">
      <c r="B20" s="1" t="s">
        <v>607</v>
      </c>
      <c r="C20" s="314">
        <v>1340000</v>
      </c>
      <c r="D20" s="314">
        <v>1332000</v>
      </c>
      <c r="E20" s="314">
        <v>254655.95</v>
      </c>
      <c r="F20" s="314">
        <v>926849.85</v>
      </c>
      <c r="G20" s="314">
        <v>0.89</v>
      </c>
      <c r="H20" s="314">
        <v>405150.15</v>
      </c>
      <c r="I20" s="314">
        <v>128390.7</v>
      </c>
      <c r="J20" s="314">
        <v>429706.06</v>
      </c>
      <c r="K20" s="314">
        <v>0.47</v>
      </c>
      <c r="L20" s="314">
        <v>902293.94</v>
      </c>
    </row>
    <row r="21" spans="1:12" ht="11.45" customHeight="1" x14ac:dyDescent="0.2">
      <c r="B21" s="1" t="s">
        <v>608</v>
      </c>
      <c r="C21" s="314">
        <v>18000</v>
      </c>
      <c r="D21" s="314">
        <v>14502</v>
      </c>
      <c r="E21" s="314">
        <v>0</v>
      </c>
      <c r="F21" s="314">
        <v>1278.3499999999999</v>
      </c>
      <c r="G21" s="314">
        <v>0</v>
      </c>
      <c r="H21" s="314">
        <v>13223.65</v>
      </c>
      <c r="I21" s="314">
        <v>0</v>
      </c>
      <c r="J21" s="314">
        <v>1278.3499999999999</v>
      </c>
      <c r="K21" s="314">
        <v>0</v>
      </c>
      <c r="L21" s="314">
        <v>13223.65</v>
      </c>
    </row>
    <row r="22" spans="1:12" ht="11.45" customHeight="1" x14ac:dyDescent="0.2">
      <c r="B22" s="1" t="s">
        <v>609</v>
      </c>
      <c r="C22" s="314">
        <v>5</v>
      </c>
      <c r="D22" s="314">
        <v>5</v>
      </c>
      <c r="E22" s="314">
        <v>0</v>
      </c>
      <c r="F22" s="314">
        <v>0</v>
      </c>
      <c r="G22" s="314">
        <v>0</v>
      </c>
      <c r="H22" s="314">
        <v>5</v>
      </c>
      <c r="I22" s="314">
        <v>0</v>
      </c>
      <c r="J22" s="314">
        <v>0</v>
      </c>
      <c r="K22" s="314">
        <v>0</v>
      </c>
      <c r="L22" s="314">
        <v>5</v>
      </c>
    </row>
    <row r="23" spans="1:12" ht="11.45" customHeight="1" x14ac:dyDescent="0.2">
      <c r="B23" s="1" t="s">
        <v>610</v>
      </c>
      <c r="C23" s="314">
        <v>145000</v>
      </c>
      <c r="D23" s="314">
        <v>145000</v>
      </c>
      <c r="E23" s="314">
        <v>62135.65</v>
      </c>
      <c r="F23" s="314">
        <v>103585.65</v>
      </c>
      <c r="G23" s="314">
        <v>0.1</v>
      </c>
      <c r="H23" s="314">
        <v>41414.35</v>
      </c>
      <c r="I23" s="314">
        <v>8710</v>
      </c>
      <c r="J23" s="314">
        <v>43130</v>
      </c>
      <c r="K23" s="314">
        <v>0.05</v>
      </c>
      <c r="L23" s="314">
        <v>101870</v>
      </c>
    </row>
    <row r="24" spans="1:12" ht="11.45" customHeight="1" x14ac:dyDescent="0.2">
      <c r="B24" s="1" t="s">
        <v>611</v>
      </c>
      <c r="C24" s="314">
        <v>27332.880000000001</v>
      </c>
      <c r="D24" s="314">
        <v>37258.120000000003</v>
      </c>
      <c r="E24" s="314">
        <v>11506.74</v>
      </c>
      <c r="F24" s="314">
        <v>22516.84</v>
      </c>
      <c r="G24" s="314">
        <v>0.02</v>
      </c>
      <c r="H24" s="314">
        <v>14741.28</v>
      </c>
      <c r="I24" s="314">
        <v>10410.540000000001</v>
      </c>
      <c r="J24" s="314">
        <v>18018.84</v>
      </c>
      <c r="K24" s="314">
        <v>0.02</v>
      </c>
      <c r="L24" s="314">
        <v>19239.28</v>
      </c>
    </row>
    <row r="25" spans="1:12" ht="11.45" customHeight="1" x14ac:dyDescent="0.2">
      <c r="B25" s="1" t="s">
        <v>612</v>
      </c>
      <c r="C25" s="314">
        <v>60000</v>
      </c>
      <c r="D25" s="314">
        <v>60000</v>
      </c>
      <c r="E25" s="314">
        <v>0</v>
      </c>
      <c r="F25" s="314">
        <v>0</v>
      </c>
      <c r="G25" s="314">
        <v>0</v>
      </c>
      <c r="H25" s="314">
        <v>60000</v>
      </c>
      <c r="I25" s="314">
        <v>0</v>
      </c>
      <c r="J25" s="314">
        <v>0</v>
      </c>
      <c r="K25" s="314">
        <v>0</v>
      </c>
      <c r="L25" s="314">
        <v>60000</v>
      </c>
    </row>
    <row r="26" spans="1:12" ht="11.45" customHeight="1" x14ac:dyDescent="0.2">
      <c r="B26" s="1" t="s">
        <v>613</v>
      </c>
      <c r="C26" s="314">
        <v>10000</v>
      </c>
      <c r="D26" s="314">
        <v>22000</v>
      </c>
      <c r="E26" s="314">
        <v>3000</v>
      </c>
      <c r="F26" s="314">
        <v>3000</v>
      </c>
      <c r="G26" s="314">
        <v>0</v>
      </c>
      <c r="H26" s="314">
        <v>19000</v>
      </c>
      <c r="I26" s="314">
        <v>0</v>
      </c>
      <c r="J26" s="314">
        <v>0</v>
      </c>
      <c r="K26" s="314">
        <v>0</v>
      </c>
      <c r="L26" s="314">
        <v>22000</v>
      </c>
    </row>
    <row r="27" spans="1:12" ht="11.45" customHeight="1" x14ac:dyDescent="0.2">
      <c r="B27" s="1" t="s">
        <v>614</v>
      </c>
      <c r="C27" s="314">
        <v>590195.44999999995</v>
      </c>
      <c r="D27" s="314">
        <v>590491.44999999995</v>
      </c>
      <c r="E27" s="314">
        <v>83506.559999999998</v>
      </c>
      <c r="F27" s="314">
        <v>247923.68</v>
      </c>
      <c r="G27" s="314">
        <v>0.24</v>
      </c>
      <c r="H27" s="314">
        <v>342567.77</v>
      </c>
      <c r="I27" s="314">
        <v>83506.559999999998</v>
      </c>
      <c r="J27" s="314">
        <v>247923.68</v>
      </c>
      <c r="K27" s="314">
        <v>0.27</v>
      </c>
      <c r="L27" s="314">
        <v>342567.77</v>
      </c>
    </row>
    <row r="28" spans="1:12" ht="11.45" customHeight="1" x14ac:dyDescent="0.2">
      <c r="B28" s="1" t="s">
        <v>615</v>
      </c>
      <c r="C28" s="314">
        <v>10</v>
      </c>
      <c r="D28" s="314">
        <v>10</v>
      </c>
      <c r="E28" s="314">
        <v>0</v>
      </c>
      <c r="F28" s="314">
        <v>0</v>
      </c>
      <c r="G28" s="314">
        <v>0</v>
      </c>
      <c r="H28" s="314">
        <v>10</v>
      </c>
      <c r="I28" s="314">
        <v>0</v>
      </c>
      <c r="J28" s="314">
        <v>0</v>
      </c>
      <c r="K28" s="314">
        <v>0</v>
      </c>
      <c r="L28" s="314">
        <v>10</v>
      </c>
    </row>
    <row r="29" spans="1:12" ht="11.45" customHeight="1" x14ac:dyDescent="0.2">
      <c r="B29" s="1" t="s">
        <v>616</v>
      </c>
      <c r="C29" s="314">
        <v>934104.05</v>
      </c>
      <c r="D29" s="314">
        <v>934104.05</v>
      </c>
      <c r="E29" s="314">
        <v>123643.94</v>
      </c>
      <c r="F29" s="314">
        <v>362249.8</v>
      </c>
      <c r="G29" s="314">
        <v>0.35</v>
      </c>
      <c r="H29" s="314">
        <v>571854.25</v>
      </c>
      <c r="I29" s="314">
        <v>123643.94</v>
      </c>
      <c r="J29" s="314">
        <v>362249.8</v>
      </c>
      <c r="K29" s="314">
        <v>0.4</v>
      </c>
      <c r="L29" s="314">
        <v>571854.25</v>
      </c>
    </row>
    <row r="30" spans="1:12" ht="11.45" customHeight="1" x14ac:dyDescent="0.2">
      <c r="B30" s="1" t="s">
        <v>617</v>
      </c>
      <c r="C30" s="314">
        <v>234498.66</v>
      </c>
      <c r="D30" s="314">
        <v>235706.92</v>
      </c>
      <c r="E30" s="314">
        <v>1966.9</v>
      </c>
      <c r="F30" s="314">
        <v>93153.56</v>
      </c>
      <c r="G30" s="314">
        <v>0.09</v>
      </c>
      <c r="H30" s="314">
        <v>142553.35999999999</v>
      </c>
      <c r="I30" s="314">
        <v>17214.560000000001</v>
      </c>
      <c r="J30" s="314">
        <v>64456.86</v>
      </c>
      <c r="K30" s="314">
        <v>7.0000000000000007E-2</v>
      </c>
      <c r="L30" s="314">
        <v>171250.06</v>
      </c>
    </row>
    <row r="31" spans="1:12" ht="11.45" customHeight="1" x14ac:dyDescent="0.2">
      <c r="A31" s="1" t="s">
        <v>618</v>
      </c>
      <c r="C31" s="314">
        <v>104763.03</v>
      </c>
      <c r="D31" s="314">
        <v>113320.03</v>
      </c>
      <c r="E31" s="314">
        <v>4816.54</v>
      </c>
      <c r="F31" s="314">
        <v>34763.4</v>
      </c>
      <c r="G31" s="314">
        <v>0.03</v>
      </c>
      <c r="H31" s="314">
        <v>78556.63</v>
      </c>
      <c r="I31" s="314">
        <v>1567.93</v>
      </c>
      <c r="J31" s="314">
        <v>15800.7</v>
      </c>
      <c r="K31" s="314">
        <v>0.02</v>
      </c>
      <c r="L31" s="314">
        <v>97519.33</v>
      </c>
    </row>
    <row r="32" spans="1:12" ht="11.45" customHeight="1" x14ac:dyDescent="0.2">
      <c r="B32" s="1" t="s">
        <v>619</v>
      </c>
      <c r="C32" s="314">
        <v>27510</v>
      </c>
      <c r="D32" s="314">
        <v>27510</v>
      </c>
      <c r="E32" s="314">
        <v>0</v>
      </c>
      <c r="F32" s="314">
        <v>0</v>
      </c>
      <c r="G32" s="314">
        <v>0</v>
      </c>
      <c r="H32" s="314">
        <v>27510</v>
      </c>
      <c r="I32" s="314">
        <v>0</v>
      </c>
      <c r="J32" s="314">
        <v>0</v>
      </c>
      <c r="K32" s="314">
        <v>0</v>
      </c>
      <c r="L32" s="314">
        <v>27510</v>
      </c>
    </row>
    <row r="33" spans="1:12" ht="11.45" customHeight="1" x14ac:dyDescent="0.2">
      <c r="B33" s="1" t="s">
        <v>620</v>
      </c>
      <c r="C33" s="314">
        <v>77252.03</v>
      </c>
      <c r="D33" s="314">
        <v>85809.03</v>
      </c>
      <c r="E33" s="314">
        <v>4816.54</v>
      </c>
      <c r="F33" s="314">
        <v>34763.4</v>
      </c>
      <c r="G33" s="314">
        <v>0.03</v>
      </c>
      <c r="H33" s="314">
        <v>51045.63</v>
      </c>
      <c r="I33" s="314">
        <v>1567.93</v>
      </c>
      <c r="J33" s="314">
        <v>15800.7</v>
      </c>
      <c r="K33" s="314">
        <v>0.02</v>
      </c>
      <c r="L33" s="314">
        <v>70008.33</v>
      </c>
    </row>
    <row r="34" spans="1:12" ht="11.45" customHeight="1" x14ac:dyDescent="0.2">
      <c r="B34" s="1" t="s">
        <v>616</v>
      </c>
      <c r="C34" s="314">
        <v>1</v>
      </c>
      <c r="D34" s="314">
        <v>1</v>
      </c>
      <c r="E34" s="314">
        <v>0</v>
      </c>
      <c r="F34" s="314">
        <v>0</v>
      </c>
      <c r="G34" s="314">
        <v>0</v>
      </c>
      <c r="H34" s="314">
        <v>1</v>
      </c>
      <c r="I34" s="314">
        <v>0</v>
      </c>
      <c r="J34" s="314">
        <v>0</v>
      </c>
      <c r="K34" s="314">
        <v>0</v>
      </c>
      <c r="L34" s="314">
        <v>1</v>
      </c>
    </row>
    <row r="35" spans="1:12" ht="11.45" customHeight="1" x14ac:dyDescent="0.2">
      <c r="A35" s="1" t="s">
        <v>621</v>
      </c>
      <c r="C35" s="314">
        <v>1535589.41</v>
      </c>
      <c r="D35" s="314">
        <v>1915681.29</v>
      </c>
      <c r="E35" s="314">
        <v>191450.53</v>
      </c>
      <c r="F35" s="314">
        <v>682991.24</v>
      </c>
      <c r="G35" s="314">
        <v>0.66</v>
      </c>
      <c r="H35" s="314">
        <v>1232690.05</v>
      </c>
      <c r="I35" s="314">
        <v>193129.86</v>
      </c>
      <c r="J35" s="314">
        <v>444718.82</v>
      </c>
      <c r="K35" s="314">
        <v>0.49</v>
      </c>
      <c r="L35" s="314">
        <v>1470962.47</v>
      </c>
    </row>
    <row r="36" spans="1:12" ht="11.45" customHeight="1" x14ac:dyDescent="0.2">
      <c r="B36" s="1" t="s">
        <v>606</v>
      </c>
      <c r="C36" s="314">
        <v>208067.68</v>
      </c>
      <c r="D36" s="314">
        <v>201591.29</v>
      </c>
      <c r="E36" s="314">
        <v>25581.18</v>
      </c>
      <c r="F36" s="314">
        <v>152347.07999999999</v>
      </c>
      <c r="G36" s="314">
        <v>0.15</v>
      </c>
      <c r="H36" s="314">
        <v>49244.21</v>
      </c>
      <c r="I36" s="314">
        <v>36855.32</v>
      </c>
      <c r="J36" s="314">
        <v>95537.73</v>
      </c>
      <c r="K36" s="314">
        <v>0.11</v>
      </c>
      <c r="L36" s="314">
        <v>106053.56</v>
      </c>
    </row>
    <row r="37" spans="1:12" ht="11.45" customHeight="1" x14ac:dyDescent="0.2">
      <c r="B37" s="1" t="s">
        <v>622</v>
      </c>
      <c r="C37" s="314">
        <v>237469.03</v>
      </c>
      <c r="D37" s="314">
        <v>237169.03</v>
      </c>
      <c r="E37" s="314">
        <v>0</v>
      </c>
      <c r="F37" s="314">
        <v>1988.2</v>
      </c>
      <c r="G37" s="314">
        <v>0</v>
      </c>
      <c r="H37" s="314">
        <v>235180.83</v>
      </c>
      <c r="I37" s="314">
        <v>0</v>
      </c>
      <c r="J37" s="314">
        <v>1988.2</v>
      </c>
      <c r="K37" s="314">
        <v>0</v>
      </c>
      <c r="L37" s="314">
        <v>235180.83</v>
      </c>
    </row>
    <row r="38" spans="1:12" ht="11.45" customHeight="1" x14ac:dyDescent="0.2">
      <c r="B38" s="1" t="s">
        <v>623</v>
      </c>
      <c r="C38" s="314">
        <v>61018</v>
      </c>
      <c r="D38" s="314">
        <v>271018</v>
      </c>
      <c r="E38" s="314">
        <v>0</v>
      </c>
      <c r="F38" s="314">
        <v>6891.63</v>
      </c>
      <c r="G38" s="314">
        <v>0.01</v>
      </c>
      <c r="H38" s="314">
        <v>264126.37</v>
      </c>
      <c r="I38" s="314">
        <v>0</v>
      </c>
      <c r="J38" s="314">
        <v>6891.63</v>
      </c>
      <c r="K38" s="314">
        <v>0.01</v>
      </c>
      <c r="L38" s="314">
        <v>264126.37</v>
      </c>
    </row>
    <row r="39" spans="1:12" ht="11.45" customHeight="1" x14ac:dyDescent="0.2">
      <c r="B39" s="1" t="s">
        <v>624</v>
      </c>
      <c r="C39" s="314">
        <v>335857.32</v>
      </c>
      <c r="D39" s="314">
        <v>399033.91</v>
      </c>
      <c r="E39" s="314">
        <v>18763.72</v>
      </c>
      <c r="F39" s="314">
        <v>173461.34</v>
      </c>
      <c r="G39" s="314">
        <v>0.17</v>
      </c>
      <c r="H39" s="314">
        <v>225572.57</v>
      </c>
      <c r="I39" s="314">
        <v>18006</v>
      </c>
      <c r="J39" s="314">
        <v>104064.26</v>
      </c>
      <c r="K39" s="314">
        <v>0.11</v>
      </c>
      <c r="L39" s="314">
        <v>294969.65000000002</v>
      </c>
    </row>
    <row r="40" spans="1:12" ht="11.45" customHeight="1" x14ac:dyDescent="0.2">
      <c r="B40" s="1" t="s">
        <v>625</v>
      </c>
      <c r="C40" s="314">
        <v>609754.56000000006</v>
      </c>
      <c r="D40" s="314">
        <v>704413.59</v>
      </c>
      <c r="E40" s="314">
        <v>127181.07</v>
      </c>
      <c r="F40" s="314">
        <v>327573.8</v>
      </c>
      <c r="G40" s="314">
        <v>0.32</v>
      </c>
      <c r="H40" s="314">
        <v>376839.79</v>
      </c>
      <c r="I40" s="314">
        <v>137036.91</v>
      </c>
      <c r="J40" s="314">
        <v>234789.37</v>
      </c>
      <c r="K40" s="314">
        <v>0.26</v>
      </c>
      <c r="L40" s="314">
        <v>469624.22</v>
      </c>
    </row>
    <row r="41" spans="1:12" ht="11.45" customHeight="1" x14ac:dyDescent="0.2">
      <c r="B41" s="1" t="s">
        <v>614</v>
      </c>
      <c r="C41" s="314">
        <v>122</v>
      </c>
      <c r="D41" s="314">
        <v>122</v>
      </c>
      <c r="E41" s="314">
        <v>0</v>
      </c>
      <c r="F41" s="314">
        <v>0</v>
      </c>
      <c r="G41" s="314">
        <v>0</v>
      </c>
      <c r="H41" s="314">
        <v>122</v>
      </c>
      <c r="I41" s="314">
        <v>0</v>
      </c>
      <c r="J41" s="314">
        <v>0</v>
      </c>
      <c r="K41" s="314">
        <v>0</v>
      </c>
      <c r="L41" s="314">
        <v>122</v>
      </c>
    </row>
    <row r="42" spans="1:12" ht="11.45" customHeight="1" x14ac:dyDescent="0.2">
      <c r="B42" s="1" t="s">
        <v>647</v>
      </c>
      <c r="C42" s="314">
        <v>7300.82</v>
      </c>
      <c r="D42" s="314">
        <v>7300.82</v>
      </c>
      <c r="E42" s="314">
        <v>0</v>
      </c>
      <c r="F42" s="314">
        <v>0</v>
      </c>
      <c r="G42" s="314">
        <v>0</v>
      </c>
      <c r="H42" s="314">
        <v>7300.82</v>
      </c>
      <c r="I42" s="314">
        <v>0</v>
      </c>
      <c r="J42" s="314">
        <v>0</v>
      </c>
      <c r="K42" s="314">
        <v>0</v>
      </c>
      <c r="L42" s="314">
        <v>7300.82</v>
      </c>
    </row>
    <row r="43" spans="1:12" ht="11.45" customHeight="1" x14ac:dyDescent="0.2">
      <c r="B43" s="1" t="s">
        <v>626</v>
      </c>
      <c r="C43" s="314">
        <v>49000</v>
      </c>
      <c r="D43" s="314">
        <v>47732.65</v>
      </c>
      <c r="E43" s="314">
        <v>19662.560000000001</v>
      </c>
      <c r="F43" s="314">
        <v>19662.560000000001</v>
      </c>
      <c r="G43" s="314">
        <v>0.02</v>
      </c>
      <c r="H43" s="314">
        <v>28070.09</v>
      </c>
      <c r="I43" s="314">
        <v>381</v>
      </c>
      <c r="J43" s="314">
        <v>381</v>
      </c>
      <c r="K43" s="314">
        <v>0</v>
      </c>
      <c r="L43" s="314">
        <v>47351.65</v>
      </c>
    </row>
    <row r="44" spans="1:12" ht="11.45" customHeight="1" x14ac:dyDescent="0.2">
      <c r="B44" s="1" t="s">
        <v>627</v>
      </c>
      <c r="C44" s="314">
        <v>27000</v>
      </c>
      <c r="D44" s="314">
        <v>47300</v>
      </c>
      <c r="E44" s="314">
        <v>262</v>
      </c>
      <c r="F44" s="314">
        <v>1066.6300000000001</v>
      </c>
      <c r="G44" s="314">
        <v>0</v>
      </c>
      <c r="H44" s="314">
        <v>46233.37</v>
      </c>
      <c r="I44" s="314">
        <v>850.63</v>
      </c>
      <c r="J44" s="314">
        <v>1066.6300000000001</v>
      </c>
      <c r="K44" s="314">
        <v>0</v>
      </c>
      <c r="L44" s="314">
        <v>46233.37</v>
      </c>
    </row>
    <row r="45" spans="1:12" ht="11.45" customHeight="1" x14ac:dyDescent="0.2">
      <c r="A45" s="1" t="s">
        <v>628</v>
      </c>
      <c r="C45" s="314">
        <v>41972712.759999998</v>
      </c>
      <c r="D45" s="314">
        <v>41972712.759999998</v>
      </c>
      <c r="E45" s="314">
        <v>6895491.5199999996</v>
      </c>
      <c r="F45" s="314">
        <v>19606205.280000001</v>
      </c>
      <c r="G45" s="314">
        <v>18.91</v>
      </c>
      <c r="H45" s="314">
        <v>22366507.48</v>
      </c>
      <c r="I45" s="314">
        <v>7464965.7199999997</v>
      </c>
      <c r="J45" s="314">
        <v>19256803.960000001</v>
      </c>
      <c r="K45" s="314">
        <v>21.18</v>
      </c>
      <c r="L45" s="314">
        <v>22715908.800000001</v>
      </c>
    </row>
    <row r="46" spans="1:12" ht="11.45" customHeight="1" x14ac:dyDescent="0.2">
      <c r="B46" s="1" t="s">
        <v>606</v>
      </c>
      <c r="C46" s="314">
        <v>80000</v>
      </c>
      <c r="D46" s="314">
        <v>80000</v>
      </c>
      <c r="E46" s="314">
        <v>9975</v>
      </c>
      <c r="F46" s="314">
        <v>22151.64</v>
      </c>
      <c r="G46" s="314">
        <v>0.02</v>
      </c>
      <c r="H46" s="314">
        <v>57848.36</v>
      </c>
      <c r="I46" s="314">
        <v>1010.22</v>
      </c>
      <c r="J46" s="314">
        <v>5101.1000000000004</v>
      </c>
      <c r="K46" s="314">
        <v>0.01</v>
      </c>
      <c r="L46" s="314">
        <v>74898.899999999994</v>
      </c>
    </row>
    <row r="47" spans="1:12" ht="11.45" customHeight="1" x14ac:dyDescent="0.2">
      <c r="B47" s="1" t="s">
        <v>629</v>
      </c>
      <c r="C47" s="314">
        <v>37000265.479999997</v>
      </c>
      <c r="D47" s="314">
        <v>37000265.479999997</v>
      </c>
      <c r="E47" s="314">
        <v>6793676.7400000002</v>
      </c>
      <c r="F47" s="314">
        <v>17325616.289999999</v>
      </c>
      <c r="G47" s="314">
        <v>16.71</v>
      </c>
      <c r="H47" s="314">
        <v>19674649.190000001</v>
      </c>
      <c r="I47" s="314">
        <v>6793676.7400000002</v>
      </c>
      <c r="J47" s="314">
        <v>17325616.289999999</v>
      </c>
      <c r="K47" s="314">
        <v>19.059999999999999</v>
      </c>
      <c r="L47" s="314">
        <v>19674649.190000001</v>
      </c>
    </row>
    <row r="48" spans="1:12" ht="11.45" customHeight="1" x14ac:dyDescent="0.2">
      <c r="B48" s="1" t="s">
        <v>630</v>
      </c>
      <c r="C48" s="314">
        <v>4892447.28</v>
      </c>
      <c r="D48" s="314">
        <v>4892447.28</v>
      </c>
      <c r="E48" s="314">
        <v>91839.78</v>
      </c>
      <c r="F48" s="314">
        <v>2258437.35</v>
      </c>
      <c r="G48" s="314">
        <v>2.1800000000000002</v>
      </c>
      <c r="H48" s="314">
        <v>2634009.9300000002</v>
      </c>
      <c r="I48" s="314">
        <v>670278.76</v>
      </c>
      <c r="J48" s="314">
        <v>1926086.57</v>
      </c>
      <c r="K48" s="314">
        <v>2.12</v>
      </c>
      <c r="L48" s="314">
        <v>2966360.71</v>
      </c>
    </row>
    <row r="49" spans="1:12" ht="11.45" customHeight="1" x14ac:dyDescent="0.2">
      <c r="A49" s="1" t="s">
        <v>631</v>
      </c>
      <c r="C49" s="314">
        <v>33779879.969999999</v>
      </c>
      <c r="D49" s="314">
        <v>34802510.329999998</v>
      </c>
      <c r="E49" s="314">
        <v>3726491.57</v>
      </c>
      <c r="F49" s="314">
        <v>17044258.43</v>
      </c>
      <c r="G49" s="314">
        <v>16.440000000000001</v>
      </c>
      <c r="H49" s="314">
        <v>17758251.899999999</v>
      </c>
      <c r="I49" s="314">
        <v>4811718.5999999996</v>
      </c>
      <c r="J49" s="314">
        <v>13173369.08</v>
      </c>
      <c r="K49" s="314">
        <v>14.49</v>
      </c>
      <c r="L49" s="314">
        <v>21629141.25</v>
      </c>
    </row>
    <row r="50" spans="1:12" ht="11.45" customHeight="1" x14ac:dyDescent="0.2">
      <c r="B50" s="1" t="s">
        <v>606</v>
      </c>
      <c r="C50" s="314">
        <v>6177628.4699999997</v>
      </c>
      <c r="D50" s="314">
        <v>6309216.4699999997</v>
      </c>
      <c r="E50" s="314">
        <v>845648.01</v>
      </c>
      <c r="F50" s="314">
        <v>2825550.66</v>
      </c>
      <c r="G50" s="314">
        <v>2.73</v>
      </c>
      <c r="H50" s="314">
        <v>3483665.81</v>
      </c>
      <c r="I50" s="314">
        <v>939794.2</v>
      </c>
      <c r="J50" s="314">
        <v>2564628.02</v>
      </c>
      <c r="K50" s="314">
        <v>2.82</v>
      </c>
      <c r="L50" s="314">
        <v>3744588.45</v>
      </c>
    </row>
    <row r="51" spans="1:12" ht="11.45" customHeight="1" x14ac:dyDescent="0.2">
      <c r="B51" s="1" t="s">
        <v>610</v>
      </c>
      <c r="C51" s="314">
        <v>25100</v>
      </c>
      <c r="D51" s="314">
        <v>25100</v>
      </c>
      <c r="E51" s="314">
        <v>0</v>
      </c>
      <c r="F51" s="314">
        <v>1008.25</v>
      </c>
      <c r="G51" s="314">
        <v>0</v>
      </c>
      <c r="H51" s="314">
        <v>24091.75</v>
      </c>
      <c r="I51" s="314">
        <v>336.08</v>
      </c>
      <c r="J51" s="314">
        <v>840.2</v>
      </c>
      <c r="K51" s="314">
        <v>0</v>
      </c>
      <c r="L51" s="314">
        <v>24259.8</v>
      </c>
    </row>
    <row r="52" spans="1:12" ht="11.45" customHeight="1" x14ac:dyDescent="0.2">
      <c r="B52" s="1" t="s">
        <v>614</v>
      </c>
      <c r="C52" s="314">
        <v>127386.76</v>
      </c>
      <c r="D52" s="314">
        <v>127386.76</v>
      </c>
      <c r="E52" s="314">
        <v>19161.47</v>
      </c>
      <c r="F52" s="314">
        <v>54427.74</v>
      </c>
      <c r="G52" s="314">
        <v>0.05</v>
      </c>
      <c r="H52" s="314">
        <v>72959.02</v>
      </c>
      <c r="I52" s="314">
        <v>19161.47</v>
      </c>
      <c r="J52" s="314">
        <v>54427.74</v>
      </c>
      <c r="K52" s="314">
        <v>0.06</v>
      </c>
      <c r="L52" s="314">
        <v>72959.02</v>
      </c>
    </row>
    <row r="53" spans="1:12" ht="11.45" customHeight="1" x14ac:dyDescent="0.2">
      <c r="B53" s="1" t="s">
        <v>615</v>
      </c>
      <c r="C53" s="314">
        <v>11</v>
      </c>
      <c r="D53" s="314">
        <v>11</v>
      </c>
      <c r="E53" s="314">
        <v>0</v>
      </c>
      <c r="F53" s="314">
        <v>0</v>
      </c>
      <c r="G53" s="314">
        <v>0</v>
      </c>
      <c r="H53" s="314">
        <v>11</v>
      </c>
      <c r="I53" s="314">
        <v>0</v>
      </c>
      <c r="J53" s="314">
        <v>0</v>
      </c>
      <c r="K53" s="314">
        <v>0</v>
      </c>
      <c r="L53" s="314">
        <v>11</v>
      </c>
    </row>
    <row r="54" spans="1:12" ht="11.45" customHeight="1" x14ac:dyDescent="0.2">
      <c r="B54" s="1" t="s">
        <v>632</v>
      </c>
      <c r="C54" s="314">
        <v>7555431.1299999999</v>
      </c>
      <c r="D54" s="314">
        <v>7866209.75</v>
      </c>
      <c r="E54" s="314">
        <v>785181.11</v>
      </c>
      <c r="F54" s="314">
        <v>3518414.23</v>
      </c>
      <c r="G54" s="314">
        <v>3.39</v>
      </c>
      <c r="H54" s="314">
        <v>4347795.5199999996</v>
      </c>
      <c r="I54" s="314">
        <v>1008965.82</v>
      </c>
      <c r="J54" s="314">
        <v>3125414.45</v>
      </c>
      <c r="K54" s="314">
        <v>3.44</v>
      </c>
      <c r="L54" s="314">
        <v>4740795.3</v>
      </c>
    </row>
    <row r="55" spans="1:12" ht="11.45" customHeight="1" x14ac:dyDescent="0.2">
      <c r="B55" s="1" t="s">
        <v>630</v>
      </c>
      <c r="C55" s="314">
        <v>16188764.85</v>
      </c>
      <c r="D55" s="314">
        <v>16504160.060000001</v>
      </c>
      <c r="E55" s="314">
        <v>1651079.15</v>
      </c>
      <c r="F55" s="314">
        <v>9195949.6799999997</v>
      </c>
      <c r="G55" s="314">
        <v>8.8699999999999992</v>
      </c>
      <c r="H55" s="314">
        <v>7308210.3799999999</v>
      </c>
      <c r="I55" s="314">
        <v>2468137.0299999998</v>
      </c>
      <c r="J55" s="314">
        <v>6157506.1500000004</v>
      </c>
      <c r="K55" s="314">
        <v>6.77</v>
      </c>
      <c r="L55" s="314">
        <v>10346653.91</v>
      </c>
    </row>
    <row r="56" spans="1:12" ht="11.45" customHeight="1" x14ac:dyDescent="0.2">
      <c r="B56" s="1" t="s">
        <v>633</v>
      </c>
      <c r="C56" s="314">
        <v>1565799.6</v>
      </c>
      <c r="D56" s="314">
        <v>1699799.6</v>
      </c>
      <c r="E56" s="314">
        <v>183758.69</v>
      </c>
      <c r="F56" s="314">
        <v>705276.85</v>
      </c>
      <c r="G56" s="314">
        <v>0.68</v>
      </c>
      <c r="H56" s="314">
        <v>994522.75</v>
      </c>
      <c r="I56" s="314">
        <v>119208.94</v>
      </c>
      <c r="J56" s="314">
        <v>555806.96</v>
      </c>
      <c r="K56" s="314">
        <v>0.61</v>
      </c>
      <c r="L56" s="314">
        <v>1143992.6399999999</v>
      </c>
    </row>
    <row r="57" spans="1:12" ht="11.45" customHeight="1" x14ac:dyDescent="0.2">
      <c r="B57" s="1" t="s">
        <v>634</v>
      </c>
      <c r="C57" s="314">
        <v>517729.8</v>
      </c>
      <c r="D57" s="314">
        <v>489494.63</v>
      </c>
      <c r="E57" s="314">
        <v>22119.65</v>
      </c>
      <c r="F57" s="314">
        <v>73654.149999999994</v>
      </c>
      <c r="G57" s="314">
        <v>7.0000000000000007E-2</v>
      </c>
      <c r="H57" s="314">
        <v>415840.48</v>
      </c>
      <c r="I57" s="314">
        <v>25953.18</v>
      </c>
      <c r="J57" s="314">
        <v>66441.679999999993</v>
      </c>
      <c r="K57" s="314">
        <v>7.0000000000000007E-2</v>
      </c>
      <c r="L57" s="314">
        <v>423052.95</v>
      </c>
    </row>
    <row r="58" spans="1:12" ht="11.45" customHeight="1" x14ac:dyDescent="0.2">
      <c r="B58" s="1" t="s">
        <v>635</v>
      </c>
      <c r="C58" s="314">
        <v>860612.2</v>
      </c>
      <c r="D58" s="314">
        <v>1019715.9</v>
      </c>
      <c r="E58" s="314">
        <v>125961.82</v>
      </c>
      <c r="F58" s="314">
        <v>368284.14</v>
      </c>
      <c r="G58" s="314">
        <v>0.36</v>
      </c>
      <c r="H58" s="314">
        <v>651431.76</v>
      </c>
      <c r="I58" s="314">
        <v>127567.34</v>
      </c>
      <c r="J58" s="314">
        <v>346611.15</v>
      </c>
      <c r="K58" s="314">
        <v>0.38</v>
      </c>
      <c r="L58" s="314">
        <v>673104.75</v>
      </c>
    </row>
    <row r="59" spans="1:12" ht="11.45" customHeight="1" x14ac:dyDescent="0.2">
      <c r="B59" s="1" t="s">
        <v>616</v>
      </c>
      <c r="C59" s="314">
        <v>761416.16</v>
      </c>
      <c r="D59" s="314">
        <v>761416.16</v>
      </c>
      <c r="E59" s="314">
        <v>93581.67</v>
      </c>
      <c r="F59" s="314">
        <v>301692.73</v>
      </c>
      <c r="G59" s="314">
        <v>0.28999999999999998</v>
      </c>
      <c r="H59" s="314">
        <v>459723.43</v>
      </c>
      <c r="I59" s="314">
        <v>102594.54</v>
      </c>
      <c r="J59" s="314">
        <v>301692.73</v>
      </c>
      <c r="K59" s="314">
        <v>0.33</v>
      </c>
      <c r="L59" s="314">
        <v>459723.43</v>
      </c>
    </row>
    <row r="60" spans="1:12" ht="11.45" customHeight="1" x14ac:dyDescent="0.2">
      <c r="A60" s="1" t="s">
        <v>636</v>
      </c>
      <c r="C60" s="314">
        <v>43754834.479999997</v>
      </c>
      <c r="D60" s="314">
        <v>44532446.670000002</v>
      </c>
      <c r="E60" s="314">
        <v>6808229.4900000002</v>
      </c>
      <c r="F60" s="314">
        <v>20970766</v>
      </c>
      <c r="G60" s="314">
        <v>20.23</v>
      </c>
      <c r="H60" s="314">
        <v>23561680.670000002</v>
      </c>
      <c r="I60" s="314">
        <v>6721237.5099999998</v>
      </c>
      <c r="J60" s="314">
        <v>19973512.41</v>
      </c>
      <c r="K60" s="314">
        <v>21.97</v>
      </c>
      <c r="L60" s="314">
        <v>24558934.260000002</v>
      </c>
    </row>
    <row r="61" spans="1:12" ht="11.45" customHeight="1" x14ac:dyDescent="0.2">
      <c r="B61" s="1" t="s">
        <v>606</v>
      </c>
      <c r="C61" s="314">
        <v>68140</v>
      </c>
      <c r="D61" s="314">
        <v>97107</v>
      </c>
      <c r="E61" s="314">
        <v>2342.42</v>
      </c>
      <c r="F61" s="314">
        <v>61354.83</v>
      </c>
      <c r="G61" s="314">
        <v>0.06</v>
      </c>
      <c r="H61" s="314">
        <v>35752.17</v>
      </c>
      <c r="I61" s="314">
        <v>6515.47</v>
      </c>
      <c r="J61" s="314">
        <v>52436.34</v>
      </c>
      <c r="K61" s="314">
        <v>0.06</v>
      </c>
      <c r="L61" s="314">
        <v>44670.66</v>
      </c>
    </row>
    <row r="62" spans="1:12" ht="11.45" customHeight="1" x14ac:dyDescent="0.2">
      <c r="B62" s="1" t="s">
        <v>614</v>
      </c>
      <c r="C62" s="314">
        <v>107023.03999999999</v>
      </c>
      <c r="D62" s="314">
        <v>124718.04</v>
      </c>
      <c r="E62" s="314">
        <v>9667.77</v>
      </c>
      <c r="F62" s="314">
        <v>27578.33</v>
      </c>
      <c r="G62" s="314">
        <v>0.03</v>
      </c>
      <c r="H62" s="314">
        <v>97139.71</v>
      </c>
      <c r="I62" s="314">
        <v>9667.77</v>
      </c>
      <c r="J62" s="314">
        <v>27578.33</v>
      </c>
      <c r="K62" s="314">
        <v>0.03</v>
      </c>
      <c r="L62" s="314">
        <v>97139.71</v>
      </c>
    </row>
    <row r="63" spans="1:12" ht="11.45" customHeight="1" x14ac:dyDescent="0.2">
      <c r="B63" s="1" t="s">
        <v>615</v>
      </c>
      <c r="C63" s="314">
        <v>23</v>
      </c>
      <c r="D63" s="314">
        <v>23</v>
      </c>
      <c r="E63" s="314">
        <v>0</v>
      </c>
      <c r="F63" s="314">
        <v>0</v>
      </c>
      <c r="G63" s="314">
        <v>0</v>
      </c>
      <c r="H63" s="314">
        <v>23</v>
      </c>
      <c r="I63" s="314">
        <v>0</v>
      </c>
      <c r="J63" s="314">
        <v>0</v>
      </c>
      <c r="K63" s="314">
        <v>0</v>
      </c>
      <c r="L63" s="314">
        <v>23</v>
      </c>
    </row>
    <row r="64" spans="1:12" ht="11.45" customHeight="1" x14ac:dyDescent="0.2">
      <c r="B64" s="1" t="s">
        <v>616</v>
      </c>
      <c r="C64" s="314">
        <v>2197860.29</v>
      </c>
      <c r="D64" s="314">
        <v>2204699.29</v>
      </c>
      <c r="E64" s="314">
        <v>286506.65999999997</v>
      </c>
      <c r="F64" s="314">
        <v>768508.46</v>
      </c>
      <c r="G64" s="314">
        <v>0.74</v>
      </c>
      <c r="H64" s="314">
        <v>1436190.83</v>
      </c>
      <c r="I64" s="314">
        <v>286506.65999999997</v>
      </c>
      <c r="J64" s="314">
        <v>768508.46</v>
      </c>
      <c r="K64" s="314">
        <v>0.85</v>
      </c>
      <c r="L64" s="314">
        <v>1436190.83</v>
      </c>
    </row>
    <row r="65" spans="1:12" ht="11.45" customHeight="1" x14ac:dyDescent="0.2">
      <c r="B65" s="1" t="s">
        <v>637</v>
      </c>
      <c r="C65" s="314">
        <v>25968777.030000001</v>
      </c>
      <c r="D65" s="314">
        <v>26768940.219999999</v>
      </c>
      <c r="E65" s="314">
        <v>4307385.28</v>
      </c>
      <c r="F65" s="314">
        <v>12906479.07</v>
      </c>
      <c r="G65" s="314">
        <v>12.45</v>
      </c>
      <c r="H65" s="314">
        <v>13862461.15</v>
      </c>
      <c r="I65" s="314">
        <v>4077183.77</v>
      </c>
      <c r="J65" s="314">
        <v>12334843.689999999</v>
      </c>
      <c r="K65" s="314">
        <v>13.57</v>
      </c>
      <c r="L65" s="314">
        <v>14434096.529999999</v>
      </c>
    </row>
    <row r="66" spans="1:12" ht="11.45" customHeight="1" x14ac:dyDescent="0.2">
      <c r="B66" s="1" t="s">
        <v>638</v>
      </c>
      <c r="C66" s="314">
        <v>1595100</v>
      </c>
      <c r="D66" s="314">
        <v>1595100</v>
      </c>
      <c r="E66" s="314">
        <v>576601.43000000005</v>
      </c>
      <c r="F66" s="314">
        <v>1593068.59</v>
      </c>
      <c r="G66" s="314">
        <v>1.54</v>
      </c>
      <c r="H66" s="314">
        <v>2031.41</v>
      </c>
      <c r="I66" s="314">
        <v>543259.52</v>
      </c>
      <c r="J66" s="314">
        <v>1540778.3</v>
      </c>
      <c r="K66" s="314">
        <v>1.69</v>
      </c>
      <c r="L66" s="314">
        <v>54321.7</v>
      </c>
    </row>
    <row r="67" spans="1:12" ht="11.45" customHeight="1" x14ac:dyDescent="0.2">
      <c r="B67" s="1" t="s">
        <v>639</v>
      </c>
      <c r="C67" s="314">
        <v>10029421.300000001</v>
      </c>
      <c r="D67" s="314">
        <v>9826956.3000000007</v>
      </c>
      <c r="E67" s="314">
        <v>1135397.96</v>
      </c>
      <c r="F67" s="314">
        <v>3990484.85</v>
      </c>
      <c r="G67" s="314">
        <v>3.85</v>
      </c>
      <c r="H67" s="314">
        <v>5836471.4500000002</v>
      </c>
      <c r="I67" s="314">
        <v>1295245.98</v>
      </c>
      <c r="J67" s="314">
        <v>3669160.48</v>
      </c>
      <c r="K67" s="314">
        <v>4.04</v>
      </c>
      <c r="L67" s="314">
        <v>6157795.8200000003</v>
      </c>
    </row>
    <row r="68" spans="1:12" ht="11.45" customHeight="1" x14ac:dyDescent="0.2">
      <c r="B68" s="1" t="s">
        <v>640</v>
      </c>
      <c r="C68" s="314">
        <v>459550.49</v>
      </c>
      <c r="D68" s="314">
        <v>463101.49</v>
      </c>
      <c r="E68" s="314">
        <v>76958.17</v>
      </c>
      <c r="F68" s="314">
        <v>220605.42</v>
      </c>
      <c r="G68" s="314">
        <v>0.21</v>
      </c>
      <c r="H68" s="314">
        <v>242496.07</v>
      </c>
      <c r="I68" s="314">
        <v>76958.17</v>
      </c>
      <c r="J68" s="314">
        <v>220605.42</v>
      </c>
      <c r="K68" s="314">
        <v>0.24</v>
      </c>
      <c r="L68" s="314">
        <v>242496.07</v>
      </c>
    </row>
    <row r="69" spans="1:12" ht="11.45" customHeight="1" x14ac:dyDescent="0.2">
      <c r="B69" s="1" t="s">
        <v>641</v>
      </c>
      <c r="C69" s="314">
        <v>1932801.16</v>
      </c>
      <c r="D69" s="314">
        <v>2054251.16</v>
      </c>
      <c r="E69" s="314">
        <v>199729.17</v>
      </c>
      <c r="F69" s="314">
        <v>751406.22</v>
      </c>
      <c r="G69" s="314">
        <v>0.72</v>
      </c>
      <c r="H69" s="314">
        <v>1302844.94</v>
      </c>
      <c r="I69" s="314">
        <v>212259.54</v>
      </c>
      <c r="J69" s="314">
        <v>708936.59</v>
      </c>
      <c r="K69" s="314">
        <v>0.78</v>
      </c>
      <c r="L69" s="314">
        <v>1345314.57</v>
      </c>
    </row>
    <row r="70" spans="1:12" ht="11.45" customHeight="1" x14ac:dyDescent="0.2">
      <c r="B70" s="1" t="s">
        <v>642</v>
      </c>
      <c r="C70" s="314">
        <v>1396138.17</v>
      </c>
      <c r="D70" s="314">
        <v>1397550.17</v>
      </c>
      <c r="E70" s="314">
        <v>213640.63</v>
      </c>
      <c r="F70" s="314">
        <v>651280.23</v>
      </c>
      <c r="G70" s="314">
        <v>0.63</v>
      </c>
      <c r="H70" s="314">
        <v>746269.94</v>
      </c>
      <c r="I70" s="314">
        <v>213640.63</v>
      </c>
      <c r="J70" s="314">
        <v>650664.80000000005</v>
      </c>
      <c r="K70" s="314">
        <v>0.72</v>
      </c>
      <c r="L70" s="314">
        <v>746885.37</v>
      </c>
    </row>
    <row r="71" spans="1:12" ht="11.45" customHeight="1" x14ac:dyDescent="0.2">
      <c r="A71" s="1" t="s">
        <v>643</v>
      </c>
      <c r="C71" s="314">
        <v>743356.48</v>
      </c>
      <c r="D71" s="314">
        <v>771496.07</v>
      </c>
      <c r="E71" s="314">
        <v>86740</v>
      </c>
      <c r="F71" s="314">
        <v>302280</v>
      </c>
      <c r="G71" s="314">
        <v>0.28999999999999998</v>
      </c>
      <c r="H71" s="314">
        <v>469216.07</v>
      </c>
      <c r="I71" s="314">
        <v>50714.6</v>
      </c>
      <c r="J71" s="314">
        <v>257254.6</v>
      </c>
      <c r="K71" s="314">
        <v>0.28000000000000003</v>
      </c>
      <c r="L71" s="314">
        <v>514241.47</v>
      </c>
    </row>
    <row r="72" spans="1:12" ht="11.45" customHeight="1" x14ac:dyDescent="0.2">
      <c r="B72" s="1" t="s">
        <v>606</v>
      </c>
      <c r="C72" s="314">
        <v>80005</v>
      </c>
      <c r="D72" s="314">
        <v>80005</v>
      </c>
      <c r="E72" s="314">
        <v>0</v>
      </c>
      <c r="F72" s="314">
        <v>0</v>
      </c>
      <c r="G72" s="314">
        <v>0</v>
      </c>
      <c r="H72" s="314">
        <v>80005</v>
      </c>
      <c r="I72" s="314">
        <v>0</v>
      </c>
      <c r="J72" s="314">
        <v>0</v>
      </c>
      <c r="K72" s="314">
        <v>0</v>
      </c>
      <c r="L72" s="314">
        <v>80005</v>
      </c>
    </row>
    <row r="73" spans="1:12" ht="11.45" customHeight="1" x14ac:dyDescent="0.2">
      <c r="B73" s="1" t="s">
        <v>609</v>
      </c>
      <c r="C73" s="314">
        <v>8</v>
      </c>
      <c r="D73" s="314">
        <v>8</v>
      </c>
      <c r="E73" s="314">
        <v>0</v>
      </c>
      <c r="F73" s="314">
        <v>0</v>
      </c>
      <c r="G73" s="314">
        <v>0</v>
      </c>
      <c r="H73" s="314">
        <v>8</v>
      </c>
      <c r="I73" s="314">
        <v>0</v>
      </c>
      <c r="J73" s="314">
        <v>0</v>
      </c>
      <c r="K73" s="314">
        <v>0</v>
      </c>
      <c r="L73" s="314">
        <v>8</v>
      </c>
    </row>
    <row r="74" spans="1:12" ht="11.45" customHeight="1" x14ac:dyDescent="0.2">
      <c r="B74" s="1" t="s">
        <v>644</v>
      </c>
      <c r="C74" s="314">
        <v>1001</v>
      </c>
      <c r="D74" s="314">
        <v>1001</v>
      </c>
      <c r="E74" s="314">
        <v>0</v>
      </c>
      <c r="F74" s="314">
        <v>0</v>
      </c>
      <c r="G74" s="314">
        <v>0</v>
      </c>
      <c r="H74" s="314">
        <v>1001</v>
      </c>
      <c r="I74" s="314">
        <v>0</v>
      </c>
      <c r="J74" s="314">
        <v>0</v>
      </c>
      <c r="K74" s="314">
        <v>0</v>
      </c>
      <c r="L74" s="314">
        <v>1001</v>
      </c>
    </row>
    <row r="75" spans="1:12" ht="11.45" customHeight="1" x14ac:dyDescent="0.2">
      <c r="B75" s="1" t="s">
        <v>645</v>
      </c>
      <c r="C75" s="314">
        <v>423667.6</v>
      </c>
      <c r="D75" s="314">
        <v>392987.19</v>
      </c>
      <c r="E75" s="314">
        <v>63000</v>
      </c>
      <c r="F75" s="314">
        <v>63000</v>
      </c>
      <c r="G75" s="314">
        <v>0.06</v>
      </c>
      <c r="H75" s="314">
        <v>329987.19</v>
      </c>
      <c r="I75" s="314">
        <v>18714.599999999999</v>
      </c>
      <c r="J75" s="314">
        <v>18714.599999999999</v>
      </c>
      <c r="K75" s="314">
        <v>0.02</v>
      </c>
      <c r="L75" s="314">
        <v>374272.59</v>
      </c>
    </row>
    <row r="76" spans="1:12" ht="11.45" customHeight="1" x14ac:dyDescent="0.2">
      <c r="B76" s="1" t="s">
        <v>617</v>
      </c>
      <c r="C76" s="314">
        <v>238674.88</v>
      </c>
      <c r="D76" s="314">
        <v>297494.88</v>
      </c>
      <c r="E76" s="314">
        <v>23740</v>
      </c>
      <c r="F76" s="314">
        <v>239280</v>
      </c>
      <c r="G76" s="314">
        <v>0.23</v>
      </c>
      <c r="H76" s="314">
        <v>58214.879999999997</v>
      </c>
      <c r="I76" s="314">
        <v>32000</v>
      </c>
      <c r="J76" s="314">
        <v>238540</v>
      </c>
      <c r="K76" s="314">
        <v>0.26</v>
      </c>
      <c r="L76" s="314">
        <v>58954.879999999997</v>
      </c>
    </row>
    <row r="77" spans="1:12" ht="11.45" customHeight="1" x14ac:dyDescent="0.2">
      <c r="A77" s="1" t="s">
        <v>646</v>
      </c>
      <c r="C77" s="314">
        <v>17000</v>
      </c>
      <c r="D77" s="314">
        <v>19900</v>
      </c>
      <c r="E77" s="314">
        <v>440</v>
      </c>
      <c r="F77" s="314">
        <v>5910</v>
      </c>
      <c r="G77" s="314">
        <v>0.01</v>
      </c>
      <c r="H77" s="314">
        <v>13990</v>
      </c>
      <c r="I77" s="314">
        <v>3410</v>
      </c>
      <c r="J77" s="314">
        <v>3683.81</v>
      </c>
      <c r="K77" s="314">
        <v>0</v>
      </c>
      <c r="L77" s="314">
        <v>16216.19</v>
      </c>
    </row>
    <row r="78" spans="1:12" ht="11.45" customHeight="1" x14ac:dyDescent="0.2">
      <c r="B78" s="1" t="s">
        <v>606</v>
      </c>
      <c r="C78" s="314">
        <v>5000</v>
      </c>
      <c r="D78" s="314">
        <v>5000</v>
      </c>
      <c r="E78" s="314">
        <v>0</v>
      </c>
      <c r="F78" s="314">
        <v>0</v>
      </c>
      <c r="G78" s="314">
        <v>0</v>
      </c>
      <c r="H78" s="314">
        <v>5000</v>
      </c>
      <c r="I78" s="314">
        <v>0</v>
      </c>
      <c r="J78" s="314">
        <v>0</v>
      </c>
      <c r="K78" s="314">
        <v>0</v>
      </c>
      <c r="L78" s="314">
        <v>5000</v>
      </c>
    </row>
    <row r="79" spans="1:12" ht="11.45" customHeight="1" x14ac:dyDescent="0.2">
      <c r="B79" s="1" t="s">
        <v>647</v>
      </c>
      <c r="C79" s="314">
        <v>12000</v>
      </c>
      <c r="D79" s="314">
        <v>14900</v>
      </c>
      <c r="E79" s="314">
        <v>440</v>
      </c>
      <c r="F79" s="314">
        <v>5910</v>
      </c>
      <c r="G79" s="314">
        <v>0.01</v>
      </c>
      <c r="H79" s="314">
        <v>8990</v>
      </c>
      <c r="I79" s="314">
        <v>3410</v>
      </c>
      <c r="J79" s="314">
        <v>3683.81</v>
      </c>
      <c r="K79" s="314">
        <v>0</v>
      </c>
      <c r="L79" s="314">
        <v>11216.19</v>
      </c>
    </row>
    <row r="80" spans="1:12" ht="11.45" customHeight="1" x14ac:dyDescent="0.2">
      <c r="A80" s="1" t="s">
        <v>648</v>
      </c>
      <c r="C80" s="314">
        <v>8252594.5199999996</v>
      </c>
      <c r="D80" s="314">
        <v>9157026.7899999991</v>
      </c>
      <c r="E80" s="314">
        <v>528923.15</v>
      </c>
      <c r="F80" s="314">
        <v>4853434.29</v>
      </c>
      <c r="G80" s="314">
        <v>4.68</v>
      </c>
      <c r="H80" s="314">
        <v>4303592.5</v>
      </c>
      <c r="I80" s="314">
        <v>915692.87</v>
      </c>
      <c r="J80" s="314">
        <v>1415423.77</v>
      </c>
      <c r="K80" s="314">
        <v>1.56</v>
      </c>
      <c r="L80" s="314">
        <v>7741603.0199999996</v>
      </c>
    </row>
    <row r="81" spans="1:12" ht="11.45" customHeight="1" x14ac:dyDescent="0.2">
      <c r="B81" s="1" t="s">
        <v>649</v>
      </c>
      <c r="C81" s="314">
        <v>6175104.3700000001</v>
      </c>
      <c r="D81" s="314">
        <v>6978064.75</v>
      </c>
      <c r="E81" s="314">
        <v>512212.99</v>
      </c>
      <c r="F81" s="314">
        <v>3408449.28</v>
      </c>
      <c r="G81" s="314">
        <v>3.29</v>
      </c>
      <c r="H81" s="314">
        <v>3569615.47</v>
      </c>
      <c r="I81" s="314">
        <v>858327.82</v>
      </c>
      <c r="J81" s="314">
        <v>1300918.01</v>
      </c>
      <c r="K81" s="314">
        <v>1.43</v>
      </c>
      <c r="L81" s="314">
        <v>5677146.7400000002</v>
      </c>
    </row>
    <row r="82" spans="1:12" ht="11.45" customHeight="1" x14ac:dyDescent="0.2">
      <c r="B82" s="1" t="s">
        <v>650</v>
      </c>
      <c r="C82" s="314">
        <v>2077490.15</v>
      </c>
      <c r="D82" s="314">
        <v>2178962.04</v>
      </c>
      <c r="E82" s="314">
        <v>16710.16</v>
      </c>
      <c r="F82" s="314">
        <v>1444985.01</v>
      </c>
      <c r="G82" s="314">
        <v>1.39</v>
      </c>
      <c r="H82" s="314">
        <v>733977.03</v>
      </c>
      <c r="I82" s="314">
        <v>57365.05</v>
      </c>
      <c r="J82" s="314">
        <v>114505.76</v>
      </c>
      <c r="K82" s="314">
        <v>0.13</v>
      </c>
      <c r="L82" s="314">
        <v>2064456.28</v>
      </c>
    </row>
    <row r="83" spans="1:12" ht="11.45" customHeight="1" x14ac:dyDescent="0.2">
      <c r="A83" s="1" t="s">
        <v>651</v>
      </c>
      <c r="C83" s="314">
        <v>315263.64</v>
      </c>
      <c r="D83" s="314">
        <v>303365.26</v>
      </c>
      <c r="E83" s="314">
        <v>0</v>
      </c>
      <c r="F83" s="314">
        <v>0</v>
      </c>
      <c r="G83" s="314">
        <v>0</v>
      </c>
      <c r="H83" s="314">
        <v>303365.26</v>
      </c>
      <c r="I83" s="314">
        <v>0</v>
      </c>
      <c r="J83" s="314">
        <v>0</v>
      </c>
      <c r="K83" s="314">
        <v>0</v>
      </c>
      <c r="L83" s="314">
        <v>303365.26</v>
      </c>
    </row>
    <row r="84" spans="1:12" ht="11.45" customHeight="1" x14ac:dyDescent="0.2">
      <c r="B84" s="1" t="s">
        <v>625</v>
      </c>
      <c r="C84" s="314">
        <v>4000</v>
      </c>
      <c r="D84" s="314">
        <v>4000</v>
      </c>
      <c r="E84" s="314">
        <v>0</v>
      </c>
      <c r="F84" s="314">
        <v>0</v>
      </c>
      <c r="G84" s="314">
        <v>0</v>
      </c>
      <c r="H84" s="314">
        <v>4000</v>
      </c>
      <c r="I84" s="314">
        <v>0</v>
      </c>
      <c r="J84" s="314">
        <v>0</v>
      </c>
      <c r="K84" s="314">
        <v>0</v>
      </c>
      <c r="L84" s="314">
        <v>4000</v>
      </c>
    </row>
    <row r="85" spans="1:12" ht="11.45" customHeight="1" x14ac:dyDescent="0.2">
      <c r="B85" s="1" t="s">
        <v>626</v>
      </c>
      <c r="C85" s="314">
        <v>65413.09</v>
      </c>
      <c r="D85" s="314">
        <v>62868</v>
      </c>
      <c r="E85" s="314">
        <v>0</v>
      </c>
      <c r="F85" s="314">
        <v>0</v>
      </c>
      <c r="G85" s="314">
        <v>0</v>
      </c>
      <c r="H85" s="314">
        <v>62868</v>
      </c>
      <c r="I85" s="314">
        <v>0</v>
      </c>
      <c r="J85" s="314">
        <v>0</v>
      </c>
      <c r="K85" s="314">
        <v>0</v>
      </c>
      <c r="L85" s="314">
        <v>62868</v>
      </c>
    </row>
    <row r="86" spans="1:12" ht="11.45" customHeight="1" x14ac:dyDescent="0.2">
      <c r="B86" s="1" t="s">
        <v>627</v>
      </c>
      <c r="C86" s="314">
        <v>245850.55</v>
      </c>
      <c r="D86" s="314">
        <v>236497.26</v>
      </c>
      <c r="E86" s="314">
        <v>0</v>
      </c>
      <c r="F86" s="314">
        <v>0</v>
      </c>
      <c r="G86" s="314">
        <v>0</v>
      </c>
      <c r="H86" s="314">
        <v>236497.26</v>
      </c>
      <c r="I86" s="314">
        <v>0</v>
      </c>
      <c r="J86" s="314">
        <v>0</v>
      </c>
      <c r="K86" s="314">
        <v>0</v>
      </c>
      <c r="L86" s="314">
        <v>236497.26</v>
      </c>
    </row>
    <row r="87" spans="1:12" ht="11.45" customHeight="1" x14ac:dyDescent="0.2">
      <c r="A87" s="1" t="s">
        <v>652</v>
      </c>
      <c r="C87" s="314">
        <v>3297439.31</v>
      </c>
      <c r="D87" s="314">
        <v>3294439.31</v>
      </c>
      <c r="E87" s="314">
        <v>675258.22</v>
      </c>
      <c r="F87" s="314">
        <v>2059416.94</v>
      </c>
      <c r="G87" s="314">
        <v>1.99</v>
      </c>
      <c r="H87" s="314">
        <v>1235022.3700000001</v>
      </c>
      <c r="I87" s="314">
        <v>430375.23</v>
      </c>
      <c r="J87" s="314">
        <v>1047807.45</v>
      </c>
      <c r="K87" s="314">
        <v>1.1499999999999999</v>
      </c>
      <c r="L87" s="314">
        <v>2246631.86</v>
      </c>
    </row>
    <row r="88" spans="1:12" ht="11.45" customHeight="1" x14ac:dyDescent="0.2">
      <c r="B88" s="1" t="s">
        <v>653</v>
      </c>
      <c r="C88" s="314">
        <v>116030</v>
      </c>
      <c r="D88" s="314">
        <v>113030</v>
      </c>
      <c r="E88" s="314">
        <v>6472.12</v>
      </c>
      <c r="F88" s="314">
        <v>45000.9</v>
      </c>
      <c r="G88" s="314">
        <v>0.04</v>
      </c>
      <c r="H88" s="314">
        <v>68029.100000000006</v>
      </c>
      <c r="I88" s="314">
        <v>13346.57</v>
      </c>
      <c r="J88" s="314">
        <v>22396.99</v>
      </c>
      <c r="K88" s="314">
        <v>0.02</v>
      </c>
      <c r="L88" s="314">
        <v>90633.01</v>
      </c>
    </row>
    <row r="89" spans="1:12" ht="11.45" customHeight="1" x14ac:dyDescent="0.2">
      <c r="B89" s="1" t="s">
        <v>654</v>
      </c>
      <c r="C89" s="314">
        <v>3181409.31</v>
      </c>
      <c r="D89" s="314">
        <v>3181409.31</v>
      </c>
      <c r="E89" s="314">
        <v>668786.1</v>
      </c>
      <c r="F89" s="314">
        <v>2014416.04</v>
      </c>
      <c r="G89" s="314">
        <v>1.94</v>
      </c>
      <c r="H89" s="314">
        <v>1166993.27</v>
      </c>
      <c r="I89" s="314">
        <v>417028.66</v>
      </c>
      <c r="J89" s="314">
        <v>1025410.46</v>
      </c>
      <c r="K89" s="314">
        <v>1.1299999999999999</v>
      </c>
      <c r="L89" s="314">
        <v>2155998.85</v>
      </c>
    </row>
    <row r="90" spans="1:12" ht="11.45" customHeight="1" x14ac:dyDescent="0.2">
      <c r="A90" s="1" t="s">
        <v>655</v>
      </c>
      <c r="C90" s="314">
        <v>344802.4</v>
      </c>
      <c r="D90" s="314">
        <v>791501.44</v>
      </c>
      <c r="E90" s="314">
        <v>188951.26</v>
      </c>
      <c r="F90" s="314">
        <v>594644.46</v>
      </c>
      <c r="G90" s="314">
        <v>0.56999999999999995</v>
      </c>
      <c r="H90" s="314">
        <v>196856.98</v>
      </c>
      <c r="I90" s="314">
        <v>268415.53999999998</v>
      </c>
      <c r="J90" s="314">
        <v>391939.44</v>
      </c>
      <c r="K90" s="314">
        <v>0.43</v>
      </c>
      <c r="L90" s="314">
        <v>399562</v>
      </c>
    </row>
    <row r="91" spans="1:12" ht="11.45" customHeight="1" x14ac:dyDescent="0.2">
      <c r="B91" s="1" t="s">
        <v>656</v>
      </c>
      <c r="C91" s="314">
        <v>25388.14</v>
      </c>
      <c r="D91" s="314">
        <v>25388.14</v>
      </c>
      <c r="E91" s="314">
        <v>0</v>
      </c>
      <c r="F91" s="314">
        <v>0</v>
      </c>
      <c r="G91" s="314">
        <v>0</v>
      </c>
      <c r="H91" s="314">
        <v>25388.14</v>
      </c>
      <c r="I91" s="314">
        <v>0</v>
      </c>
      <c r="J91" s="314">
        <v>0</v>
      </c>
      <c r="K91" s="314">
        <v>0</v>
      </c>
      <c r="L91" s="314">
        <v>25388.14</v>
      </c>
    </row>
    <row r="92" spans="1:12" ht="11.45" customHeight="1" x14ac:dyDescent="0.2">
      <c r="B92" s="1" t="s">
        <v>657</v>
      </c>
      <c r="C92" s="314">
        <v>126673.12</v>
      </c>
      <c r="D92" s="314">
        <v>378573.12</v>
      </c>
      <c r="E92" s="314">
        <v>14084.9</v>
      </c>
      <c r="F92" s="314">
        <v>281479.3</v>
      </c>
      <c r="G92" s="314">
        <v>0.27</v>
      </c>
      <c r="H92" s="314">
        <v>97093.82</v>
      </c>
      <c r="I92" s="314">
        <v>261405.82</v>
      </c>
      <c r="J92" s="314">
        <v>262587.82</v>
      </c>
      <c r="K92" s="314">
        <v>0.28999999999999998</v>
      </c>
      <c r="L92" s="314">
        <v>115985.3</v>
      </c>
    </row>
    <row r="93" spans="1:12" ht="11.45" customHeight="1" x14ac:dyDescent="0.2">
      <c r="B93" s="1" t="s">
        <v>658</v>
      </c>
      <c r="C93" s="314">
        <v>192741.14</v>
      </c>
      <c r="D93" s="314">
        <v>387540.18</v>
      </c>
      <c r="E93" s="314">
        <v>174866.36</v>
      </c>
      <c r="F93" s="314">
        <v>313165.15999999997</v>
      </c>
      <c r="G93" s="314">
        <v>0.3</v>
      </c>
      <c r="H93" s="314">
        <v>74375.02</v>
      </c>
      <c r="I93" s="314">
        <v>7009.72</v>
      </c>
      <c r="J93" s="314">
        <v>129351.62</v>
      </c>
      <c r="K93" s="314">
        <v>0.14000000000000001</v>
      </c>
      <c r="L93" s="314">
        <v>258188.56</v>
      </c>
    </row>
    <row r="94" spans="1:12" ht="11.45" customHeight="1" x14ac:dyDescent="0.2">
      <c r="A94" s="1" t="s">
        <v>659</v>
      </c>
      <c r="C94" s="314">
        <v>708839.11</v>
      </c>
      <c r="D94" s="314">
        <v>1187432.7</v>
      </c>
      <c r="E94" s="314">
        <v>634976.9</v>
      </c>
      <c r="F94" s="314">
        <v>838967.97</v>
      </c>
      <c r="G94" s="314">
        <v>0.81</v>
      </c>
      <c r="H94" s="314">
        <v>348464.73</v>
      </c>
      <c r="I94" s="314">
        <v>541228.77</v>
      </c>
      <c r="J94" s="314">
        <v>663995.71</v>
      </c>
      <c r="K94" s="314">
        <v>0.73</v>
      </c>
      <c r="L94" s="314">
        <v>523436.99</v>
      </c>
    </row>
    <row r="95" spans="1:12" ht="11.45" customHeight="1" x14ac:dyDescent="0.2">
      <c r="B95" s="1" t="s">
        <v>660</v>
      </c>
      <c r="C95" s="314">
        <v>58000</v>
      </c>
      <c r="D95" s="314">
        <v>45000</v>
      </c>
      <c r="E95" s="314">
        <v>0</v>
      </c>
      <c r="F95" s="314">
        <v>0</v>
      </c>
      <c r="G95" s="314">
        <v>0</v>
      </c>
      <c r="H95" s="314">
        <v>45000</v>
      </c>
      <c r="I95" s="314">
        <v>0</v>
      </c>
      <c r="J95" s="314">
        <v>0</v>
      </c>
      <c r="K95" s="314">
        <v>0</v>
      </c>
      <c r="L95" s="314">
        <v>45000</v>
      </c>
    </row>
    <row r="96" spans="1:12" ht="11.45" customHeight="1" x14ac:dyDescent="0.2">
      <c r="B96" s="1" t="s">
        <v>661</v>
      </c>
      <c r="C96" s="314">
        <v>273638.90000000002</v>
      </c>
      <c r="D96" s="314">
        <v>820989.49</v>
      </c>
      <c r="E96" s="314">
        <v>609892.66</v>
      </c>
      <c r="F96" s="314">
        <v>667164.74</v>
      </c>
      <c r="G96" s="314">
        <v>0.64</v>
      </c>
      <c r="H96" s="314">
        <v>153824.75</v>
      </c>
      <c r="I96" s="314">
        <v>487400.82</v>
      </c>
      <c r="J96" s="314">
        <v>544672.9</v>
      </c>
      <c r="K96" s="314">
        <v>0.6</v>
      </c>
      <c r="L96" s="314">
        <v>276316.59000000003</v>
      </c>
    </row>
    <row r="97" spans="1:12" ht="11.45" customHeight="1" x14ac:dyDescent="0.2">
      <c r="B97" s="1" t="s">
        <v>662</v>
      </c>
      <c r="C97" s="314">
        <v>349199.21</v>
      </c>
      <c r="D97" s="314">
        <v>293442.21000000002</v>
      </c>
      <c r="E97" s="314">
        <v>25343.24</v>
      </c>
      <c r="F97" s="314">
        <v>165693.23000000001</v>
      </c>
      <c r="G97" s="314">
        <v>0.16</v>
      </c>
      <c r="H97" s="314">
        <v>127748.98</v>
      </c>
      <c r="I97" s="314">
        <v>52794.95</v>
      </c>
      <c r="J97" s="314">
        <v>117770.73</v>
      </c>
      <c r="K97" s="314">
        <v>0.13</v>
      </c>
      <c r="L97" s="314">
        <v>175671.48</v>
      </c>
    </row>
    <row r="98" spans="1:12" ht="11.45" customHeight="1" x14ac:dyDescent="0.2">
      <c r="B98" s="1" t="s">
        <v>663</v>
      </c>
      <c r="C98" s="314">
        <v>28001</v>
      </c>
      <c r="D98" s="314">
        <v>28001</v>
      </c>
      <c r="E98" s="314">
        <v>-259</v>
      </c>
      <c r="F98" s="314">
        <v>6110</v>
      </c>
      <c r="G98" s="314">
        <v>0.01</v>
      </c>
      <c r="H98" s="314">
        <v>21891</v>
      </c>
      <c r="I98" s="314">
        <v>1033</v>
      </c>
      <c r="J98" s="314">
        <v>1552.08</v>
      </c>
      <c r="K98" s="314">
        <v>0</v>
      </c>
      <c r="L98" s="314">
        <v>26448.92</v>
      </c>
    </row>
    <row r="99" spans="1:12" ht="11.45" customHeight="1" x14ac:dyDescent="0.2">
      <c r="A99" s="1" t="s">
        <v>664</v>
      </c>
      <c r="C99" s="314">
        <v>15001</v>
      </c>
      <c r="D99" s="314">
        <v>13001</v>
      </c>
      <c r="E99" s="314">
        <v>3728</v>
      </c>
      <c r="F99" s="314">
        <v>3728</v>
      </c>
      <c r="G99" s="314">
        <v>0</v>
      </c>
      <c r="H99" s="314">
        <v>9273</v>
      </c>
      <c r="I99" s="314">
        <v>0</v>
      </c>
      <c r="J99" s="314">
        <v>0</v>
      </c>
      <c r="K99" s="314">
        <v>0</v>
      </c>
      <c r="L99" s="314">
        <v>13001</v>
      </c>
    </row>
    <row r="100" spans="1:12" ht="11.45" customHeight="1" x14ac:dyDescent="0.2">
      <c r="B100" s="1" t="s">
        <v>665</v>
      </c>
      <c r="C100" s="314">
        <v>15001</v>
      </c>
      <c r="D100" s="314">
        <v>13001</v>
      </c>
      <c r="E100" s="314">
        <v>3728</v>
      </c>
      <c r="F100" s="314">
        <v>3728</v>
      </c>
      <c r="G100" s="314">
        <v>0</v>
      </c>
      <c r="H100" s="314">
        <v>9273</v>
      </c>
      <c r="I100" s="314">
        <v>0</v>
      </c>
      <c r="J100" s="314">
        <v>0</v>
      </c>
      <c r="K100" s="314">
        <v>0</v>
      </c>
      <c r="L100" s="314">
        <v>13001</v>
      </c>
    </row>
    <row r="101" spans="1:12" ht="11.45" customHeight="1" x14ac:dyDescent="0.2">
      <c r="A101" s="1" t="s">
        <v>666</v>
      </c>
      <c r="C101" s="314">
        <v>100908.32</v>
      </c>
      <c r="D101" s="314">
        <v>370861.84</v>
      </c>
      <c r="E101" s="314">
        <v>-245499.45</v>
      </c>
      <c r="F101" s="314">
        <v>36030.050000000003</v>
      </c>
      <c r="G101" s="314">
        <v>0.03</v>
      </c>
      <c r="H101" s="314">
        <v>334831.78999999998</v>
      </c>
      <c r="I101" s="314">
        <v>3356.49</v>
      </c>
      <c r="J101" s="314">
        <v>29896.85</v>
      </c>
      <c r="K101" s="314">
        <v>0.03</v>
      </c>
      <c r="L101" s="314">
        <v>340964.99</v>
      </c>
    </row>
    <row r="102" spans="1:12" ht="11.45" customHeight="1" x14ac:dyDescent="0.2">
      <c r="B102" s="1" t="s">
        <v>656</v>
      </c>
      <c r="C102" s="314">
        <v>1500</v>
      </c>
      <c r="D102" s="314">
        <v>1500</v>
      </c>
      <c r="E102" s="314">
        <v>0</v>
      </c>
      <c r="F102" s="314">
        <v>0</v>
      </c>
      <c r="G102" s="314">
        <v>0</v>
      </c>
      <c r="H102" s="314">
        <v>1500</v>
      </c>
      <c r="I102" s="314">
        <v>0</v>
      </c>
      <c r="J102" s="314">
        <v>0</v>
      </c>
      <c r="K102" s="314">
        <v>0</v>
      </c>
      <c r="L102" s="314">
        <v>1500</v>
      </c>
    </row>
    <row r="103" spans="1:12" ht="11.45" customHeight="1" x14ac:dyDescent="0.2">
      <c r="B103" s="1" t="s">
        <v>667</v>
      </c>
      <c r="C103" s="314">
        <v>79403.320000000007</v>
      </c>
      <c r="D103" s="314">
        <v>331303.32</v>
      </c>
      <c r="E103" s="314">
        <v>-251900</v>
      </c>
      <c r="F103" s="314">
        <v>10149.959999999999</v>
      </c>
      <c r="G103" s="314">
        <v>0.01</v>
      </c>
      <c r="H103" s="314">
        <v>321153.36</v>
      </c>
      <c r="I103" s="314">
        <v>2000</v>
      </c>
      <c r="J103" s="314">
        <v>10149.959999999999</v>
      </c>
      <c r="K103" s="314">
        <v>0.01</v>
      </c>
      <c r="L103" s="314">
        <v>321153.36</v>
      </c>
    </row>
    <row r="104" spans="1:12" ht="11.45" customHeight="1" x14ac:dyDescent="0.2">
      <c r="B104" s="1" t="s">
        <v>617</v>
      </c>
      <c r="C104" s="314">
        <v>20005</v>
      </c>
      <c r="D104" s="314">
        <v>38058.519999999997</v>
      </c>
      <c r="E104" s="314">
        <v>6400.55</v>
      </c>
      <c r="F104" s="314">
        <v>25880.09</v>
      </c>
      <c r="G104" s="314">
        <v>0.02</v>
      </c>
      <c r="H104" s="314">
        <v>12178.43</v>
      </c>
      <c r="I104" s="314">
        <v>1356.49</v>
      </c>
      <c r="J104" s="314">
        <v>19746.89</v>
      </c>
      <c r="K104" s="314">
        <v>0.02</v>
      </c>
      <c r="L104" s="314">
        <v>18311.63</v>
      </c>
    </row>
    <row r="105" spans="1:12" ht="11.45" customHeight="1" x14ac:dyDescent="0.2">
      <c r="A105" s="1" t="s">
        <v>668</v>
      </c>
      <c r="C105" s="314">
        <v>26993</v>
      </c>
      <c r="D105" s="314">
        <v>23993</v>
      </c>
      <c r="E105" s="314">
        <v>2957.27</v>
      </c>
      <c r="F105" s="314">
        <v>14947.27</v>
      </c>
      <c r="G105" s="314">
        <v>0.01</v>
      </c>
      <c r="H105" s="314">
        <v>9045.73</v>
      </c>
      <c r="I105" s="314">
        <v>3868.11</v>
      </c>
      <c r="J105" s="314">
        <v>6473.17</v>
      </c>
      <c r="K105" s="314">
        <v>0.01</v>
      </c>
      <c r="L105" s="314">
        <v>17519.830000000002</v>
      </c>
    </row>
    <row r="106" spans="1:12" ht="11.45" customHeight="1" x14ac:dyDescent="0.2">
      <c r="B106" s="1" t="s">
        <v>669</v>
      </c>
      <c r="C106" s="314">
        <v>26993</v>
      </c>
      <c r="D106" s="314">
        <v>23993</v>
      </c>
      <c r="E106" s="314">
        <v>2957.27</v>
      </c>
      <c r="F106" s="314">
        <v>14947.27</v>
      </c>
      <c r="G106" s="314">
        <v>0.01</v>
      </c>
      <c r="H106" s="314">
        <v>9045.73</v>
      </c>
      <c r="I106" s="314">
        <v>3868.11</v>
      </c>
      <c r="J106" s="314">
        <v>6473.17</v>
      </c>
      <c r="K106" s="314">
        <v>0.01</v>
      </c>
      <c r="L106" s="314">
        <v>17519.830000000002</v>
      </c>
    </row>
    <row r="107" spans="1:12" ht="11.45" customHeight="1" x14ac:dyDescent="0.2">
      <c r="A107" s="1" t="s">
        <v>670</v>
      </c>
      <c r="C107" s="314">
        <v>2633037.1800000002</v>
      </c>
      <c r="D107" s="314">
        <v>2623037.1800000002</v>
      </c>
      <c r="E107" s="314">
        <v>887810.68</v>
      </c>
      <c r="F107" s="314">
        <v>1698548.8</v>
      </c>
      <c r="G107" s="314">
        <v>1.64</v>
      </c>
      <c r="H107" s="314">
        <v>924488.38</v>
      </c>
      <c r="I107" s="314">
        <v>334020.14</v>
      </c>
      <c r="J107" s="314">
        <v>772918.2</v>
      </c>
      <c r="K107" s="314">
        <v>0.85</v>
      </c>
      <c r="L107" s="314">
        <v>1850118.98</v>
      </c>
    </row>
    <row r="108" spans="1:12" ht="11.45" customHeight="1" x14ac:dyDescent="0.2">
      <c r="B108" s="1" t="s">
        <v>671</v>
      </c>
      <c r="C108" s="314">
        <v>2633037.1800000002</v>
      </c>
      <c r="D108" s="314">
        <v>2623037.1800000002</v>
      </c>
      <c r="E108" s="314">
        <v>887810.68</v>
      </c>
      <c r="F108" s="314">
        <v>1698548.8</v>
      </c>
      <c r="G108" s="314">
        <v>1.64</v>
      </c>
      <c r="H108" s="314">
        <v>924488.38</v>
      </c>
      <c r="I108" s="314">
        <v>334020.14</v>
      </c>
      <c r="J108" s="314">
        <v>772918.2</v>
      </c>
      <c r="K108" s="314">
        <v>0.85</v>
      </c>
      <c r="L108" s="314">
        <v>1850118.98</v>
      </c>
    </row>
    <row r="109" spans="1:12" ht="11.45" customHeight="1" x14ac:dyDescent="0.2">
      <c r="A109" s="1" t="s">
        <v>672</v>
      </c>
      <c r="C109" s="314">
        <v>854353.71</v>
      </c>
      <c r="D109" s="314">
        <v>827281.71</v>
      </c>
      <c r="E109" s="314">
        <v>12456.89</v>
      </c>
      <c r="F109" s="314">
        <v>138032.54</v>
      </c>
      <c r="G109" s="314">
        <v>0.13</v>
      </c>
      <c r="H109" s="314">
        <v>689249.17</v>
      </c>
      <c r="I109" s="314">
        <v>13926.2</v>
      </c>
      <c r="J109" s="314">
        <v>53893.599999999999</v>
      </c>
      <c r="K109" s="314">
        <v>0.06</v>
      </c>
      <c r="L109" s="314">
        <v>773388.11</v>
      </c>
    </row>
    <row r="110" spans="1:12" ht="11.45" customHeight="1" x14ac:dyDescent="0.2">
      <c r="B110" s="1" t="s">
        <v>673</v>
      </c>
      <c r="C110" s="314">
        <v>854353.71</v>
      </c>
      <c r="D110" s="314">
        <v>827281.71</v>
      </c>
      <c r="E110" s="314">
        <v>12456.89</v>
      </c>
      <c r="F110" s="314">
        <v>138032.54</v>
      </c>
      <c r="G110" s="314">
        <v>0.13</v>
      </c>
      <c r="H110" s="314">
        <v>689249.17</v>
      </c>
      <c r="I110" s="314">
        <v>13926.2</v>
      </c>
      <c r="J110" s="314">
        <v>53893.599999999999</v>
      </c>
      <c r="K110" s="314">
        <v>0.06</v>
      </c>
      <c r="L110" s="314">
        <v>773388.11</v>
      </c>
    </row>
    <row r="111" spans="1:12" ht="11.45" customHeight="1" x14ac:dyDescent="0.2">
      <c r="A111" s="1" t="s">
        <v>674</v>
      </c>
      <c r="C111" s="314">
        <v>3372014.22</v>
      </c>
      <c r="D111" s="314">
        <v>3372014.22</v>
      </c>
      <c r="E111" s="314">
        <v>258828.91</v>
      </c>
      <c r="F111" s="314">
        <v>1141984.79</v>
      </c>
      <c r="G111" s="314">
        <v>1.1000000000000001</v>
      </c>
      <c r="H111" s="314">
        <v>2230029.4300000002</v>
      </c>
      <c r="I111" s="314">
        <v>329433.87</v>
      </c>
      <c r="J111" s="314">
        <v>978646.39</v>
      </c>
      <c r="K111" s="314">
        <v>1.08</v>
      </c>
      <c r="L111" s="314">
        <v>2393367.83</v>
      </c>
    </row>
    <row r="112" spans="1:12" ht="11.45" customHeight="1" x14ac:dyDescent="0.2">
      <c r="B112" s="1" t="s">
        <v>675</v>
      </c>
      <c r="C112" s="314">
        <v>1300</v>
      </c>
      <c r="D112" s="314">
        <v>1300</v>
      </c>
      <c r="E112" s="314">
        <v>0</v>
      </c>
      <c r="F112" s="314">
        <v>0</v>
      </c>
      <c r="G112" s="314">
        <v>0</v>
      </c>
      <c r="H112" s="314">
        <v>1300</v>
      </c>
      <c r="I112" s="314">
        <v>0</v>
      </c>
      <c r="J112" s="314">
        <v>0</v>
      </c>
      <c r="K112" s="314">
        <v>0</v>
      </c>
      <c r="L112" s="314">
        <v>1300</v>
      </c>
    </row>
    <row r="113" spans="1:12" ht="11.45" customHeight="1" x14ac:dyDescent="0.2">
      <c r="B113" s="1" t="s">
        <v>676</v>
      </c>
      <c r="C113" s="314">
        <v>3370714.22</v>
      </c>
      <c r="D113" s="314">
        <v>3370714.22</v>
      </c>
      <c r="E113" s="314">
        <v>258828.91</v>
      </c>
      <c r="F113" s="314">
        <v>1141984.79</v>
      </c>
      <c r="G113" s="314">
        <v>1.1000000000000001</v>
      </c>
      <c r="H113" s="314">
        <v>2228729.4300000002</v>
      </c>
      <c r="I113" s="314">
        <v>329433.87</v>
      </c>
      <c r="J113" s="314">
        <v>978646.39</v>
      </c>
      <c r="K113" s="314">
        <v>1.08</v>
      </c>
      <c r="L113" s="314">
        <v>2392067.83</v>
      </c>
    </row>
    <row r="114" spans="1:12" ht="11.45" customHeight="1" x14ac:dyDescent="0.2">
      <c r="A114" s="1" t="s">
        <v>677</v>
      </c>
      <c r="C114" s="314">
        <v>180558.04</v>
      </c>
      <c r="D114" s="314">
        <v>143.07</v>
      </c>
      <c r="E114" s="314">
        <v>0</v>
      </c>
      <c r="F114" s="314">
        <v>0</v>
      </c>
      <c r="G114" s="314">
        <v>0</v>
      </c>
      <c r="H114" s="314">
        <v>143.07</v>
      </c>
      <c r="I114" s="314">
        <v>0</v>
      </c>
      <c r="J114" s="314">
        <v>0</v>
      </c>
      <c r="K114" s="314">
        <v>0</v>
      </c>
      <c r="L114" s="314">
        <v>143.07</v>
      </c>
    </row>
    <row r="115" spans="1:12" ht="11.45" customHeight="1" x14ac:dyDescent="0.2">
      <c r="B115" s="1" t="s">
        <v>677</v>
      </c>
      <c r="C115" s="314">
        <v>180558.04</v>
      </c>
      <c r="D115" s="314">
        <v>143.07</v>
      </c>
      <c r="E115" s="314">
        <v>0</v>
      </c>
      <c r="F115" s="314">
        <v>0</v>
      </c>
      <c r="G115" s="314">
        <v>0</v>
      </c>
      <c r="H115" s="314">
        <v>143.07</v>
      </c>
      <c r="I115" s="314">
        <v>0</v>
      </c>
      <c r="J115" s="314">
        <v>0</v>
      </c>
      <c r="K115" s="314">
        <v>0</v>
      </c>
      <c r="L115" s="314">
        <v>143.07</v>
      </c>
    </row>
    <row r="116" spans="1:12" ht="11.45" customHeight="1" x14ac:dyDescent="0.2">
      <c r="A116" s="1" t="s">
        <v>678</v>
      </c>
      <c r="C116" s="314">
        <v>49097233.020000003</v>
      </c>
      <c r="D116" s="314">
        <v>49031748.020000003</v>
      </c>
      <c r="E116" s="314">
        <v>7109298.8899999997</v>
      </c>
      <c r="F116" s="314">
        <v>21266260.170000002</v>
      </c>
      <c r="G116" s="314">
        <v>20.513147203671402</v>
      </c>
      <c r="H116" s="314">
        <v>27765487.850000001</v>
      </c>
      <c r="I116" s="314">
        <v>7109298.8899999997</v>
      </c>
      <c r="J116" s="314">
        <v>21266260.170000002</v>
      </c>
      <c r="K116" s="314">
        <v>23.3907932751878</v>
      </c>
      <c r="L116" s="314">
        <v>27765487.850000001</v>
      </c>
    </row>
    <row r="117" spans="1:12" ht="11.45" customHeight="1" x14ac:dyDescent="0.2">
      <c r="A117" s="1" t="s">
        <v>679</v>
      </c>
      <c r="C117" s="314">
        <v>218276502.62</v>
      </c>
      <c r="D117" s="314">
        <v>222518899.11000001</v>
      </c>
      <c r="E117" s="314">
        <v>31333964.57</v>
      </c>
      <c r="F117" s="314">
        <v>103671367.23999999</v>
      </c>
      <c r="G117" s="314">
        <v>100</v>
      </c>
      <c r="H117" s="314">
        <v>118847531.87</v>
      </c>
      <c r="I117" s="314">
        <v>32749447.010000002</v>
      </c>
      <c r="J117" s="314">
        <v>90917225.079999998</v>
      </c>
      <c r="K117" s="314">
        <v>100</v>
      </c>
      <c r="L117" s="314">
        <v>131601674.03</v>
      </c>
    </row>
    <row r="118" spans="1:12" ht="11.45" customHeight="1" x14ac:dyDescent="0.2">
      <c r="A118" s="1" t="s">
        <v>680</v>
      </c>
      <c r="C118" s="314">
        <v>49097233.020000003</v>
      </c>
      <c r="D118" s="314">
        <v>49031748.020000003</v>
      </c>
      <c r="E118" s="314">
        <v>7109298.8899999997</v>
      </c>
      <c r="F118" s="314">
        <v>21266260.170000002</v>
      </c>
      <c r="G118" s="314">
        <v>20.513147203671402</v>
      </c>
      <c r="H118" s="314">
        <v>27765487.850000001</v>
      </c>
      <c r="I118" s="314">
        <v>7109298.8899999997</v>
      </c>
      <c r="J118" s="314">
        <v>21266260.170000002</v>
      </c>
      <c r="K118" s="314">
        <v>23.3907932751878</v>
      </c>
      <c r="L118" s="314">
        <v>27765487.850000001</v>
      </c>
    </row>
    <row r="119" spans="1:12" ht="11.45" customHeight="1" x14ac:dyDescent="0.2">
      <c r="A119" s="1" t="s">
        <v>600</v>
      </c>
      <c r="C119" s="314">
        <v>449000</v>
      </c>
      <c r="D119" s="314">
        <v>449000</v>
      </c>
      <c r="E119" s="314">
        <v>120057.1</v>
      </c>
      <c r="F119" s="314">
        <v>369944.25</v>
      </c>
      <c r="G119" s="314">
        <v>0.36</v>
      </c>
      <c r="H119" s="314">
        <v>79055.75</v>
      </c>
      <c r="I119" s="314">
        <v>120057.1</v>
      </c>
      <c r="J119" s="314">
        <v>369944.25</v>
      </c>
      <c r="K119" s="314">
        <v>0.41</v>
      </c>
      <c r="L119" s="314">
        <v>79055.75</v>
      </c>
    </row>
    <row r="120" spans="1:12" ht="11.45" customHeight="1" x14ac:dyDescent="0.2">
      <c r="B120" s="1" t="s">
        <v>601</v>
      </c>
      <c r="C120" s="314">
        <v>449000</v>
      </c>
      <c r="D120" s="314">
        <v>449000</v>
      </c>
      <c r="E120" s="314">
        <v>120057.1</v>
      </c>
      <c r="F120" s="314">
        <v>369944.25</v>
      </c>
      <c r="G120" s="314">
        <v>0.36</v>
      </c>
      <c r="H120" s="314">
        <v>79055.75</v>
      </c>
      <c r="I120" s="314">
        <v>120057.1</v>
      </c>
      <c r="J120" s="314">
        <v>369944.25</v>
      </c>
      <c r="K120" s="314">
        <v>0.41</v>
      </c>
      <c r="L120" s="314">
        <v>79055.75</v>
      </c>
    </row>
    <row r="121" spans="1:12" ht="11.45" customHeight="1" x14ac:dyDescent="0.2">
      <c r="A121" s="1" t="s">
        <v>604</v>
      </c>
      <c r="C121" s="314">
        <v>20771944.68</v>
      </c>
      <c r="D121" s="314">
        <v>20718648.68</v>
      </c>
      <c r="E121" s="314">
        <v>3193499.01</v>
      </c>
      <c r="F121" s="314">
        <v>9445443.9900000002</v>
      </c>
      <c r="G121" s="314">
        <v>9.11</v>
      </c>
      <c r="H121" s="314">
        <v>11273204.689999999</v>
      </c>
      <c r="I121" s="314">
        <v>3193499.01</v>
      </c>
      <c r="J121" s="314">
        <v>9445443.9900000002</v>
      </c>
      <c r="K121" s="314">
        <v>10.39</v>
      </c>
      <c r="L121" s="314">
        <v>11273204.689999999</v>
      </c>
    </row>
    <row r="122" spans="1:12" ht="11.45" customHeight="1" x14ac:dyDescent="0.2">
      <c r="B122" s="1" t="s">
        <v>606</v>
      </c>
      <c r="C122" s="314">
        <v>10533516.24</v>
      </c>
      <c r="D122" s="314">
        <v>7125516.2400000002</v>
      </c>
      <c r="E122" s="314">
        <v>246296.95</v>
      </c>
      <c r="F122" s="314">
        <v>727919.01</v>
      </c>
      <c r="G122" s="314">
        <v>0.7</v>
      </c>
      <c r="H122" s="314">
        <v>6397597.2300000004</v>
      </c>
      <c r="I122" s="314">
        <v>246296.95</v>
      </c>
      <c r="J122" s="314">
        <v>727919.01</v>
      </c>
      <c r="K122" s="314">
        <v>0.8</v>
      </c>
      <c r="L122" s="314">
        <v>6397597.2300000004</v>
      </c>
    </row>
    <row r="123" spans="1:12" ht="11.45" customHeight="1" x14ac:dyDescent="0.2">
      <c r="B123" s="1" t="s">
        <v>629</v>
      </c>
      <c r="C123" s="314">
        <v>10238428.439999999</v>
      </c>
      <c r="D123" s="314">
        <v>13593132.439999999</v>
      </c>
      <c r="E123" s="314">
        <v>2947202.06</v>
      </c>
      <c r="F123" s="314">
        <v>8717524.9800000004</v>
      </c>
      <c r="G123" s="314">
        <v>8.41</v>
      </c>
      <c r="H123" s="314">
        <v>4875607.46</v>
      </c>
      <c r="I123" s="314">
        <v>2947202.06</v>
      </c>
      <c r="J123" s="314">
        <v>8717524.9800000004</v>
      </c>
      <c r="K123" s="314">
        <v>9.59</v>
      </c>
      <c r="L123" s="314">
        <v>4875607.46</v>
      </c>
    </row>
    <row r="124" spans="1:12" ht="11.45" customHeight="1" x14ac:dyDescent="0.2">
      <c r="A124" s="1" t="s">
        <v>618</v>
      </c>
      <c r="C124" s="314">
        <v>1</v>
      </c>
      <c r="D124" s="314">
        <v>1</v>
      </c>
      <c r="E124" s="314">
        <v>0</v>
      </c>
      <c r="F124" s="314">
        <v>0</v>
      </c>
      <c r="G124" s="314">
        <v>0</v>
      </c>
      <c r="H124" s="314">
        <v>1</v>
      </c>
      <c r="I124" s="314">
        <v>0</v>
      </c>
      <c r="J124" s="314">
        <v>0</v>
      </c>
      <c r="K124" s="314">
        <v>0</v>
      </c>
      <c r="L124" s="314">
        <v>1</v>
      </c>
    </row>
    <row r="125" spans="1:12" ht="11.45" customHeight="1" x14ac:dyDescent="0.2">
      <c r="B125" s="1" t="s">
        <v>619</v>
      </c>
      <c r="C125" s="314">
        <v>1</v>
      </c>
      <c r="D125" s="314">
        <v>1</v>
      </c>
      <c r="E125" s="314">
        <v>0</v>
      </c>
      <c r="F125" s="314">
        <v>0</v>
      </c>
      <c r="G125" s="314">
        <v>0</v>
      </c>
      <c r="H125" s="314">
        <v>1</v>
      </c>
      <c r="I125" s="314">
        <v>0</v>
      </c>
      <c r="J125" s="314">
        <v>0</v>
      </c>
      <c r="K125" s="314">
        <v>0</v>
      </c>
      <c r="L125" s="314">
        <v>1</v>
      </c>
    </row>
    <row r="126" spans="1:12" ht="11.45" customHeight="1" x14ac:dyDescent="0.2">
      <c r="A126" s="1" t="s">
        <v>631</v>
      </c>
      <c r="C126" s="314">
        <v>8489982.1199999992</v>
      </c>
      <c r="D126" s="314">
        <v>8482632.1199999992</v>
      </c>
      <c r="E126" s="314">
        <v>1128197.05</v>
      </c>
      <c r="F126" s="314">
        <v>3370691.37</v>
      </c>
      <c r="G126" s="314">
        <v>3.25</v>
      </c>
      <c r="H126" s="314">
        <v>5111940.75</v>
      </c>
      <c r="I126" s="314">
        <v>1128197.05</v>
      </c>
      <c r="J126" s="314">
        <v>3370691.37</v>
      </c>
      <c r="K126" s="314">
        <v>3.71</v>
      </c>
      <c r="L126" s="314">
        <v>5111940.75</v>
      </c>
    </row>
    <row r="127" spans="1:12" ht="11.45" customHeight="1" x14ac:dyDescent="0.2">
      <c r="B127" s="1" t="s">
        <v>606</v>
      </c>
      <c r="C127" s="314">
        <v>92358.88</v>
      </c>
      <c r="D127" s="314">
        <v>92358.88</v>
      </c>
      <c r="E127" s="314">
        <v>14018.28</v>
      </c>
      <c r="F127" s="314">
        <v>41110.97</v>
      </c>
      <c r="G127" s="314">
        <v>0.04</v>
      </c>
      <c r="H127" s="314">
        <v>51247.91</v>
      </c>
      <c r="I127" s="314">
        <v>14018.28</v>
      </c>
      <c r="J127" s="314">
        <v>41110.97</v>
      </c>
      <c r="K127" s="314">
        <v>0.05</v>
      </c>
      <c r="L127" s="314">
        <v>51247.91</v>
      </c>
    </row>
    <row r="128" spans="1:12" ht="11.45" customHeight="1" x14ac:dyDescent="0.2">
      <c r="B128" s="1" t="s">
        <v>629</v>
      </c>
      <c r="C128" s="314">
        <v>8139850.9500000002</v>
      </c>
      <c r="D128" s="314">
        <v>8132500.9500000002</v>
      </c>
      <c r="E128" s="314">
        <v>1077956.3899999999</v>
      </c>
      <c r="F128" s="314">
        <v>3223345.48</v>
      </c>
      <c r="G128" s="314">
        <v>3.11</v>
      </c>
      <c r="H128" s="314">
        <v>4909155.47</v>
      </c>
      <c r="I128" s="314">
        <v>1077956.3899999999</v>
      </c>
      <c r="J128" s="314">
        <v>3223345.48</v>
      </c>
      <c r="K128" s="314">
        <v>3.55</v>
      </c>
      <c r="L128" s="314">
        <v>4909155.47</v>
      </c>
    </row>
    <row r="129" spans="1:12" ht="11.45" customHeight="1" x14ac:dyDescent="0.2">
      <c r="B129" s="1" t="s">
        <v>632</v>
      </c>
      <c r="C129" s="314">
        <v>144911.76999999999</v>
      </c>
      <c r="D129" s="314">
        <v>144911.76999999999</v>
      </c>
      <c r="E129" s="314">
        <v>21800.25</v>
      </c>
      <c r="F129" s="314">
        <v>63449.53</v>
      </c>
      <c r="G129" s="314">
        <v>0.06</v>
      </c>
      <c r="H129" s="314">
        <v>81462.240000000005</v>
      </c>
      <c r="I129" s="314">
        <v>21800.25</v>
      </c>
      <c r="J129" s="314">
        <v>63449.53</v>
      </c>
      <c r="K129" s="314">
        <v>7.0000000000000007E-2</v>
      </c>
      <c r="L129" s="314">
        <v>81462.240000000005</v>
      </c>
    </row>
    <row r="130" spans="1:12" ht="11.45" customHeight="1" x14ac:dyDescent="0.2">
      <c r="B130" s="1" t="s">
        <v>630</v>
      </c>
      <c r="C130" s="314">
        <v>88335.7</v>
      </c>
      <c r="D130" s="314">
        <v>88335.7</v>
      </c>
      <c r="E130" s="314">
        <v>11276.13</v>
      </c>
      <c r="F130" s="314">
        <v>33034.35</v>
      </c>
      <c r="G130" s="314">
        <v>0.03</v>
      </c>
      <c r="H130" s="314">
        <v>55301.35</v>
      </c>
      <c r="I130" s="314">
        <v>11276.13</v>
      </c>
      <c r="J130" s="314">
        <v>33034.35</v>
      </c>
      <c r="K130" s="314">
        <v>0.04</v>
      </c>
      <c r="L130" s="314">
        <v>55301.35</v>
      </c>
    </row>
    <row r="131" spans="1:12" ht="11.45" customHeight="1" x14ac:dyDescent="0.2">
      <c r="B131" s="1" t="s">
        <v>633</v>
      </c>
      <c r="C131" s="314">
        <v>3051.12</v>
      </c>
      <c r="D131" s="314">
        <v>3051.12</v>
      </c>
      <c r="E131" s="314">
        <v>212.52</v>
      </c>
      <c r="F131" s="314">
        <v>1101.31</v>
      </c>
      <c r="G131" s="314">
        <v>0</v>
      </c>
      <c r="H131" s="314">
        <v>1949.81</v>
      </c>
      <c r="I131" s="314">
        <v>212.52</v>
      </c>
      <c r="J131" s="314">
        <v>1101.31</v>
      </c>
      <c r="K131" s="314">
        <v>0</v>
      </c>
      <c r="L131" s="314">
        <v>1949.81</v>
      </c>
    </row>
    <row r="132" spans="1:12" ht="11.45" customHeight="1" x14ac:dyDescent="0.2">
      <c r="B132" s="1" t="s">
        <v>634</v>
      </c>
      <c r="C132" s="314">
        <v>1000</v>
      </c>
      <c r="D132" s="314">
        <v>1000</v>
      </c>
      <c r="E132" s="314">
        <v>0</v>
      </c>
      <c r="F132" s="314">
        <v>0</v>
      </c>
      <c r="G132" s="314">
        <v>0</v>
      </c>
      <c r="H132" s="314">
        <v>1000</v>
      </c>
      <c r="I132" s="314">
        <v>0</v>
      </c>
      <c r="J132" s="314">
        <v>0</v>
      </c>
      <c r="K132" s="314">
        <v>0</v>
      </c>
      <c r="L132" s="314">
        <v>1000</v>
      </c>
    </row>
    <row r="133" spans="1:12" ht="11.45" customHeight="1" x14ac:dyDescent="0.2">
      <c r="B133" s="1" t="s">
        <v>635</v>
      </c>
      <c r="C133" s="314">
        <v>20473.7</v>
      </c>
      <c r="D133" s="314">
        <v>20473.7</v>
      </c>
      <c r="E133" s="314">
        <v>2933.48</v>
      </c>
      <c r="F133" s="314">
        <v>8649.73</v>
      </c>
      <c r="G133" s="314">
        <v>0.01</v>
      </c>
      <c r="H133" s="314">
        <v>11823.97</v>
      </c>
      <c r="I133" s="314">
        <v>2933.48</v>
      </c>
      <c r="J133" s="314">
        <v>8649.73</v>
      </c>
      <c r="K133" s="314">
        <v>0.01</v>
      </c>
      <c r="L133" s="314">
        <v>11823.97</v>
      </c>
    </row>
    <row r="134" spans="1:12" ht="11.45" customHeight="1" x14ac:dyDescent="0.2">
      <c r="A134" s="1" t="s">
        <v>636</v>
      </c>
      <c r="C134" s="314">
        <v>19355502.219999999</v>
      </c>
      <c r="D134" s="314">
        <v>19350663.219999999</v>
      </c>
      <c r="E134" s="314">
        <v>2667545.73</v>
      </c>
      <c r="F134" s="314">
        <v>8056880.25</v>
      </c>
      <c r="G134" s="314">
        <v>7.77</v>
      </c>
      <c r="H134" s="314">
        <v>11293782.970000001</v>
      </c>
      <c r="I134" s="314">
        <v>2667545.73</v>
      </c>
      <c r="J134" s="314">
        <v>8056880.25</v>
      </c>
      <c r="K134" s="314">
        <v>8.86</v>
      </c>
      <c r="L134" s="314">
        <v>11293782.970000001</v>
      </c>
    </row>
    <row r="135" spans="1:12" ht="11.45" customHeight="1" x14ac:dyDescent="0.2">
      <c r="B135" s="1" t="s">
        <v>629</v>
      </c>
      <c r="C135" s="314">
        <v>18235193.350000001</v>
      </c>
      <c r="D135" s="314">
        <v>18227162.350000001</v>
      </c>
      <c r="E135" s="314">
        <v>2412499.09</v>
      </c>
      <c r="F135" s="314">
        <v>7282866.5300000003</v>
      </c>
      <c r="G135" s="314">
        <v>7.02</v>
      </c>
      <c r="H135" s="314">
        <v>10944295.82</v>
      </c>
      <c r="I135" s="314">
        <v>2412499.09</v>
      </c>
      <c r="J135" s="314">
        <v>7282866.5300000003</v>
      </c>
      <c r="K135" s="314">
        <v>8.01</v>
      </c>
      <c r="L135" s="314">
        <v>10944295.82</v>
      </c>
    </row>
    <row r="136" spans="1:12" ht="11.45" customHeight="1" x14ac:dyDescent="0.2">
      <c r="B136" s="1" t="s">
        <v>637</v>
      </c>
      <c r="C136" s="314">
        <v>364012.74</v>
      </c>
      <c r="D136" s="314">
        <v>365204.74</v>
      </c>
      <c r="E136" s="314">
        <v>58084.27</v>
      </c>
      <c r="F136" s="314">
        <v>179311.38</v>
      </c>
      <c r="G136" s="314">
        <v>0.17</v>
      </c>
      <c r="H136" s="314">
        <v>185893.36</v>
      </c>
      <c r="I136" s="314">
        <v>58084.27</v>
      </c>
      <c r="J136" s="314">
        <v>179311.38</v>
      </c>
      <c r="K136" s="314">
        <v>0.2</v>
      </c>
      <c r="L136" s="314">
        <v>185893.36</v>
      </c>
    </row>
    <row r="137" spans="1:12" ht="11.45" customHeight="1" x14ac:dyDescent="0.2">
      <c r="B137" s="1" t="s">
        <v>639</v>
      </c>
      <c r="C137" s="314">
        <v>700634.26</v>
      </c>
      <c r="D137" s="314">
        <v>702634.26</v>
      </c>
      <c r="E137" s="314">
        <v>188753.07</v>
      </c>
      <c r="F137" s="314">
        <v>569946.80000000005</v>
      </c>
      <c r="G137" s="314">
        <v>0.55000000000000004</v>
      </c>
      <c r="H137" s="314">
        <v>132687.46</v>
      </c>
      <c r="I137" s="314">
        <v>188753.07</v>
      </c>
      <c r="J137" s="314">
        <v>569946.80000000005</v>
      </c>
      <c r="K137" s="314">
        <v>0.63</v>
      </c>
      <c r="L137" s="314">
        <v>132687.46</v>
      </c>
    </row>
    <row r="138" spans="1:12" ht="11.45" customHeight="1" x14ac:dyDescent="0.2">
      <c r="B138" s="1" t="s">
        <v>640</v>
      </c>
      <c r="C138" s="314">
        <v>10409.31</v>
      </c>
      <c r="D138" s="314">
        <v>10409.31</v>
      </c>
      <c r="E138" s="314">
        <v>1737.64</v>
      </c>
      <c r="F138" s="314">
        <v>5155.13</v>
      </c>
      <c r="G138" s="314">
        <v>0</v>
      </c>
      <c r="H138" s="314">
        <v>5254.18</v>
      </c>
      <c r="I138" s="314">
        <v>1737.64</v>
      </c>
      <c r="J138" s="314">
        <v>5155.13</v>
      </c>
      <c r="K138" s="314">
        <v>0.01</v>
      </c>
      <c r="L138" s="314">
        <v>5254.18</v>
      </c>
    </row>
    <row r="139" spans="1:12" ht="11.45" customHeight="1" x14ac:dyDescent="0.2">
      <c r="B139" s="1" t="s">
        <v>641</v>
      </c>
      <c r="C139" s="314">
        <v>25745.1</v>
      </c>
      <c r="D139" s="314">
        <v>25745.1</v>
      </c>
      <c r="E139" s="314">
        <v>3107.29</v>
      </c>
      <c r="F139" s="314">
        <v>9928.42</v>
      </c>
      <c r="G139" s="314">
        <v>0.01</v>
      </c>
      <c r="H139" s="314">
        <v>15816.68</v>
      </c>
      <c r="I139" s="314">
        <v>3107.29</v>
      </c>
      <c r="J139" s="314">
        <v>9928.42</v>
      </c>
      <c r="K139" s="314">
        <v>0.01</v>
      </c>
      <c r="L139" s="314">
        <v>15816.68</v>
      </c>
    </row>
    <row r="140" spans="1:12" ht="11.45" customHeight="1" x14ac:dyDescent="0.2">
      <c r="B140" s="1" t="s">
        <v>642</v>
      </c>
      <c r="C140" s="314">
        <v>19507.46</v>
      </c>
      <c r="D140" s="314">
        <v>19507.46</v>
      </c>
      <c r="E140" s="314">
        <v>3364.37</v>
      </c>
      <c r="F140" s="314">
        <v>9671.99</v>
      </c>
      <c r="G140" s="314">
        <v>0.01</v>
      </c>
      <c r="H140" s="314">
        <v>9835.4699999999993</v>
      </c>
      <c r="I140" s="314">
        <v>3364.37</v>
      </c>
      <c r="J140" s="314">
        <v>9671.99</v>
      </c>
      <c r="K140" s="314">
        <v>0.01</v>
      </c>
      <c r="L140" s="314">
        <v>9835.4699999999993</v>
      </c>
    </row>
    <row r="141" spans="1:12" ht="11.45" customHeight="1" x14ac:dyDescent="0.2">
      <c r="A141" s="1" t="s">
        <v>655</v>
      </c>
      <c r="C141" s="314">
        <v>1</v>
      </c>
      <c r="D141" s="314">
        <v>1</v>
      </c>
      <c r="E141" s="314">
        <v>0</v>
      </c>
      <c r="F141" s="314">
        <v>0</v>
      </c>
      <c r="G141" s="314">
        <v>0</v>
      </c>
      <c r="H141" s="314">
        <v>1</v>
      </c>
      <c r="I141" s="314">
        <v>0</v>
      </c>
      <c r="J141" s="314">
        <v>0</v>
      </c>
      <c r="K141" s="314">
        <v>0</v>
      </c>
      <c r="L141" s="314">
        <v>1</v>
      </c>
    </row>
    <row r="142" spans="1:12" ht="11.45" customHeight="1" x14ac:dyDescent="0.2">
      <c r="B142" s="1" t="s">
        <v>629</v>
      </c>
      <c r="C142" s="314">
        <v>1</v>
      </c>
      <c r="D142" s="314">
        <v>1</v>
      </c>
      <c r="E142" s="314">
        <v>0</v>
      </c>
      <c r="F142" s="314">
        <v>0</v>
      </c>
      <c r="G142" s="314">
        <v>0</v>
      </c>
      <c r="H142" s="314">
        <v>1</v>
      </c>
      <c r="I142" s="314">
        <v>0</v>
      </c>
      <c r="J142" s="314">
        <v>0</v>
      </c>
      <c r="K142" s="314">
        <v>0</v>
      </c>
      <c r="L142" s="314">
        <v>1</v>
      </c>
    </row>
    <row r="143" spans="1:12" ht="11.45" customHeight="1" x14ac:dyDescent="0.2">
      <c r="A143" s="1" t="s">
        <v>674</v>
      </c>
      <c r="C143" s="314">
        <v>30802</v>
      </c>
      <c r="D143" s="314">
        <v>30802</v>
      </c>
      <c r="E143" s="314">
        <v>0</v>
      </c>
      <c r="F143" s="314">
        <v>23300.31</v>
      </c>
      <c r="G143" s="314">
        <v>0.02</v>
      </c>
      <c r="H143" s="314">
        <v>7501.69</v>
      </c>
      <c r="I143" s="314">
        <v>0</v>
      </c>
      <c r="J143" s="314">
        <v>23300.31</v>
      </c>
      <c r="K143" s="314">
        <v>0.03</v>
      </c>
      <c r="L143" s="314">
        <v>7501.69</v>
      </c>
    </row>
    <row r="144" spans="1:12" ht="11.45" customHeight="1" x14ac:dyDescent="0.2">
      <c r="B144" s="1" t="s">
        <v>629</v>
      </c>
      <c r="C144" s="314">
        <v>25102</v>
      </c>
      <c r="D144" s="314">
        <v>25102</v>
      </c>
      <c r="E144" s="314">
        <v>0</v>
      </c>
      <c r="F144" s="314">
        <v>23300.31</v>
      </c>
      <c r="G144" s="314">
        <v>0.02</v>
      </c>
      <c r="H144" s="314">
        <v>1801.69</v>
      </c>
      <c r="I144" s="314">
        <v>0</v>
      </c>
      <c r="J144" s="314">
        <v>23300.31</v>
      </c>
      <c r="K144" s="314">
        <v>0.03</v>
      </c>
      <c r="L144" s="314">
        <v>1801.69</v>
      </c>
    </row>
    <row r="145" spans="1:12" x14ac:dyDescent="0.2">
      <c r="B145" s="1" t="s">
        <v>675</v>
      </c>
      <c r="C145" s="314">
        <v>700</v>
      </c>
      <c r="D145" s="314">
        <v>700</v>
      </c>
      <c r="E145" s="314">
        <v>0</v>
      </c>
      <c r="F145" s="314">
        <v>0</v>
      </c>
      <c r="G145" s="314">
        <v>0</v>
      </c>
      <c r="H145" s="314">
        <v>700</v>
      </c>
      <c r="I145" s="314">
        <v>0</v>
      </c>
      <c r="J145" s="314">
        <v>0</v>
      </c>
      <c r="K145" s="314">
        <v>0</v>
      </c>
      <c r="L145" s="314">
        <v>700</v>
      </c>
    </row>
    <row r="146" spans="1:12" x14ac:dyDescent="0.2">
      <c r="B146" s="1" t="s">
        <v>676</v>
      </c>
      <c r="C146" s="314">
        <v>5000</v>
      </c>
      <c r="D146" s="314">
        <v>5000</v>
      </c>
      <c r="E146" s="314">
        <v>0</v>
      </c>
      <c r="F146" s="314">
        <v>0</v>
      </c>
      <c r="G146" s="314">
        <v>0</v>
      </c>
      <c r="H146" s="314">
        <v>5000</v>
      </c>
      <c r="I146" s="314">
        <v>0</v>
      </c>
      <c r="J146" s="314">
        <v>0</v>
      </c>
      <c r="K146" s="314">
        <v>0</v>
      </c>
      <c r="L146" s="314">
        <v>5000</v>
      </c>
    </row>
    <row r="147" spans="1:12" x14ac:dyDescent="0.2">
      <c r="A147" s="1" t="s">
        <v>182</v>
      </c>
      <c r="C147" s="314">
        <v>49097233.020000003</v>
      </c>
      <c r="D147" s="314">
        <v>49031748.020000003</v>
      </c>
      <c r="E147" s="314">
        <v>7109298.8899999997</v>
      </c>
      <c r="F147" s="314">
        <v>21266260.170000002</v>
      </c>
      <c r="G147" s="314">
        <v>20.513147203671402</v>
      </c>
      <c r="H147" s="314">
        <v>27765487.850000001</v>
      </c>
      <c r="I147" s="314">
        <v>7109298.8899999997</v>
      </c>
      <c r="J147" s="314">
        <v>21266260.170000002</v>
      </c>
      <c r="K147" s="314">
        <v>23.3907932751878</v>
      </c>
      <c r="L147" s="314">
        <v>27765487.850000001</v>
      </c>
    </row>
    <row r="155" spans="1:12" x14ac:dyDescent="0.2">
      <c r="A155" s="1" t="s">
        <v>681</v>
      </c>
    </row>
    <row r="156" spans="1:12" x14ac:dyDescent="0.2">
      <c r="A156" s="1" t="s">
        <v>1214</v>
      </c>
    </row>
    <row r="157" spans="1:12" x14ac:dyDescent="0.2">
      <c r="A157" s="1" t="s">
        <v>1215</v>
      </c>
    </row>
    <row r="158" spans="1:12" x14ac:dyDescent="0.2">
      <c r="A158" s="1" t="s">
        <v>1216</v>
      </c>
    </row>
  </sheetData>
  <pageMargins left="0.511811024" right="0.511811024" top="0.78740157499999996" bottom="0.78740157499999996" header="0.31496062000000002" footer="0.31496062000000002"/>
  <pageSetup paperSize="9" orientation="landscape" horizontalDpi="0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83"/>
  <sheetViews>
    <sheetView topLeftCell="A100" workbookViewId="0">
      <selection activeCell="B159" sqref="B159"/>
    </sheetView>
  </sheetViews>
  <sheetFormatPr defaultRowHeight="15" x14ac:dyDescent="0.25"/>
  <cols>
    <col min="1" max="1" width="17.5703125" customWidth="1"/>
    <col min="2" max="2" width="5" customWidth="1"/>
    <col min="3" max="3" width="9.140625" customWidth="1"/>
    <col min="4" max="4" width="3" customWidth="1"/>
    <col min="5" max="5" width="7.42578125" customWidth="1"/>
    <col min="6" max="6" width="10" customWidth="1"/>
    <col min="7" max="7" width="8.140625" customWidth="1"/>
    <col min="8" max="8" width="0.85546875" customWidth="1"/>
    <col min="9" max="10" width="5.140625" customWidth="1"/>
    <col min="11" max="11" width="6.7109375" customWidth="1"/>
    <col min="12" max="12" width="3.140625" customWidth="1"/>
    <col min="13" max="13" width="10.28515625" customWidth="1"/>
  </cols>
  <sheetData>
    <row r="1" spans="1:13" ht="11.85" customHeight="1" x14ac:dyDescent="0.25">
      <c r="A1" s="904" t="s">
        <v>539</v>
      </c>
      <c r="B1" s="904"/>
      <c r="C1" s="904"/>
      <c r="D1" s="904"/>
      <c r="L1" s="980" t="s">
        <v>540</v>
      </c>
      <c r="M1" s="980"/>
    </row>
    <row r="2" spans="1:13" ht="11.1" customHeight="1" x14ac:dyDescent="0.25">
      <c r="A2" s="904" t="s">
        <v>467</v>
      </c>
      <c r="B2" s="904"/>
      <c r="C2" s="904"/>
      <c r="D2" s="904"/>
    </row>
    <row r="3" spans="1:13" ht="11.85" customHeight="1" x14ac:dyDescent="0.25">
      <c r="A3" s="905" t="s">
        <v>682</v>
      </c>
      <c r="B3" s="905"/>
      <c r="C3" s="905"/>
      <c r="D3" s="905"/>
    </row>
    <row r="4" spans="1:13" ht="11.85" customHeight="1" x14ac:dyDescent="0.25">
      <c r="A4" s="904" t="s">
        <v>587</v>
      </c>
      <c r="B4" s="904"/>
      <c r="C4" s="904"/>
      <c r="D4" s="904"/>
    </row>
    <row r="5" spans="1:13" ht="11.85" customHeight="1" x14ac:dyDescent="0.25">
      <c r="A5" s="904" t="s">
        <v>1852</v>
      </c>
      <c r="B5" s="904"/>
      <c r="C5" s="904"/>
      <c r="D5" s="904"/>
    </row>
    <row r="6" spans="1:13" ht="5.85" customHeight="1" x14ac:dyDescent="0.25"/>
    <row r="7" spans="1:13" ht="11.1" customHeight="1" x14ac:dyDescent="0.25">
      <c r="A7" s="783" t="s">
        <v>683</v>
      </c>
      <c r="B7" s="425"/>
      <c r="C7" s="425"/>
      <c r="D7" s="425"/>
      <c r="E7" s="425"/>
      <c r="F7" s="425"/>
      <c r="G7" s="425"/>
      <c r="H7" s="425"/>
      <c r="I7" s="425"/>
      <c r="J7" s="981" t="s">
        <v>537</v>
      </c>
      <c r="K7" s="981"/>
      <c r="L7" s="981"/>
      <c r="M7" s="981"/>
    </row>
    <row r="8" spans="1:13" ht="11.85" customHeight="1" x14ac:dyDescent="0.25">
      <c r="A8" s="897" t="s">
        <v>684</v>
      </c>
      <c r="B8" s="898"/>
      <c r="C8" s="898"/>
      <c r="D8" s="898"/>
      <c r="E8" s="898"/>
      <c r="F8" s="898"/>
      <c r="G8" s="898"/>
      <c r="H8" s="898"/>
      <c r="I8" s="898"/>
      <c r="J8" s="898"/>
      <c r="K8" s="898"/>
      <c r="L8" s="898"/>
      <c r="M8" s="899"/>
    </row>
    <row r="9" spans="1:13" ht="11.85" customHeight="1" x14ac:dyDescent="0.25">
      <c r="A9" s="897" t="s">
        <v>685</v>
      </c>
      <c r="B9" s="955"/>
      <c r="C9" s="955"/>
      <c r="D9" s="955"/>
      <c r="E9" s="949"/>
      <c r="F9" s="983" t="s">
        <v>476</v>
      </c>
      <c r="G9" s="926" t="s">
        <v>1034</v>
      </c>
      <c r="H9" s="927"/>
      <c r="I9" s="927"/>
      <c r="J9" s="927"/>
      <c r="K9" s="927"/>
      <c r="L9" s="927"/>
      <c r="M9" s="928"/>
    </row>
    <row r="10" spans="1:13" ht="28.9" customHeight="1" x14ac:dyDescent="0.25">
      <c r="A10" s="950"/>
      <c r="B10" s="982"/>
      <c r="C10" s="982"/>
      <c r="D10" s="982"/>
      <c r="E10" s="951"/>
      <c r="F10" s="984"/>
      <c r="G10" s="986" t="s">
        <v>477</v>
      </c>
      <c r="H10" s="987"/>
      <c r="I10" s="987"/>
      <c r="J10" s="987"/>
      <c r="K10" s="987"/>
      <c r="L10" s="987"/>
      <c r="M10" s="988"/>
    </row>
    <row r="11" spans="1:13" ht="11.85" customHeight="1" x14ac:dyDescent="0.25">
      <c r="A11" s="952"/>
      <c r="B11" s="957"/>
      <c r="C11" s="957"/>
      <c r="D11" s="957"/>
      <c r="E11" s="953"/>
      <c r="F11" s="985"/>
      <c r="G11" s="989" t="s">
        <v>504</v>
      </c>
      <c r="H11" s="990"/>
      <c r="I11" s="990"/>
      <c r="J11" s="990"/>
      <c r="K11" s="990"/>
      <c r="L11" s="990"/>
      <c r="M11" s="991"/>
    </row>
    <row r="12" spans="1:13" ht="11.85" customHeight="1" x14ac:dyDescent="0.25">
      <c r="A12" s="977" t="s">
        <v>1035</v>
      </c>
      <c r="B12" s="978"/>
      <c r="C12" s="978"/>
      <c r="D12" s="978"/>
      <c r="E12" s="979"/>
      <c r="F12" s="800" t="s">
        <v>2099</v>
      </c>
      <c r="G12" s="886" t="s">
        <v>2100</v>
      </c>
      <c r="H12" s="888"/>
      <c r="I12" s="888"/>
      <c r="J12" s="888"/>
      <c r="K12" s="888"/>
      <c r="L12" s="888"/>
      <c r="M12" s="887"/>
    </row>
    <row r="13" spans="1:13" ht="11.1" customHeight="1" x14ac:dyDescent="0.25">
      <c r="A13" s="974" t="s">
        <v>1036</v>
      </c>
      <c r="B13" s="975"/>
      <c r="C13" s="975"/>
      <c r="D13" s="975"/>
      <c r="E13" s="976"/>
      <c r="F13" s="784" t="s">
        <v>827</v>
      </c>
      <c r="G13" s="881" t="s">
        <v>1869</v>
      </c>
      <c r="H13" s="882"/>
      <c r="I13" s="882"/>
      <c r="J13" s="882"/>
      <c r="K13" s="882"/>
      <c r="L13" s="882"/>
      <c r="M13" s="883"/>
    </row>
    <row r="14" spans="1:13" ht="11.85" customHeight="1" x14ac:dyDescent="0.25">
      <c r="A14" s="974" t="s">
        <v>124</v>
      </c>
      <c r="B14" s="975"/>
      <c r="C14" s="975"/>
      <c r="D14" s="975"/>
      <c r="E14" s="976"/>
      <c r="F14" s="784" t="s">
        <v>1037</v>
      </c>
      <c r="G14" s="881" t="s">
        <v>2101</v>
      </c>
      <c r="H14" s="882"/>
      <c r="I14" s="882"/>
      <c r="J14" s="882"/>
      <c r="K14" s="882"/>
      <c r="L14" s="882"/>
      <c r="M14" s="883"/>
    </row>
    <row r="15" spans="1:13" ht="11.85" customHeight="1" x14ac:dyDescent="0.25">
      <c r="A15" s="974" t="s">
        <v>1038</v>
      </c>
      <c r="B15" s="975"/>
      <c r="C15" s="975"/>
      <c r="D15" s="975"/>
      <c r="E15" s="976"/>
      <c r="F15" s="784" t="s">
        <v>1039</v>
      </c>
      <c r="G15" s="881" t="s">
        <v>2102</v>
      </c>
      <c r="H15" s="882"/>
      <c r="I15" s="882"/>
      <c r="J15" s="882"/>
      <c r="K15" s="882"/>
      <c r="L15" s="882"/>
      <c r="M15" s="883"/>
    </row>
    <row r="16" spans="1:13" ht="11.85" customHeight="1" x14ac:dyDescent="0.25">
      <c r="A16" s="974" t="s">
        <v>125</v>
      </c>
      <c r="B16" s="975"/>
      <c r="C16" s="975"/>
      <c r="D16" s="975"/>
      <c r="E16" s="976"/>
      <c r="F16" s="784" t="s">
        <v>1040</v>
      </c>
      <c r="G16" s="881" t="s">
        <v>2103</v>
      </c>
      <c r="H16" s="882"/>
      <c r="I16" s="882"/>
      <c r="J16" s="882"/>
      <c r="K16" s="882"/>
      <c r="L16" s="882"/>
      <c r="M16" s="883"/>
    </row>
    <row r="17" spans="1:13" ht="11.1" customHeight="1" x14ac:dyDescent="0.25">
      <c r="A17" s="974" t="s">
        <v>123</v>
      </c>
      <c r="B17" s="975"/>
      <c r="C17" s="975"/>
      <c r="D17" s="975"/>
      <c r="E17" s="976"/>
      <c r="F17" s="784" t="s">
        <v>1041</v>
      </c>
      <c r="G17" s="881" t="s">
        <v>2104</v>
      </c>
      <c r="H17" s="882"/>
      <c r="I17" s="882"/>
      <c r="J17" s="882"/>
      <c r="K17" s="882"/>
      <c r="L17" s="882"/>
      <c r="M17" s="883"/>
    </row>
    <row r="18" spans="1:13" ht="11.85" customHeight="1" x14ac:dyDescent="0.25">
      <c r="A18" s="974" t="s">
        <v>1042</v>
      </c>
      <c r="B18" s="975"/>
      <c r="C18" s="975"/>
      <c r="D18" s="975"/>
      <c r="E18" s="976"/>
      <c r="F18" s="784" t="s">
        <v>1043</v>
      </c>
      <c r="G18" s="881" t="s">
        <v>2105</v>
      </c>
      <c r="H18" s="882"/>
      <c r="I18" s="882"/>
      <c r="J18" s="882"/>
      <c r="K18" s="882"/>
      <c r="L18" s="882"/>
      <c r="M18" s="883"/>
    </row>
    <row r="19" spans="1:13" ht="11.85" customHeight="1" x14ac:dyDescent="0.25">
      <c r="A19" s="974" t="s">
        <v>1044</v>
      </c>
      <c r="B19" s="975"/>
      <c r="C19" s="975"/>
      <c r="D19" s="975"/>
      <c r="E19" s="976"/>
      <c r="F19" s="784" t="s">
        <v>2106</v>
      </c>
      <c r="G19" s="881" t="s">
        <v>2107</v>
      </c>
      <c r="H19" s="882"/>
      <c r="I19" s="882"/>
      <c r="J19" s="882"/>
      <c r="K19" s="882"/>
      <c r="L19" s="882"/>
      <c r="M19" s="883"/>
    </row>
    <row r="20" spans="1:13" ht="11.85" customHeight="1" x14ac:dyDescent="0.25">
      <c r="A20" s="974" t="s">
        <v>944</v>
      </c>
      <c r="B20" s="975"/>
      <c r="C20" s="975"/>
      <c r="D20" s="975"/>
      <c r="E20" s="976"/>
      <c r="F20" s="784" t="s">
        <v>2108</v>
      </c>
      <c r="G20" s="881" t="s">
        <v>2109</v>
      </c>
      <c r="H20" s="882"/>
      <c r="I20" s="882"/>
      <c r="J20" s="882"/>
      <c r="K20" s="882"/>
      <c r="L20" s="882"/>
      <c r="M20" s="883"/>
    </row>
    <row r="21" spans="1:13" ht="11.1" customHeight="1" x14ac:dyDescent="0.25">
      <c r="A21" s="974" t="s">
        <v>1045</v>
      </c>
      <c r="B21" s="975"/>
      <c r="C21" s="975"/>
      <c r="D21" s="975"/>
      <c r="E21" s="976"/>
      <c r="F21" s="784" t="s">
        <v>2110</v>
      </c>
      <c r="G21" s="881" t="s">
        <v>2111</v>
      </c>
      <c r="H21" s="882"/>
      <c r="I21" s="882"/>
      <c r="J21" s="882"/>
      <c r="K21" s="882"/>
      <c r="L21" s="882"/>
      <c r="M21" s="883"/>
    </row>
    <row r="22" spans="1:13" ht="11.85" customHeight="1" x14ac:dyDescent="0.25">
      <c r="A22" s="974" t="s">
        <v>948</v>
      </c>
      <c r="B22" s="975"/>
      <c r="C22" s="975"/>
      <c r="D22" s="975"/>
      <c r="E22" s="976"/>
      <c r="F22" s="784" t="s">
        <v>839</v>
      </c>
      <c r="G22" s="881" t="s">
        <v>2112</v>
      </c>
      <c r="H22" s="882"/>
      <c r="I22" s="882"/>
      <c r="J22" s="882"/>
      <c r="K22" s="882"/>
      <c r="L22" s="882"/>
      <c r="M22" s="883"/>
    </row>
    <row r="23" spans="1:13" ht="11.85" customHeight="1" x14ac:dyDescent="0.25">
      <c r="A23" s="974" t="s">
        <v>1046</v>
      </c>
      <c r="B23" s="975"/>
      <c r="C23" s="975"/>
      <c r="D23" s="975"/>
      <c r="E23" s="976"/>
      <c r="F23" s="784" t="s">
        <v>1928</v>
      </c>
      <c r="G23" s="881" t="s">
        <v>1931</v>
      </c>
      <c r="H23" s="882"/>
      <c r="I23" s="882"/>
      <c r="J23" s="882"/>
      <c r="K23" s="882"/>
      <c r="L23" s="882"/>
      <c r="M23" s="883"/>
    </row>
    <row r="24" spans="1:13" ht="11.85" customHeight="1" x14ac:dyDescent="0.25">
      <c r="A24" s="974" t="s">
        <v>1047</v>
      </c>
      <c r="B24" s="975"/>
      <c r="C24" s="975"/>
      <c r="D24" s="975"/>
      <c r="E24" s="976"/>
      <c r="F24" s="784" t="s">
        <v>1048</v>
      </c>
      <c r="G24" s="881" t="s">
        <v>2113</v>
      </c>
      <c r="H24" s="882"/>
      <c r="I24" s="882"/>
      <c r="J24" s="882"/>
      <c r="K24" s="882"/>
      <c r="L24" s="882"/>
      <c r="M24" s="883"/>
    </row>
    <row r="25" spans="1:13" ht="11.1" customHeight="1" x14ac:dyDescent="0.25">
      <c r="A25" s="974" t="s">
        <v>1049</v>
      </c>
      <c r="B25" s="975"/>
      <c r="C25" s="975"/>
      <c r="D25" s="975"/>
      <c r="E25" s="976"/>
      <c r="F25" s="784" t="s">
        <v>1050</v>
      </c>
      <c r="G25" s="881" t="s">
        <v>2114</v>
      </c>
      <c r="H25" s="882"/>
      <c r="I25" s="882"/>
      <c r="J25" s="882"/>
      <c r="K25" s="882"/>
      <c r="L25" s="882"/>
      <c r="M25" s="883"/>
    </row>
    <row r="26" spans="1:13" ht="11.85" customHeight="1" x14ac:dyDescent="0.25">
      <c r="A26" s="974" t="s">
        <v>1051</v>
      </c>
      <c r="B26" s="975"/>
      <c r="C26" s="975"/>
      <c r="D26" s="975"/>
      <c r="E26" s="976"/>
      <c r="F26" s="784" t="s">
        <v>1052</v>
      </c>
      <c r="G26" s="881" t="s">
        <v>2115</v>
      </c>
      <c r="H26" s="882"/>
      <c r="I26" s="882"/>
      <c r="J26" s="882"/>
      <c r="K26" s="882"/>
      <c r="L26" s="882"/>
      <c r="M26" s="883"/>
    </row>
    <row r="27" spans="1:13" ht="11.85" customHeight="1" x14ac:dyDescent="0.25">
      <c r="A27" s="974" t="s">
        <v>1053</v>
      </c>
      <c r="B27" s="975"/>
      <c r="C27" s="975"/>
      <c r="D27" s="975"/>
      <c r="E27" s="976"/>
      <c r="F27" s="784" t="s">
        <v>1054</v>
      </c>
      <c r="G27" s="881" t="s">
        <v>2116</v>
      </c>
      <c r="H27" s="882"/>
      <c r="I27" s="882"/>
      <c r="J27" s="882"/>
      <c r="K27" s="882"/>
      <c r="L27" s="882"/>
      <c r="M27" s="883"/>
    </row>
    <row r="28" spans="1:13" ht="11.85" customHeight="1" x14ac:dyDescent="0.25">
      <c r="A28" s="974" t="s">
        <v>1055</v>
      </c>
      <c r="B28" s="975"/>
      <c r="C28" s="975"/>
      <c r="D28" s="975"/>
      <c r="E28" s="976"/>
      <c r="F28" s="784" t="s">
        <v>1056</v>
      </c>
      <c r="G28" s="881" t="s">
        <v>2117</v>
      </c>
      <c r="H28" s="882"/>
      <c r="I28" s="882"/>
      <c r="J28" s="882"/>
      <c r="K28" s="882"/>
      <c r="L28" s="882"/>
      <c r="M28" s="883"/>
    </row>
    <row r="29" spans="1:13" ht="11.1" customHeight="1" x14ac:dyDescent="0.25">
      <c r="A29" s="974" t="s">
        <v>1057</v>
      </c>
      <c r="B29" s="975"/>
      <c r="C29" s="975"/>
      <c r="D29" s="975"/>
      <c r="E29" s="976"/>
      <c r="F29" s="784" t="s">
        <v>2118</v>
      </c>
      <c r="G29" s="881" t="s">
        <v>2119</v>
      </c>
      <c r="H29" s="882"/>
      <c r="I29" s="882"/>
      <c r="J29" s="882"/>
      <c r="K29" s="882"/>
      <c r="L29" s="882"/>
      <c r="M29" s="883"/>
    </row>
    <row r="30" spans="1:13" ht="11.85" customHeight="1" x14ac:dyDescent="0.25">
      <c r="A30" s="974" t="s">
        <v>1058</v>
      </c>
      <c r="B30" s="975"/>
      <c r="C30" s="975"/>
      <c r="D30" s="975"/>
      <c r="E30" s="976"/>
      <c r="F30" s="784" t="s">
        <v>2120</v>
      </c>
      <c r="G30" s="881" t="s">
        <v>2121</v>
      </c>
      <c r="H30" s="882"/>
      <c r="I30" s="882"/>
      <c r="J30" s="882"/>
      <c r="K30" s="882"/>
      <c r="L30" s="882"/>
      <c r="M30" s="883"/>
    </row>
    <row r="31" spans="1:13" ht="11.85" customHeight="1" x14ac:dyDescent="0.25">
      <c r="A31" s="974" t="s">
        <v>872</v>
      </c>
      <c r="B31" s="975"/>
      <c r="C31" s="975"/>
      <c r="D31" s="975"/>
      <c r="E31" s="976"/>
      <c r="F31" s="784" t="s">
        <v>1059</v>
      </c>
      <c r="G31" s="881" t="s">
        <v>2122</v>
      </c>
      <c r="H31" s="882"/>
      <c r="I31" s="882"/>
      <c r="J31" s="882"/>
      <c r="K31" s="882"/>
      <c r="L31" s="882"/>
      <c r="M31" s="883"/>
    </row>
    <row r="32" spans="1:13" ht="11.85" customHeight="1" x14ac:dyDescent="0.25">
      <c r="A32" s="974" t="s">
        <v>1060</v>
      </c>
      <c r="B32" s="975"/>
      <c r="C32" s="975"/>
      <c r="D32" s="975"/>
      <c r="E32" s="976"/>
      <c r="F32" s="784" t="s">
        <v>1061</v>
      </c>
      <c r="G32" s="881" t="s">
        <v>2123</v>
      </c>
      <c r="H32" s="882"/>
      <c r="I32" s="882"/>
      <c r="J32" s="882"/>
      <c r="K32" s="882"/>
      <c r="L32" s="882"/>
      <c r="M32" s="883"/>
    </row>
    <row r="33" spans="1:13" ht="11.1" customHeight="1" x14ac:dyDescent="0.25">
      <c r="A33" s="974" t="s">
        <v>1062</v>
      </c>
      <c r="B33" s="975"/>
      <c r="C33" s="975"/>
      <c r="D33" s="975"/>
      <c r="E33" s="976"/>
      <c r="F33" s="784" t="s">
        <v>1063</v>
      </c>
      <c r="G33" s="881" t="s">
        <v>2124</v>
      </c>
      <c r="H33" s="882"/>
      <c r="I33" s="882"/>
      <c r="J33" s="882"/>
      <c r="K33" s="882"/>
      <c r="L33" s="882"/>
      <c r="M33" s="883"/>
    </row>
    <row r="34" spans="1:13" ht="9.75" customHeight="1" x14ac:dyDescent="0.25">
      <c r="A34" s="974" t="s">
        <v>1064</v>
      </c>
      <c r="B34" s="975"/>
      <c r="C34" s="975"/>
      <c r="D34" s="975"/>
      <c r="E34" s="976"/>
      <c r="F34" s="784" t="s">
        <v>2125</v>
      </c>
      <c r="G34" s="881" t="s">
        <v>2126</v>
      </c>
      <c r="H34" s="882"/>
      <c r="I34" s="882"/>
      <c r="J34" s="882"/>
      <c r="K34" s="882"/>
      <c r="L34" s="882"/>
      <c r="M34" s="883"/>
    </row>
    <row r="35" spans="1:13" ht="35.450000000000003" customHeight="1" x14ac:dyDescent="0.25">
      <c r="A35" s="974" t="s">
        <v>1065</v>
      </c>
      <c r="B35" s="975"/>
      <c r="C35" s="975"/>
      <c r="D35" s="975"/>
      <c r="E35" s="976"/>
      <c r="F35" s="784" t="s">
        <v>2127</v>
      </c>
      <c r="G35" s="881" t="s">
        <v>2128</v>
      </c>
      <c r="H35" s="882"/>
      <c r="I35" s="882"/>
      <c r="J35" s="882"/>
      <c r="K35" s="882"/>
      <c r="L35" s="882"/>
      <c r="M35" s="883"/>
    </row>
    <row r="36" spans="1:13" ht="11.1" customHeight="1" x14ac:dyDescent="0.25">
      <c r="A36" s="974" t="s">
        <v>1066</v>
      </c>
      <c r="B36" s="975"/>
      <c r="C36" s="975"/>
      <c r="D36" s="975"/>
      <c r="E36" s="976"/>
      <c r="F36" s="784" t="s">
        <v>1067</v>
      </c>
      <c r="G36" s="881" t="s">
        <v>2129</v>
      </c>
      <c r="H36" s="882"/>
      <c r="I36" s="882"/>
      <c r="J36" s="882"/>
      <c r="K36" s="882"/>
      <c r="L36" s="882"/>
      <c r="M36" s="883"/>
    </row>
    <row r="37" spans="1:13" ht="11.85" customHeight="1" x14ac:dyDescent="0.25">
      <c r="A37" s="974" t="s">
        <v>1068</v>
      </c>
      <c r="B37" s="975"/>
      <c r="C37" s="975"/>
      <c r="D37" s="975"/>
      <c r="E37" s="976"/>
      <c r="F37" s="784" t="s">
        <v>1973</v>
      </c>
      <c r="G37" s="881" t="s">
        <v>1976</v>
      </c>
      <c r="H37" s="882"/>
      <c r="I37" s="882"/>
      <c r="J37" s="882"/>
      <c r="K37" s="882"/>
      <c r="L37" s="882"/>
      <c r="M37" s="883"/>
    </row>
    <row r="38" spans="1:13" ht="11.85" customHeight="1" x14ac:dyDescent="0.25">
      <c r="A38" s="974" t="s">
        <v>1069</v>
      </c>
      <c r="B38" s="975"/>
      <c r="C38" s="975"/>
      <c r="D38" s="975"/>
      <c r="E38" s="976"/>
      <c r="F38" s="784" t="s">
        <v>583</v>
      </c>
      <c r="G38" s="881" t="s">
        <v>479</v>
      </c>
      <c r="H38" s="882"/>
      <c r="I38" s="882"/>
      <c r="J38" s="882"/>
      <c r="K38" s="882"/>
      <c r="L38" s="882"/>
      <c r="M38" s="883"/>
    </row>
    <row r="39" spans="1:13" ht="11.85" customHeight="1" x14ac:dyDescent="0.25">
      <c r="A39" s="974" t="s">
        <v>1070</v>
      </c>
      <c r="B39" s="975"/>
      <c r="C39" s="975"/>
      <c r="D39" s="975"/>
      <c r="E39" s="976"/>
      <c r="F39" s="784" t="s">
        <v>878</v>
      </c>
      <c r="G39" s="881" t="s">
        <v>479</v>
      </c>
      <c r="H39" s="882"/>
      <c r="I39" s="882"/>
      <c r="J39" s="882"/>
      <c r="K39" s="882"/>
      <c r="L39" s="882"/>
      <c r="M39" s="883"/>
    </row>
    <row r="40" spans="1:13" ht="11.1" customHeight="1" x14ac:dyDescent="0.25">
      <c r="A40" s="974" t="s">
        <v>1071</v>
      </c>
      <c r="B40" s="975"/>
      <c r="C40" s="975"/>
      <c r="D40" s="975"/>
      <c r="E40" s="976"/>
      <c r="F40" s="784" t="s">
        <v>479</v>
      </c>
      <c r="G40" s="881" t="s">
        <v>479</v>
      </c>
      <c r="H40" s="882"/>
      <c r="I40" s="882"/>
      <c r="J40" s="882"/>
      <c r="K40" s="882"/>
      <c r="L40" s="882"/>
      <c r="M40" s="883"/>
    </row>
    <row r="41" spans="1:13" ht="11.85" customHeight="1" x14ac:dyDescent="0.25">
      <c r="A41" s="974" t="s">
        <v>1072</v>
      </c>
      <c r="B41" s="975"/>
      <c r="C41" s="975"/>
      <c r="D41" s="975"/>
      <c r="E41" s="976"/>
      <c r="F41" s="784" t="s">
        <v>479</v>
      </c>
      <c r="G41" s="881" t="s">
        <v>479</v>
      </c>
      <c r="H41" s="882"/>
      <c r="I41" s="882"/>
      <c r="J41" s="882"/>
      <c r="K41" s="882"/>
      <c r="L41" s="882"/>
      <c r="M41" s="883"/>
    </row>
    <row r="42" spans="1:13" ht="11.85" customHeight="1" x14ac:dyDescent="0.25">
      <c r="A42" s="974" t="s">
        <v>1073</v>
      </c>
      <c r="B42" s="975"/>
      <c r="C42" s="975"/>
      <c r="D42" s="975"/>
      <c r="E42" s="976"/>
      <c r="F42" s="784" t="s">
        <v>479</v>
      </c>
      <c r="G42" s="881" t="s">
        <v>479</v>
      </c>
      <c r="H42" s="882"/>
      <c r="I42" s="882"/>
      <c r="J42" s="882"/>
      <c r="K42" s="882"/>
      <c r="L42" s="882"/>
      <c r="M42" s="883"/>
    </row>
    <row r="43" spans="1:13" ht="9" customHeight="1" x14ac:dyDescent="0.25">
      <c r="A43" s="974" t="s">
        <v>1074</v>
      </c>
      <c r="B43" s="975"/>
      <c r="C43" s="975"/>
      <c r="D43" s="975"/>
      <c r="E43" s="976"/>
      <c r="F43" s="784" t="s">
        <v>479</v>
      </c>
      <c r="G43" s="881" t="s">
        <v>479</v>
      </c>
      <c r="H43" s="882"/>
      <c r="I43" s="882"/>
      <c r="J43" s="882"/>
      <c r="K43" s="882"/>
      <c r="L43" s="882"/>
      <c r="M43" s="883"/>
    </row>
    <row r="44" spans="1:13" ht="11.1" customHeight="1" x14ac:dyDescent="0.25">
      <c r="A44" s="974" t="s">
        <v>1075</v>
      </c>
      <c r="B44" s="975"/>
      <c r="C44" s="975"/>
      <c r="D44" s="975"/>
      <c r="E44" s="976"/>
      <c r="F44" s="784" t="s">
        <v>1979</v>
      </c>
      <c r="G44" s="881" t="s">
        <v>1982</v>
      </c>
      <c r="H44" s="882"/>
      <c r="I44" s="882"/>
      <c r="J44" s="882"/>
      <c r="K44" s="882"/>
      <c r="L44" s="882"/>
      <c r="M44" s="883"/>
    </row>
    <row r="45" spans="1:13" ht="5.85" customHeight="1" x14ac:dyDescent="0.25">
      <c r="A45" s="974" t="s">
        <v>1076</v>
      </c>
      <c r="B45" s="975"/>
      <c r="C45" s="975"/>
      <c r="D45" s="975"/>
      <c r="E45" s="976"/>
      <c r="F45" s="784" t="s">
        <v>2130</v>
      </c>
      <c r="G45" s="881" t="s">
        <v>2131</v>
      </c>
      <c r="H45" s="882"/>
      <c r="I45" s="882"/>
      <c r="J45" s="882"/>
      <c r="K45" s="882"/>
      <c r="L45" s="882"/>
      <c r="M45" s="883"/>
    </row>
    <row r="46" spans="1:13" ht="11.85" customHeight="1" x14ac:dyDescent="0.25">
      <c r="A46" s="974" t="s">
        <v>1077</v>
      </c>
      <c r="B46" s="975"/>
      <c r="C46" s="975"/>
      <c r="D46" s="975"/>
      <c r="E46" s="976"/>
      <c r="F46" s="784" t="s">
        <v>1211</v>
      </c>
      <c r="G46" s="881" t="s">
        <v>1211</v>
      </c>
      <c r="H46" s="882"/>
      <c r="I46" s="882"/>
      <c r="J46" s="882"/>
      <c r="K46" s="882"/>
      <c r="L46" s="882"/>
      <c r="M46" s="883"/>
    </row>
    <row r="47" spans="1:13" ht="11.85" customHeight="1" x14ac:dyDescent="0.25">
      <c r="A47" s="974" t="s">
        <v>958</v>
      </c>
      <c r="B47" s="975"/>
      <c r="C47" s="975"/>
      <c r="D47" s="975"/>
      <c r="E47" s="976"/>
      <c r="F47" s="784" t="s">
        <v>883</v>
      </c>
      <c r="G47" s="881" t="s">
        <v>1990</v>
      </c>
      <c r="H47" s="882"/>
      <c r="I47" s="882"/>
      <c r="J47" s="882"/>
      <c r="K47" s="882"/>
      <c r="L47" s="882"/>
      <c r="M47" s="883"/>
    </row>
    <row r="48" spans="1:13" ht="11.1" customHeight="1" x14ac:dyDescent="0.25">
      <c r="A48" s="974" t="s">
        <v>1078</v>
      </c>
      <c r="B48" s="975"/>
      <c r="C48" s="975"/>
      <c r="D48" s="975"/>
      <c r="E48" s="976"/>
      <c r="F48" s="784" t="s">
        <v>479</v>
      </c>
      <c r="G48" s="881" t="s">
        <v>479</v>
      </c>
      <c r="H48" s="882"/>
      <c r="I48" s="882"/>
      <c r="J48" s="882"/>
      <c r="K48" s="882"/>
      <c r="L48" s="882"/>
      <c r="M48" s="883"/>
    </row>
    <row r="49" spans="1:13" ht="11.85" customHeight="1" x14ac:dyDescent="0.25">
      <c r="A49" s="974" t="s">
        <v>1079</v>
      </c>
      <c r="B49" s="975"/>
      <c r="C49" s="975"/>
      <c r="D49" s="975"/>
      <c r="E49" s="976"/>
      <c r="F49" s="784" t="s">
        <v>883</v>
      </c>
      <c r="G49" s="881" t="s">
        <v>1990</v>
      </c>
      <c r="H49" s="882"/>
      <c r="I49" s="882"/>
      <c r="J49" s="882"/>
      <c r="K49" s="882"/>
      <c r="L49" s="882"/>
      <c r="M49" s="883"/>
    </row>
    <row r="50" spans="1:13" ht="11.85" customHeight="1" x14ac:dyDescent="0.25">
      <c r="A50" s="974" t="s">
        <v>1080</v>
      </c>
      <c r="B50" s="975"/>
      <c r="C50" s="975"/>
      <c r="D50" s="975"/>
      <c r="E50" s="976"/>
      <c r="F50" s="784" t="s">
        <v>2132</v>
      </c>
      <c r="G50" s="881" t="s">
        <v>1976</v>
      </c>
      <c r="H50" s="882"/>
      <c r="I50" s="882"/>
      <c r="J50" s="882"/>
      <c r="K50" s="882"/>
      <c r="L50" s="882"/>
      <c r="M50" s="883"/>
    </row>
    <row r="51" spans="1:13" ht="11.85" customHeight="1" x14ac:dyDescent="0.25">
      <c r="A51" s="974" t="s">
        <v>1081</v>
      </c>
      <c r="B51" s="975"/>
      <c r="C51" s="975"/>
      <c r="D51" s="975"/>
      <c r="E51" s="976"/>
      <c r="F51" s="784" t="s">
        <v>479</v>
      </c>
      <c r="G51" s="881" t="s">
        <v>479</v>
      </c>
      <c r="H51" s="882"/>
      <c r="I51" s="882"/>
      <c r="J51" s="882"/>
      <c r="K51" s="882"/>
      <c r="L51" s="882"/>
      <c r="M51" s="883"/>
    </row>
    <row r="52" spans="1:13" ht="5.85" customHeight="1" x14ac:dyDescent="0.25">
      <c r="A52" s="974" t="s">
        <v>1082</v>
      </c>
      <c r="B52" s="975"/>
      <c r="C52" s="975"/>
      <c r="D52" s="975"/>
      <c r="E52" s="976"/>
      <c r="F52" s="784" t="s">
        <v>479</v>
      </c>
      <c r="G52" s="881" t="s">
        <v>2084</v>
      </c>
      <c r="H52" s="882"/>
      <c r="I52" s="882"/>
      <c r="J52" s="882"/>
      <c r="K52" s="882"/>
      <c r="L52" s="882"/>
      <c r="M52" s="883"/>
    </row>
    <row r="53" spans="1:13" ht="11.1" customHeight="1" x14ac:dyDescent="0.25">
      <c r="A53" s="992" t="s">
        <v>1083</v>
      </c>
      <c r="B53" s="993"/>
      <c r="C53" s="993"/>
      <c r="D53" s="993"/>
      <c r="E53" s="994"/>
      <c r="F53" s="788" t="s">
        <v>2133</v>
      </c>
      <c r="G53" s="917" t="s">
        <v>2134</v>
      </c>
      <c r="H53" s="919"/>
      <c r="I53" s="919"/>
      <c r="J53" s="919"/>
      <c r="K53" s="919"/>
      <c r="L53" s="919"/>
      <c r="M53" s="918"/>
    </row>
    <row r="54" spans="1:13" ht="11.85" customHeight="1" x14ac:dyDescent="0.25">
      <c r="A54" s="995" t="s">
        <v>1084</v>
      </c>
      <c r="B54" s="996"/>
      <c r="C54" s="996"/>
      <c r="D54" s="996"/>
      <c r="E54" s="997"/>
      <c r="F54" s="803" t="s">
        <v>2135</v>
      </c>
      <c r="G54" s="961" t="s">
        <v>2136</v>
      </c>
      <c r="H54" s="962"/>
      <c r="I54" s="962"/>
      <c r="J54" s="962"/>
      <c r="K54" s="962"/>
      <c r="L54" s="962"/>
      <c r="M54" s="963"/>
    </row>
    <row r="55" spans="1:13" ht="11.85" customHeight="1" x14ac:dyDescent="0.25">
      <c r="A55" s="427"/>
      <c r="B55" s="427"/>
      <c r="C55" s="427"/>
      <c r="D55" s="427"/>
      <c r="E55" s="427"/>
      <c r="F55" s="427"/>
      <c r="G55" s="427"/>
      <c r="H55" s="427"/>
      <c r="I55" s="427"/>
      <c r="J55" s="427"/>
      <c r="K55" s="427"/>
      <c r="L55" s="427"/>
      <c r="M55" s="427"/>
    </row>
    <row r="56" spans="1:13" ht="11.85" customHeight="1" x14ac:dyDescent="0.25">
      <c r="A56" s="897" t="s">
        <v>686</v>
      </c>
      <c r="B56" s="949"/>
      <c r="C56" s="983" t="s">
        <v>483</v>
      </c>
      <c r="D56" s="926" t="s">
        <v>1034</v>
      </c>
      <c r="E56" s="927"/>
      <c r="F56" s="927"/>
      <c r="G56" s="927"/>
      <c r="H56" s="927"/>
      <c r="I56" s="927"/>
      <c r="J56" s="927"/>
      <c r="K56" s="927"/>
      <c r="L56" s="927"/>
      <c r="M56" s="928"/>
    </row>
    <row r="57" spans="1:13" ht="11.1" customHeight="1" x14ac:dyDescent="0.25">
      <c r="A57" s="950"/>
      <c r="B57" s="951"/>
      <c r="C57" s="984"/>
      <c r="D57" s="983" t="s">
        <v>484</v>
      </c>
      <c r="E57" s="998"/>
      <c r="F57" s="983" t="s">
        <v>485</v>
      </c>
      <c r="G57" s="1003" t="s">
        <v>486</v>
      </c>
      <c r="H57" s="998"/>
      <c r="I57" s="1003" t="s">
        <v>687</v>
      </c>
      <c r="J57" s="998"/>
      <c r="K57" s="983" t="s">
        <v>688</v>
      </c>
      <c r="L57" s="1004"/>
      <c r="M57" s="1005"/>
    </row>
    <row r="58" spans="1:13" ht="23.65" customHeight="1" x14ac:dyDescent="0.25">
      <c r="A58" s="950"/>
      <c r="B58" s="951"/>
      <c r="C58" s="984"/>
      <c r="D58" s="999"/>
      <c r="E58" s="1000"/>
      <c r="F58" s="984"/>
      <c r="G58" s="999"/>
      <c r="H58" s="1000"/>
      <c r="I58" s="999"/>
      <c r="J58" s="1000"/>
      <c r="K58" s="983" t="s">
        <v>689</v>
      </c>
      <c r="L58" s="998"/>
      <c r="M58" s="983" t="s">
        <v>690</v>
      </c>
    </row>
    <row r="59" spans="1:13" ht="11.85" customHeight="1" x14ac:dyDescent="0.25">
      <c r="A59" s="952"/>
      <c r="B59" s="953"/>
      <c r="C59" s="985"/>
      <c r="D59" s="1001"/>
      <c r="E59" s="1002"/>
      <c r="F59" s="985"/>
      <c r="G59" s="985" t="s">
        <v>504</v>
      </c>
      <c r="H59" s="1002"/>
      <c r="I59" s="985" t="s">
        <v>505</v>
      </c>
      <c r="J59" s="1002"/>
      <c r="K59" s="1001"/>
      <c r="L59" s="1002"/>
      <c r="M59" s="985"/>
    </row>
    <row r="60" spans="1:13" ht="11.1" customHeight="1" x14ac:dyDescent="0.25">
      <c r="A60" s="929" t="s">
        <v>1085</v>
      </c>
      <c r="B60" s="930"/>
      <c r="C60" s="800" t="s">
        <v>2137</v>
      </c>
      <c r="D60" s="886" t="s">
        <v>2138</v>
      </c>
      <c r="E60" s="887"/>
      <c r="F60" s="800" t="s">
        <v>2139</v>
      </c>
      <c r="G60" s="886" t="s">
        <v>2140</v>
      </c>
      <c r="H60" s="887"/>
      <c r="I60" s="886" t="s">
        <v>2141</v>
      </c>
      <c r="J60" s="887"/>
      <c r="K60" s="973" t="s">
        <v>2142</v>
      </c>
      <c r="L60" s="888"/>
      <c r="M60" s="801" t="s">
        <v>2143</v>
      </c>
    </row>
    <row r="61" spans="1:13" ht="11.85" customHeight="1" x14ac:dyDescent="0.25">
      <c r="A61" s="931" t="s">
        <v>1013</v>
      </c>
      <c r="B61" s="932"/>
      <c r="C61" s="784" t="s">
        <v>2144</v>
      </c>
      <c r="D61" s="881" t="s">
        <v>2145</v>
      </c>
      <c r="E61" s="883"/>
      <c r="F61" s="784" t="s">
        <v>2146</v>
      </c>
      <c r="G61" s="881" t="s">
        <v>2147</v>
      </c>
      <c r="H61" s="883"/>
      <c r="I61" s="881" t="s">
        <v>2148</v>
      </c>
      <c r="J61" s="883"/>
      <c r="K61" s="971" t="s">
        <v>1086</v>
      </c>
      <c r="L61" s="882"/>
      <c r="M61" s="785" t="s">
        <v>1086</v>
      </c>
    </row>
    <row r="62" spans="1:13" ht="11.85" customHeight="1" x14ac:dyDescent="0.25">
      <c r="A62" s="931" t="s">
        <v>1087</v>
      </c>
      <c r="B62" s="932"/>
      <c r="C62" s="784" t="s">
        <v>1088</v>
      </c>
      <c r="D62" s="881" t="s">
        <v>2032</v>
      </c>
      <c r="E62" s="883"/>
      <c r="F62" s="784" t="s">
        <v>2032</v>
      </c>
      <c r="G62" s="881" t="s">
        <v>1213</v>
      </c>
      <c r="H62" s="883"/>
      <c r="I62" s="881" t="s">
        <v>479</v>
      </c>
      <c r="J62" s="883"/>
      <c r="K62" s="971" t="s">
        <v>479</v>
      </c>
      <c r="L62" s="882"/>
      <c r="M62" s="785" t="s">
        <v>479</v>
      </c>
    </row>
    <row r="63" spans="1:13" ht="5.85" customHeight="1" x14ac:dyDescent="0.25">
      <c r="A63" s="931" t="s">
        <v>1089</v>
      </c>
      <c r="B63" s="932"/>
      <c r="C63" s="784" t="s">
        <v>2149</v>
      </c>
      <c r="D63" s="881" t="s">
        <v>2150</v>
      </c>
      <c r="E63" s="883"/>
      <c r="F63" s="784" t="s">
        <v>2151</v>
      </c>
      <c r="G63" s="881" t="s">
        <v>2152</v>
      </c>
      <c r="H63" s="883"/>
      <c r="I63" s="881" t="s">
        <v>2153</v>
      </c>
      <c r="J63" s="883"/>
      <c r="K63" s="971" t="s">
        <v>2154</v>
      </c>
      <c r="L63" s="882"/>
      <c r="M63" s="785" t="s">
        <v>2155</v>
      </c>
    </row>
    <row r="64" spans="1:13" ht="11.1" customHeight="1" x14ac:dyDescent="0.25">
      <c r="A64" s="969" t="s">
        <v>1090</v>
      </c>
      <c r="B64" s="932"/>
      <c r="C64" s="784" t="s">
        <v>2156</v>
      </c>
      <c r="D64" s="881" t="s">
        <v>2157</v>
      </c>
      <c r="E64" s="883"/>
      <c r="F64" s="784" t="s">
        <v>2158</v>
      </c>
      <c r="G64" s="881" t="s">
        <v>2159</v>
      </c>
      <c r="H64" s="883"/>
      <c r="I64" s="881" t="s">
        <v>2141</v>
      </c>
      <c r="J64" s="883"/>
      <c r="K64" s="971" t="s">
        <v>2142</v>
      </c>
      <c r="L64" s="882"/>
      <c r="M64" s="785" t="s">
        <v>2143</v>
      </c>
    </row>
    <row r="65" spans="1:13" ht="11.85" customHeight="1" x14ac:dyDescent="0.25">
      <c r="A65" s="969"/>
      <c r="B65" s="970"/>
    </row>
    <row r="66" spans="1:13" ht="11.85" customHeight="1" x14ac:dyDescent="0.25">
      <c r="A66" s="931" t="s">
        <v>1091</v>
      </c>
      <c r="B66" s="932"/>
      <c r="C66" s="784" t="s">
        <v>1092</v>
      </c>
      <c r="D66" s="881" t="s">
        <v>2160</v>
      </c>
      <c r="E66" s="883"/>
      <c r="F66" s="784" t="s">
        <v>2161</v>
      </c>
      <c r="G66" s="881" t="s">
        <v>2162</v>
      </c>
      <c r="H66" s="883"/>
      <c r="I66" s="881" t="s">
        <v>1093</v>
      </c>
      <c r="J66" s="883"/>
      <c r="K66" s="971" t="s">
        <v>479</v>
      </c>
      <c r="L66" s="882"/>
      <c r="M66" s="785" t="s">
        <v>479</v>
      </c>
    </row>
    <row r="67" spans="1:13" ht="11.85" customHeight="1" x14ac:dyDescent="0.25">
      <c r="A67" s="969" t="s">
        <v>1094</v>
      </c>
      <c r="B67" s="932"/>
      <c r="C67" s="784" t="s">
        <v>479</v>
      </c>
      <c r="D67" s="881" t="s">
        <v>479</v>
      </c>
      <c r="E67" s="883"/>
      <c r="F67" s="784" t="s">
        <v>479</v>
      </c>
      <c r="G67" s="881" t="s">
        <v>479</v>
      </c>
      <c r="H67" s="883"/>
      <c r="I67" s="881" t="s">
        <v>479</v>
      </c>
      <c r="J67" s="883"/>
      <c r="K67" s="971" t="s">
        <v>479</v>
      </c>
      <c r="L67" s="882"/>
      <c r="M67" s="785" t="s">
        <v>479</v>
      </c>
    </row>
    <row r="68" spans="1:13" ht="5.85" customHeight="1" x14ac:dyDescent="0.25">
      <c r="A68" s="969"/>
      <c r="B68" s="970"/>
    </row>
    <row r="69" spans="1:13" x14ac:dyDescent="0.25">
      <c r="A69" s="931" t="s">
        <v>1095</v>
      </c>
      <c r="B69" s="932"/>
      <c r="C69" s="784" t="s">
        <v>2163</v>
      </c>
      <c r="D69" s="881" t="s">
        <v>2044</v>
      </c>
      <c r="E69" s="883"/>
      <c r="F69" s="784" t="s">
        <v>2047</v>
      </c>
      <c r="G69" s="881" t="s">
        <v>2049</v>
      </c>
      <c r="H69" s="883"/>
      <c r="I69" s="881" t="s">
        <v>2164</v>
      </c>
      <c r="J69" s="883"/>
      <c r="K69" s="971" t="s">
        <v>2165</v>
      </c>
      <c r="L69" s="882"/>
      <c r="M69" s="785" t="s">
        <v>2166</v>
      </c>
    </row>
    <row r="71" spans="1:13" x14ac:dyDescent="0.25">
      <c r="A71" s="920" t="s">
        <v>2167</v>
      </c>
      <c r="B71" s="920"/>
      <c r="C71" s="920"/>
      <c r="D71" s="920"/>
      <c r="E71" s="920"/>
      <c r="F71" s="920"/>
      <c r="G71" s="920"/>
      <c r="H71" s="920"/>
      <c r="I71" s="920"/>
      <c r="J71" s="920"/>
      <c r="K71" s="920"/>
      <c r="L71" s="920"/>
      <c r="M71" s="920"/>
    </row>
    <row r="72" spans="1:13" x14ac:dyDescent="0.25">
      <c r="A72" s="904" t="s">
        <v>539</v>
      </c>
      <c r="B72" s="904"/>
      <c r="C72" s="904"/>
      <c r="D72" s="904"/>
      <c r="L72" s="980" t="s">
        <v>555</v>
      </c>
      <c r="M72" s="980"/>
    </row>
    <row r="73" spans="1:13" ht="11.85" customHeight="1" x14ac:dyDescent="0.25">
      <c r="A73" s="904" t="s">
        <v>467</v>
      </c>
      <c r="B73" s="904"/>
      <c r="C73" s="904"/>
      <c r="D73" s="904"/>
    </row>
    <row r="74" spans="1:13" ht="11.85" customHeight="1" x14ac:dyDescent="0.25">
      <c r="A74" s="905" t="s">
        <v>682</v>
      </c>
      <c r="B74" s="905"/>
      <c r="C74" s="905"/>
      <c r="D74" s="905"/>
    </row>
    <row r="75" spans="1:13" ht="11.1" customHeight="1" x14ac:dyDescent="0.25">
      <c r="A75" s="904" t="s">
        <v>587</v>
      </c>
      <c r="B75" s="904"/>
      <c r="C75" s="904"/>
      <c r="D75" s="904"/>
    </row>
    <row r="76" spans="1:13" ht="11.85" customHeight="1" x14ac:dyDescent="0.25">
      <c r="A76" s="904" t="s">
        <v>1852</v>
      </c>
      <c r="B76" s="904"/>
      <c r="C76" s="904"/>
      <c r="D76" s="904"/>
    </row>
    <row r="77" spans="1:13" ht="11.85" customHeight="1" x14ac:dyDescent="0.25"/>
    <row r="78" spans="1:13" ht="11.85" customHeight="1" x14ac:dyDescent="0.25">
      <c r="A78" s="931" t="s">
        <v>226</v>
      </c>
      <c r="B78" s="932"/>
      <c r="C78" s="784" t="s">
        <v>2168</v>
      </c>
      <c r="D78" s="881" t="s">
        <v>2044</v>
      </c>
      <c r="E78" s="883"/>
      <c r="F78" s="784" t="s">
        <v>2047</v>
      </c>
      <c r="G78" s="881" t="s">
        <v>2049</v>
      </c>
      <c r="H78" s="883"/>
      <c r="I78" s="881" t="s">
        <v>2169</v>
      </c>
      <c r="J78" s="883"/>
      <c r="K78" s="971" t="s">
        <v>2165</v>
      </c>
      <c r="L78" s="882"/>
      <c r="M78" s="785" t="s">
        <v>2166</v>
      </c>
    </row>
    <row r="79" spans="1:13" ht="5.85" customHeight="1" x14ac:dyDescent="0.25">
      <c r="A79" s="931" t="s">
        <v>438</v>
      </c>
      <c r="B79" s="932"/>
      <c r="C79" s="784" t="s">
        <v>1096</v>
      </c>
      <c r="D79" s="881" t="s">
        <v>479</v>
      </c>
      <c r="E79" s="883"/>
      <c r="F79" s="784" t="s">
        <v>479</v>
      </c>
      <c r="G79" s="881" t="s">
        <v>479</v>
      </c>
      <c r="H79" s="883"/>
      <c r="I79" s="881" t="s">
        <v>479</v>
      </c>
      <c r="J79" s="883"/>
      <c r="K79" s="971" t="s">
        <v>479</v>
      </c>
      <c r="L79" s="882"/>
      <c r="M79" s="785" t="s">
        <v>479</v>
      </c>
    </row>
    <row r="80" spans="1:13" ht="11.1" customHeight="1" x14ac:dyDescent="0.25">
      <c r="A80" s="931" t="s">
        <v>1097</v>
      </c>
      <c r="B80" s="932"/>
      <c r="C80" s="784" t="s">
        <v>479</v>
      </c>
      <c r="D80" s="881" t="s">
        <v>479</v>
      </c>
      <c r="E80" s="883"/>
      <c r="F80" s="784" t="s">
        <v>479</v>
      </c>
      <c r="G80" s="881" t="s">
        <v>479</v>
      </c>
      <c r="H80" s="883"/>
      <c r="I80" s="881" t="s">
        <v>479</v>
      </c>
      <c r="J80" s="883"/>
      <c r="K80" s="971" t="s">
        <v>479</v>
      </c>
      <c r="L80" s="882"/>
      <c r="M80" s="785" t="s">
        <v>479</v>
      </c>
    </row>
    <row r="81" spans="1:13" ht="11.85" customHeight="1" x14ac:dyDescent="0.25">
      <c r="A81" s="931" t="s">
        <v>1098</v>
      </c>
      <c r="B81" s="932"/>
      <c r="C81" s="784" t="s">
        <v>479</v>
      </c>
      <c r="D81" s="881" t="s">
        <v>479</v>
      </c>
      <c r="E81" s="883"/>
      <c r="F81" s="784" t="s">
        <v>479</v>
      </c>
      <c r="G81" s="881" t="s">
        <v>479</v>
      </c>
      <c r="H81" s="883"/>
      <c r="I81" s="881" t="s">
        <v>479</v>
      </c>
      <c r="J81" s="883"/>
      <c r="K81" s="971" t="s">
        <v>479</v>
      </c>
      <c r="L81" s="882"/>
      <c r="M81" s="785" t="s">
        <v>479</v>
      </c>
    </row>
    <row r="82" spans="1:13" ht="28.9" customHeight="1" x14ac:dyDescent="0.25">
      <c r="A82" s="931" t="s">
        <v>1099</v>
      </c>
      <c r="B82" s="932"/>
      <c r="C82" s="784" t="s">
        <v>479</v>
      </c>
      <c r="D82" s="881" t="s">
        <v>479</v>
      </c>
      <c r="E82" s="883"/>
      <c r="F82" s="784" t="s">
        <v>479</v>
      </c>
      <c r="G82" s="881" t="s">
        <v>479</v>
      </c>
      <c r="H82" s="883"/>
      <c r="I82" s="881" t="s">
        <v>479</v>
      </c>
      <c r="J82" s="883"/>
      <c r="K82" s="971" t="s">
        <v>479</v>
      </c>
      <c r="L82" s="882"/>
      <c r="M82" s="785" t="s">
        <v>479</v>
      </c>
    </row>
    <row r="83" spans="1:13" ht="11.85" customHeight="1" x14ac:dyDescent="0.25">
      <c r="A83" s="931" t="s">
        <v>1100</v>
      </c>
      <c r="B83" s="932"/>
      <c r="C83" s="784" t="s">
        <v>1096</v>
      </c>
      <c r="D83" s="881" t="s">
        <v>479</v>
      </c>
      <c r="E83" s="883"/>
      <c r="F83" s="784" t="s">
        <v>479</v>
      </c>
      <c r="G83" s="881" t="s">
        <v>479</v>
      </c>
      <c r="H83" s="883"/>
      <c r="I83" s="881" t="s">
        <v>479</v>
      </c>
      <c r="J83" s="883"/>
      <c r="K83" s="971" t="s">
        <v>479</v>
      </c>
      <c r="L83" s="882"/>
      <c r="M83" s="785" t="s">
        <v>479</v>
      </c>
    </row>
    <row r="84" spans="1:13" ht="11.85" customHeight="1" x14ac:dyDescent="0.25">
      <c r="A84" s="931" t="s">
        <v>1101</v>
      </c>
      <c r="B84" s="932"/>
      <c r="C84" s="784" t="s">
        <v>1102</v>
      </c>
      <c r="D84" s="881" t="s">
        <v>479</v>
      </c>
      <c r="E84" s="883"/>
      <c r="F84" s="784" t="s">
        <v>479</v>
      </c>
      <c r="G84" s="881" t="s">
        <v>479</v>
      </c>
      <c r="H84" s="883"/>
      <c r="I84" s="881" t="s">
        <v>2084</v>
      </c>
      <c r="J84" s="883"/>
      <c r="K84" s="971" t="s">
        <v>479</v>
      </c>
      <c r="L84" s="882"/>
      <c r="M84" s="785" t="s">
        <v>479</v>
      </c>
    </row>
    <row r="85" spans="1:13" ht="11.85" customHeight="1" x14ac:dyDescent="0.25">
      <c r="A85" s="969" t="s">
        <v>1103</v>
      </c>
      <c r="B85" s="932"/>
      <c r="C85" s="784" t="s">
        <v>2170</v>
      </c>
      <c r="D85" s="881" t="s">
        <v>2044</v>
      </c>
      <c r="E85" s="883"/>
      <c r="F85" s="784" t="s">
        <v>2047</v>
      </c>
      <c r="G85" s="881" t="s">
        <v>2049</v>
      </c>
      <c r="H85" s="883"/>
      <c r="I85" s="881" t="s">
        <v>2169</v>
      </c>
      <c r="J85" s="883"/>
      <c r="K85" s="971" t="s">
        <v>2165</v>
      </c>
      <c r="L85" s="882"/>
      <c r="M85" s="785" t="s">
        <v>2166</v>
      </c>
    </row>
    <row r="86" spans="1:13" ht="11.1" customHeight="1" x14ac:dyDescent="0.25">
      <c r="A86" s="969"/>
      <c r="B86" s="970"/>
    </row>
    <row r="87" spans="1:13" ht="11.85" customHeight="1" x14ac:dyDescent="0.25">
      <c r="A87" s="931" t="s">
        <v>1104</v>
      </c>
      <c r="B87" s="932"/>
      <c r="C87" s="784" t="s">
        <v>2171</v>
      </c>
      <c r="D87" s="881" t="s">
        <v>479</v>
      </c>
      <c r="E87" s="883"/>
      <c r="F87" s="784" t="s">
        <v>479</v>
      </c>
      <c r="G87" s="881" t="s">
        <v>479</v>
      </c>
      <c r="H87" s="883"/>
      <c r="I87" s="881" t="s">
        <v>479</v>
      </c>
      <c r="J87" s="883"/>
      <c r="K87" s="971" t="s">
        <v>479</v>
      </c>
      <c r="L87" s="882"/>
      <c r="M87" s="785" t="s">
        <v>479</v>
      </c>
    </row>
    <row r="88" spans="1:13" ht="11.85" customHeight="1" x14ac:dyDescent="0.25">
      <c r="A88" s="969" t="s">
        <v>1105</v>
      </c>
      <c r="B88" s="932"/>
      <c r="C88" s="784" t="s">
        <v>1017</v>
      </c>
      <c r="D88" s="881" t="s">
        <v>479</v>
      </c>
      <c r="E88" s="883"/>
      <c r="F88" s="784" t="s">
        <v>479</v>
      </c>
      <c r="G88" s="881" t="s">
        <v>479</v>
      </c>
      <c r="H88" s="883"/>
      <c r="I88" s="881" t="s">
        <v>479</v>
      </c>
      <c r="J88" s="883"/>
      <c r="K88" s="971" t="s">
        <v>479</v>
      </c>
      <c r="L88" s="882"/>
      <c r="M88" s="785" t="s">
        <v>479</v>
      </c>
    </row>
    <row r="89" spans="1:13" ht="11.85" customHeight="1" x14ac:dyDescent="0.25">
      <c r="A89" s="969"/>
      <c r="B89" s="970"/>
    </row>
    <row r="90" spans="1:13" ht="11.1" customHeight="1" x14ac:dyDescent="0.25">
      <c r="A90" s="933" t="s">
        <v>1106</v>
      </c>
      <c r="B90" s="934"/>
      <c r="C90" s="788" t="s">
        <v>479</v>
      </c>
      <c r="D90" s="917" t="s">
        <v>479</v>
      </c>
      <c r="E90" s="918"/>
      <c r="F90" s="788" t="s">
        <v>479</v>
      </c>
      <c r="G90" s="917" t="s">
        <v>479</v>
      </c>
      <c r="H90" s="918"/>
      <c r="I90" s="917" t="s">
        <v>479</v>
      </c>
      <c r="J90" s="918"/>
      <c r="K90" s="972" t="s">
        <v>479</v>
      </c>
      <c r="L90" s="919"/>
      <c r="M90" s="789" t="s">
        <v>479</v>
      </c>
    </row>
    <row r="91" spans="1:13" ht="11.85" customHeight="1" x14ac:dyDescent="0.25">
      <c r="A91" s="1006" t="s">
        <v>1107</v>
      </c>
      <c r="B91" s="1007"/>
      <c r="C91" s="803" t="s">
        <v>2172</v>
      </c>
      <c r="D91" s="961" t="s">
        <v>2173</v>
      </c>
      <c r="E91" s="963"/>
      <c r="F91" s="803" t="s">
        <v>2174</v>
      </c>
      <c r="G91" s="961" t="s">
        <v>2175</v>
      </c>
      <c r="H91" s="963"/>
      <c r="I91" s="961" t="s">
        <v>2176</v>
      </c>
      <c r="J91" s="963"/>
      <c r="K91" s="961" t="s">
        <v>2177</v>
      </c>
      <c r="L91" s="963"/>
      <c r="M91" s="803" t="s">
        <v>2178</v>
      </c>
    </row>
    <row r="92" spans="1:13" ht="11.85" customHeight="1" x14ac:dyDescent="0.25">
      <c r="A92" s="1006" t="s">
        <v>1108</v>
      </c>
      <c r="B92" s="1007"/>
      <c r="C92" s="803" t="s">
        <v>2179</v>
      </c>
      <c r="D92" s="961" t="s">
        <v>2180</v>
      </c>
      <c r="E92" s="963"/>
      <c r="F92" s="803" t="s">
        <v>2181</v>
      </c>
      <c r="G92" s="961" t="s">
        <v>2182</v>
      </c>
      <c r="H92" s="963"/>
      <c r="I92" s="961" t="s">
        <v>2183</v>
      </c>
      <c r="J92" s="963"/>
      <c r="K92" s="961" t="s">
        <v>2177</v>
      </c>
      <c r="L92" s="963"/>
      <c r="M92" s="803" t="s">
        <v>2178</v>
      </c>
    </row>
    <row r="93" spans="1:13" ht="11.85" customHeight="1" x14ac:dyDescent="0.25">
      <c r="A93" s="940"/>
      <c r="B93" s="941"/>
      <c r="C93" s="941"/>
      <c r="D93" s="941"/>
      <c r="E93" s="941"/>
      <c r="F93" s="941"/>
      <c r="G93" s="941"/>
      <c r="H93" s="941"/>
      <c r="I93" s="941"/>
      <c r="J93" s="941"/>
      <c r="K93" s="941"/>
      <c r="L93" s="941"/>
      <c r="M93" s="942"/>
    </row>
    <row r="94" spans="1:13" ht="11.1" customHeight="1" x14ac:dyDescent="0.25">
      <c r="A94" s="935" t="s">
        <v>1109</v>
      </c>
      <c r="B94" s="936"/>
      <c r="C94" s="961" t="s">
        <v>2184</v>
      </c>
      <c r="D94" s="962"/>
      <c r="E94" s="962"/>
      <c r="F94" s="962"/>
      <c r="G94" s="962"/>
      <c r="H94" s="962"/>
      <c r="I94" s="962"/>
      <c r="J94" s="962"/>
      <c r="K94" s="962"/>
      <c r="L94" s="962"/>
      <c r="M94" s="963"/>
    </row>
    <row r="95" spans="1:13" ht="11.85" customHeight="1" x14ac:dyDescent="0.25">
      <c r="A95" s="940"/>
      <c r="B95" s="941"/>
      <c r="C95" s="941"/>
      <c r="D95" s="941"/>
      <c r="E95" s="941"/>
      <c r="F95" s="941"/>
      <c r="G95" s="941"/>
      <c r="H95" s="941"/>
      <c r="I95" s="941"/>
      <c r="J95" s="941"/>
      <c r="K95" s="941"/>
      <c r="L95" s="941"/>
      <c r="M95" s="942"/>
    </row>
    <row r="96" spans="1:13" ht="11.85" customHeight="1" x14ac:dyDescent="0.25">
      <c r="A96" s="935" t="s">
        <v>1110</v>
      </c>
      <c r="B96" s="936"/>
      <c r="C96" s="961" t="s">
        <v>2185</v>
      </c>
      <c r="D96" s="962"/>
      <c r="E96" s="962"/>
      <c r="F96" s="962"/>
      <c r="G96" s="962"/>
      <c r="H96" s="962"/>
      <c r="I96" s="962"/>
      <c r="J96" s="962"/>
      <c r="K96" s="962"/>
      <c r="L96" s="962"/>
      <c r="M96" s="963"/>
    </row>
    <row r="97" spans="1:13" ht="11.85" customHeight="1" x14ac:dyDescent="0.25">
      <c r="A97" s="427"/>
      <c r="B97" s="427"/>
      <c r="C97" s="427"/>
      <c r="D97" s="427"/>
      <c r="E97" s="427"/>
      <c r="F97" s="427"/>
      <c r="G97" s="427"/>
      <c r="H97" s="427"/>
      <c r="I97" s="427"/>
      <c r="J97" s="427"/>
      <c r="K97" s="427"/>
      <c r="L97" s="427"/>
      <c r="M97" s="427"/>
    </row>
    <row r="98" spans="1:13" ht="11.1" customHeight="1" x14ac:dyDescent="0.25">
      <c r="A98" s="897" t="s">
        <v>691</v>
      </c>
      <c r="B98" s="899"/>
      <c r="C98" s="926" t="s">
        <v>692</v>
      </c>
      <c r="D98" s="927"/>
      <c r="E98" s="927"/>
      <c r="F98" s="927"/>
      <c r="G98" s="927"/>
      <c r="H98" s="927"/>
      <c r="I98" s="927"/>
      <c r="J98" s="927"/>
      <c r="K98" s="927"/>
      <c r="L98" s="927"/>
      <c r="M98" s="928"/>
    </row>
    <row r="99" spans="1:13" ht="11.85" customHeight="1" x14ac:dyDescent="0.25">
      <c r="A99" s="964" t="s">
        <v>693</v>
      </c>
      <c r="B99" s="965"/>
      <c r="C99" s="966" t="s">
        <v>1111</v>
      </c>
      <c r="D99" s="967"/>
      <c r="E99" s="967"/>
      <c r="F99" s="967"/>
      <c r="G99" s="967"/>
      <c r="H99" s="967"/>
      <c r="I99" s="967"/>
      <c r="J99" s="967"/>
      <c r="K99" s="967"/>
      <c r="L99" s="967"/>
      <c r="M99" s="968"/>
    </row>
    <row r="100" spans="1:13" ht="11.85" customHeight="1" x14ac:dyDescent="0.25">
      <c r="A100" s="427"/>
      <c r="B100" s="427"/>
      <c r="C100" s="427"/>
      <c r="D100" s="427"/>
      <c r="E100" s="427"/>
      <c r="F100" s="427"/>
      <c r="G100" s="427"/>
      <c r="H100" s="427"/>
      <c r="I100" s="427"/>
      <c r="J100" s="427"/>
      <c r="K100" s="427"/>
      <c r="L100" s="427"/>
      <c r="M100" s="427"/>
    </row>
    <row r="101" spans="1:13" ht="11.85" customHeight="1" x14ac:dyDescent="0.25">
      <c r="A101" s="897" t="s">
        <v>694</v>
      </c>
      <c r="B101" s="949"/>
      <c r="C101" s="926" t="s">
        <v>1034</v>
      </c>
      <c r="D101" s="927"/>
      <c r="E101" s="927"/>
      <c r="F101" s="927"/>
      <c r="G101" s="927"/>
      <c r="H101" s="927"/>
      <c r="I101" s="927"/>
      <c r="J101" s="927"/>
      <c r="K101" s="927"/>
      <c r="L101" s="927"/>
      <c r="M101" s="928"/>
    </row>
    <row r="102" spans="1:13" ht="11.1" customHeight="1" x14ac:dyDescent="0.25">
      <c r="A102" s="952"/>
      <c r="B102" s="953"/>
      <c r="C102" s="926" t="s">
        <v>695</v>
      </c>
      <c r="D102" s="927"/>
      <c r="E102" s="927"/>
      <c r="F102" s="927"/>
      <c r="G102" s="927"/>
      <c r="H102" s="927"/>
      <c r="I102" s="927"/>
      <c r="J102" s="927"/>
      <c r="K102" s="927"/>
      <c r="L102" s="927"/>
      <c r="M102" s="928"/>
    </row>
    <row r="103" spans="1:13" ht="11.85" customHeight="1" x14ac:dyDescent="0.25">
      <c r="A103" s="929" t="s">
        <v>1112</v>
      </c>
      <c r="B103" s="930"/>
      <c r="C103" s="886" t="s">
        <v>2186</v>
      </c>
      <c r="D103" s="888"/>
      <c r="E103" s="888"/>
      <c r="F103" s="888"/>
      <c r="G103" s="888"/>
      <c r="H103" s="888"/>
      <c r="I103" s="888"/>
      <c r="J103" s="888"/>
      <c r="K103" s="888"/>
      <c r="L103" s="888"/>
      <c r="M103" s="887"/>
    </row>
    <row r="104" spans="1:13" ht="11.85" customHeight="1" x14ac:dyDescent="0.25">
      <c r="A104" s="933" t="s">
        <v>1113</v>
      </c>
      <c r="B104" s="934"/>
      <c r="C104" s="917" t="s">
        <v>2032</v>
      </c>
      <c r="D104" s="919"/>
      <c r="E104" s="919"/>
      <c r="F104" s="919"/>
      <c r="G104" s="919"/>
      <c r="H104" s="919"/>
      <c r="I104" s="919"/>
      <c r="J104" s="919"/>
      <c r="K104" s="919"/>
      <c r="L104" s="919"/>
      <c r="M104" s="918"/>
    </row>
    <row r="105" spans="1:13" ht="5.85" customHeight="1" x14ac:dyDescent="0.25">
      <c r="A105" s="940"/>
      <c r="B105" s="941"/>
      <c r="C105" s="941"/>
      <c r="D105" s="941"/>
      <c r="E105" s="941"/>
      <c r="F105" s="941"/>
      <c r="G105" s="941"/>
      <c r="H105" s="941"/>
      <c r="I105" s="941"/>
      <c r="J105" s="941"/>
      <c r="K105" s="941"/>
      <c r="L105" s="941"/>
      <c r="M105" s="942"/>
    </row>
    <row r="106" spans="1:13" ht="34.700000000000003" customHeight="1" x14ac:dyDescent="0.25">
      <c r="A106" s="935" t="s">
        <v>1114</v>
      </c>
      <c r="B106" s="936"/>
      <c r="C106" s="961" t="s">
        <v>2187</v>
      </c>
      <c r="D106" s="962"/>
      <c r="E106" s="962"/>
      <c r="F106" s="962"/>
      <c r="G106" s="962"/>
      <c r="H106" s="962"/>
      <c r="I106" s="962"/>
      <c r="J106" s="962"/>
      <c r="K106" s="962"/>
      <c r="L106" s="962"/>
      <c r="M106" s="963"/>
    </row>
    <row r="107" spans="1:13" ht="11.85" customHeight="1" x14ac:dyDescent="0.25">
      <c r="A107" s="940"/>
      <c r="B107" s="941"/>
      <c r="C107" s="941"/>
      <c r="D107" s="941"/>
      <c r="E107" s="941"/>
      <c r="F107" s="941"/>
      <c r="G107" s="941"/>
      <c r="H107" s="941"/>
      <c r="I107" s="941"/>
      <c r="J107" s="941"/>
      <c r="K107" s="941"/>
      <c r="L107" s="941"/>
      <c r="M107" s="942"/>
    </row>
    <row r="108" spans="1:13" ht="11.85" customHeight="1" x14ac:dyDescent="0.25">
      <c r="A108" s="897" t="s">
        <v>697</v>
      </c>
      <c r="B108" s="898"/>
      <c r="C108" s="898"/>
      <c r="D108" s="898"/>
      <c r="E108" s="898"/>
      <c r="F108" s="898"/>
      <c r="G108" s="898"/>
      <c r="H108" s="898"/>
      <c r="I108" s="898"/>
      <c r="J108" s="898"/>
      <c r="K108" s="898"/>
      <c r="L108" s="898"/>
      <c r="M108" s="899"/>
    </row>
    <row r="109" spans="1:13" ht="11.1" customHeight="1" x14ac:dyDescent="0.25">
      <c r="A109" s="897" t="s">
        <v>698</v>
      </c>
      <c r="B109" s="949"/>
      <c r="C109" s="897" t="s">
        <v>591</v>
      </c>
      <c r="D109" s="898"/>
      <c r="E109" s="898"/>
      <c r="F109" s="898"/>
      <c r="G109" s="898"/>
      <c r="H109" s="898"/>
      <c r="I109" s="898"/>
      <c r="J109" s="898"/>
      <c r="K109" s="898"/>
      <c r="L109" s="898"/>
      <c r="M109" s="899"/>
    </row>
    <row r="110" spans="1:13" ht="11.85" customHeight="1" x14ac:dyDescent="0.25">
      <c r="A110" s="950"/>
      <c r="B110" s="951"/>
      <c r="C110" s="954" t="s">
        <v>1115</v>
      </c>
      <c r="D110" s="955"/>
      <c r="E110" s="955"/>
      <c r="F110" s="955"/>
      <c r="G110" s="949"/>
      <c r="H110" s="954" t="s">
        <v>2188</v>
      </c>
      <c r="I110" s="955"/>
      <c r="J110" s="955"/>
      <c r="K110" s="955"/>
      <c r="L110" s="955"/>
      <c r="M110" s="949"/>
    </row>
    <row r="111" spans="1:13" ht="11.85" customHeight="1" x14ac:dyDescent="0.25">
      <c r="A111" s="952"/>
      <c r="B111" s="953"/>
      <c r="C111" s="956" t="s">
        <v>504</v>
      </c>
      <c r="D111" s="957"/>
      <c r="E111" s="957"/>
      <c r="F111" s="957"/>
      <c r="G111" s="953"/>
      <c r="H111" s="956" t="s">
        <v>505</v>
      </c>
      <c r="I111" s="957"/>
      <c r="J111" s="957"/>
      <c r="K111" s="957"/>
      <c r="L111" s="957"/>
      <c r="M111" s="953"/>
    </row>
    <row r="112" spans="1:13" ht="11.85" customHeight="1" x14ac:dyDescent="0.25">
      <c r="A112" s="929" t="s">
        <v>1116</v>
      </c>
      <c r="B112" s="930"/>
      <c r="C112" s="886" t="s">
        <v>801</v>
      </c>
      <c r="D112" s="888"/>
      <c r="E112" s="888"/>
      <c r="F112" s="888"/>
      <c r="G112" s="887"/>
      <c r="H112" s="958" t="s">
        <v>2189</v>
      </c>
      <c r="I112" s="959"/>
      <c r="J112" s="959"/>
      <c r="K112" s="959"/>
      <c r="L112" s="959"/>
      <c r="M112" s="960"/>
    </row>
    <row r="113" spans="1:13" ht="11.1" customHeight="1" x14ac:dyDescent="0.25">
      <c r="A113" s="931" t="s">
        <v>1117</v>
      </c>
      <c r="B113" s="932"/>
      <c r="C113" s="881" t="s">
        <v>804</v>
      </c>
      <c r="D113" s="882"/>
      <c r="E113" s="882"/>
      <c r="F113" s="882"/>
      <c r="G113" s="883"/>
      <c r="H113" s="943" t="s">
        <v>2190</v>
      </c>
      <c r="I113" s="944"/>
      <c r="J113" s="944"/>
      <c r="K113" s="944"/>
      <c r="L113" s="944"/>
      <c r="M113" s="945"/>
    </row>
    <row r="114" spans="1:13" ht="5.85" customHeight="1" x14ac:dyDescent="0.25">
      <c r="A114" s="931" t="s">
        <v>1118</v>
      </c>
      <c r="B114" s="932"/>
      <c r="C114" s="881" t="s">
        <v>479</v>
      </c>
      <c r="D114" s="882"/>
      <c r="E114" s="882"/>
      <c r="F114" s="882"/>
      <c r="G114" s="883"/>
      <c r="H114" s="943" t="s">
        <v>2191</v>
      </c>
      <c r="I114" s="944"/>
      <c r="J114" s="944"/>
      <c r="K114" s="944"/>
      <c r="L114" s="944"/>
      <c r="M114" s="945"/>
    </row>
    <row r="115" spans="1:13" ht="11.85" customHeight="1" x14ac:dyDescent="0.25">
      <c r="A115" s="931" t="s">
        <v>699</v>
      </c>
      <c r="B115" s="932"/>
      <c r="C115" s="881" t="s">
        <v>802</v>
      </c>
      <c r="D115" s="882"/>
      <c r="E115" s="882"/>
      <c r="F115" s="882"/>
      <c r="G115" s="883"/>
      <c r="H115" s="943" t="s">
        <v>2192</v>
      </c>
      <c r="I115" s="944"/>
      <c r="J115" s="944"/>
      <c r="K115" s="944"/>
      <c r="L115" s="944"/>
      <c r="M115" s="945"/>
    </row>
    <row r="116" spans="1:13" ht="28.9" customHeight="1" x14ac:dyDescent="0.25">
      <c r="A116" s="931" t="s">
        <v>1119</v>
      </c>
      <c r="B116" s="932"/>
      <c r="C116" s="881" t="s">
        <v>2193</v>
      </c>
      <c r="D116" s="882"/>
      <c r="E116" s="882"/>
      <c r="F116" s="882"/>
      <c r="G116" s="883"/>
      <c r="H116" s="943" t="s">
        <v>2194</v>
      </c>
      <c r="I116" s="944"/>
      <c r="J116" s="944"/>
      <c r="K116" s="944"/>
      <c r="L116" s="944"/>
      <c r="M116" s="945"/>
    </row>
    <row r="117" spans="1:13" ht="11.85" customHeight="1" x14ac:dyDescent="0.25">
      <c r="A117" s="931" t="s">
        <v>700</v>
      </c>
      <c r="B117" s="932"/>
      <c r="C117" s="881" t="s">
        <v>803</v>
      </c>
      <c r="D117" s="882"/>
      <c r="E117" s="882"/>
      <c r="F117" s="882"/>
      <c r="G117" s="883"/>
      <c r="H117" s="943" t="s">
        <v>2195</v>
      </c>
      <c r="I117" s="944"/>
      <c r="J117" s="944"/>
      <c r="K117" s="944"/>
      <c r="L117" s="944"/>
      <c r="M117" s="945"/>
    </row>
    <row r="118" spans="1:13" ht="11.85" customHeight="1" x14ac:dyDescent="0.25">
      <c r="A118" s="931" t="s">
        <v>701</v>
      </c>
      <c r="B118" s="932"/>
      <c r="C118" s="881" t="s">
        <v>804</v>
      </c>
      <c r="D118" s="882"/>
      <c r="E118" s="882"/>
      <c r="F118" s="882"/>
      <c r="G118" s="883"/>
      <c r="H118" s="943" t="s">
        <v>1120</v>
      </c>
      <c r="I118" s="944"/>
      <c r="J118" s="944"/>
      <c r="K118" s="944"/>
      <c r="L118" s="944"/>
      <c r="M118" s="945"/>
    </row>
    <row r="119" spans="1:13" ht="11.1" customHeight="1" x14ac:dyDescent="0.25">
      <c r="A119" s="933" t="s">
        <v>1121</v>
      </c>
      <c r="B119" s="934"/>
      <c r="C119" s="917" t="s">
        <v>2196</v>
      </c>
      <c r="D119" s="919"/>
      <c r="E119" s="919"/>
      <c r="F119" s="919"/>
      <c r="G119" s="918"/>
      <c r="H119" s="946" t="s">
        <v>2197</v>
      </c>
      <c r="I119" s="947"/>
      <c r="J119" s="947"/>
      <c r="K119" s="947"/>
      <c r="L119" s="947"/>
      <c r="M119" s="948"/>
    </row>
    <row r="120" spans="1:13" ht="11.85" customHeight="1" x14ac:dyDescent="0.25">
      <c r="A120" s="935" t="s">
        <v>1122</v>
      </c>
      <c r="B120" s="936"/>
      <c r="C120" s="937" t="s">
        <v>2198</v>
      </c>
      <c r="D120" s="938"/>
      <c r="E120" s="938"/>
      <c r="F120" s="938"/>
      <c r="G120" s="938"/>
      <c r="H120" s="938"/>
      <c r="I120" s="938"/>
      <c r="J120" s="938"/>
      <c r="K120" s="938"/>
      <c r="L120" s="938"/>
      <c r="M120" s="939"/>
    </row>
    <row r="121" spans="1:13" ht="11.85" customHeight="1" x14ac:dyDescent="0.25">
      <c r="A121" s="940"/>
      <c r="B121" s="941"/>
      <c r="C121" s="941"/>
      <c r="D121" s="941"/>
      <c r="E121" s="941"/>
      <c r="F121" s="941"/>
      <c r="G121" s="941"/>
      <c r="H121" s="941"/>
      <c r="I121" s="941"/>
      <c r="J121" s="941"/>
      <c r="K121" s="941"/>
      <c r="L121" s="941"/>
      <c r="M121" s="942"/>
    </row>
    <row r="122" spans="1:13" ht="11.85" customHeight="1" x14ac:dyDescent="0.25">
      <c r="A122" s="897" t="s">
        <v>696</v>
      </c>
      <c r="B122" s="899"/>
      <c r="C122" s="926" t="s">
        <v>692</v>
      </c>
      <c r="D122" s="927"/>
      <c r="E122" s="927"/>
      <c r="F122" s="927"/>
      <c r="G122" s="927"/>
      <c r="H122" s="927"/>
      <c r="I122" s="927"/>
      <c r="J122" s="927"/>
      <c r="K122" s="927"/>
      <c r="L122" s="927"/>
      <c r="M122" s="928"/>
    </row>
    <row r="123" spans="1:13" ht="5.85" customHeight="1" x14ac:dyDescent="0.25">
      <c r="A123" s="964" t="s">
        <v>1123</v>
      </c>
      <c r="B123" s="965"/>
      <c r="C123" s="1008" t="s">
        <v>1111</v>
      </c>
      <c r="D123" s="1009"/>
      <c r="E123" s="1009"/>
      <c r="F123" s="1009"/>
      <c r="G123" s="1009"/>
      <c r="H123" s="1009"/>
      <c r="I123" s="1009"/>
      <c r="J123" s="1009"/>
      <c r="K123" s="1009"/>
      <c r="L123" s="1009"/>
      <c r="M123" s="1010"/>
    </row>
    <row r="124" spans="1:13" ht="11.1" customHeight="1" x14ac:dyDescent="0.25">
      <c r="A124" s="427"/>
      <c r="B124" s="427"/>
      <c r="C124" s="427"/>
      <c r="D124" s="427"/>
      <c r="E124" s="427"/>
      <c r="F124" s="427"/>
      <c r="G124" s="427"/>
      <c r="H124" s="427"/>
      <c r="I124" s="427"/>
      <c r="J124" s="427"/>
      <c r="K124" s="427"/>
      <c r="L124" s="427"/>
      <c r="M124" s="427"/>
    </row>
    <row r="125" spans="1:13" ht="23.65" customHeight="1" x14ac:dyDescent="0.25">
      <c r="A125" s="897" t="s">
        <v>702</v>
      </c>
      <c r="B125" s="899"/>
      <c r="C125" s="897" t="s">
        <v>1034</v>
      </c>
      <c r="D125" s="898"/>
      <c r="E125" s="898"/>
      <c r="F125" s="898"/>
      <c r="G125" s="898"/>
      <c r="H125" s="898"/>
      <c r="I125" s="898"/>
      <c r="J125" s="898"/>
      <c r="K125" s="898"/>
      <c r="L125" s="898"/>
      <c r="M125" s="899"/>
    </row>
    <row r="126" spans="1:13" ht="11.85" customHeight="1" x14ac:dyDescent="0.25">
      <c r="A126" s="929" t="s">
        <v>2199</v>
      </c>
      <c r="B126" s="930"/>
      <c r="C126" s="429"/>
      <c r="D126" s="428"/>
      <c r="E126" s="428"/>
      <c r="F126" s="428"/>
      <c r="G126" s="428"/>
      <c r="H126" s="887" t="s">
        <v>2200</v>
      </c>
      <c r="I126" s="888"/>
      <c r="J126" s="888"/>
      <c r="K126" s="888"/>
      <c r="L126" s="888"/>
      <c r="M126" s="887"/>
    </row>
    <row r="127" spans="1:13" ht="11.1" customHeight="1" x14ac:dyDescent="0.25">
      <c r="A127" s="931" t="s">
        <v>1124</v>
      </c>
      <c r="B127" s="932"/>
      <c r="C127" s="426"/>
      <c r="H127" s="883" t="s">
        <v>479</v>
      </c>
      <c r="I127" s="882"/>
      <c r="J127" s="882"/>
      <c r="K127" s="882"/>
      <c r="L127" s="882"/>
      <c r="M127" s="883"/>
    </row>
    <row r="128" spans="1:13" ht="5.85" customHeight="1" x14ac:dyDescent="0.25">
      <c r="A128" s="931" t="s">
        <v>1125</v>
      </c>
      <c r="B128" s="932"/>
      <c r="C128" s="426"/>
      <c r="H128" s="883" t="s">
        <v>479</v>
      </c>
      <c r="I128" s="882"/>
      <c r="J128" s="882"/>
      <c r="K128" s="882"/>
      <c r="L128" s="882"/>
      <c r="M128" s="883"/>
    </row>
    <row r="129" spans="1:13" ht="23.65" customHeight="1" x14ac:dyDescent="0.25">
      <c r="A129" s="931" t="s">
        <v>1126</v>
      </c>
      <c r="B129" s="932"/>
      <c r="C129" s="426"/>
      <c r="H129" s="883" t="s">
        <v>479</v>
      </c>
      <c r="I129" s="882"/>
      <c r="J129" s="882"/>
      <c r="K129" s="882"/>
      <c r="L129" s="882"/>
      <c r="M129" s="883"/>
    </row>
    <row r="130" spans="1:13" ht="11.1" customHeight="1" x14ac:dyDescent="0.25">
      <c r="A130" s="931" t="s">
        <v>1127</v>
      </c>
      <c r="B130" s="932"/>
      <c r="C130" s="426"/>
      <c r="H130" s="883" t="s">
        <v>479</v>
      </c>
      <c r="I130" s="882"/>
      <c r="J130" s="882"/>
      <c r="K130" s="882"/>
      <c r="L130" s="882"/>
      <c r="M130" s="883"/>
    </row>
    <row r="131" spans="1:13" ht="11.85" customHeight="1" x14ac:dyDescent="0.25">
      <c r="A131" s="933" t="s">
        <v>1128</v>
      </c>
      <c r="B131" s="934"/>
      <c r="C131" s="430"/>
      <c r="D131" s="425"/>
      <c r="E131" s="425"/>
      <c r="F131" s="425"/>
      <c r="G131" s="425"/>
      <c r="H131" s="918" t="s">
        <v>479</v>
      </c>
      <c r="I131" s="919"/>
      <c r="J131" s="919"/>
      <c r="K131" s="919"/>
      <c r="L131" s="919"/>
      <c r="M131" s="918"/>
    </row>
    <row r="132" spans="1:13" ht="11.85" customHeight="1" x14ac:dyDescent="0.25">
      <c r="A132" s="935" t="s">
        <v>2201</v>
      </c>
      <c r="B132" s="936"/>
      <c r="C132" s="937" t="s">
        <v>2202</v>
      </c>
      <c r="D132" s="938"/>
      <c r="E132" s="938"/>
      <c r="F132" s="938"/>
      <c r="G132" s="938"/>
      <c r="H132" s="938"/>
      <c r="I132" s="938"/>
      <c r="J132" s="938"/>
      <c r="K132" s="938"/>
      <c r="L132" s="938"/>
      <c r="M132" s="939"/>
    </row>
    <row r="133" spans="1:13" ht="5.85" customHeight="1" x14ac:dyDescent="0.25">
      <c r="A133" s="940"/>
      <c r="B133" s="941"/>
      <c r="C133" s="941"/>
      <c r="D133" s="941"/>
      <c r="E133" s="941"/>
      <c r="F133" s="941"/>
      <c r="G133" s="941"/>
      <c r="H133" s="941"/>
      <c r="I133" s="941"/>
      <c r="J133" s="941"/>
      <c r="K133" s="941"/>
      <c r="L133" s="941"/>
      <c r="M133" s="942"/>
    </row>
    <row r="134" spans="1:13" ht="11.85" customHeight="1" x14ac:dyDescent="0.25">
      <c r="A134" s="935" t="s">
        <v>1129</v>
      </c>
      <c r="B134" s="936"/>
      <c r="C134" s="937" t="s">
        <v>2203</v>
      </c>
      <c r="D134" s="938"/>
      <c r="E134" s="938"/>
      <c r="F134" s="938"/>
      <c r="G134" s="938"/>
      <c r="H134" s="938"/>
      <c r="I134" s="938"/>
      <c r="J134" s="938"/>
      <c r="K134" s="938"/>
      <c r="L134" s="938"/>
      <c r="M134" s="939"/>
    </row>
    <row r="135" spans="1:13" ht="28.9" customHeight="1" x14ac:dyDescent="0.25">
      <c r="A135" s="427"/>
      <c r="B135" s="427"/>
      <c r="C135" s="427"/>
      <c r="D135" s="427"/>
      <c r="E135" s="427"/>
      <c r="F135" s="427"/>
      <c r="G135" s="427"/>
      <c r="H135" s="427"/>
      <c r="I135" s="427"/>
      <c r="J135" s="427"/>
      <c r="K135" s="427"/>
      <c r="L135" s="427"/>
      <c r="M135" s="427"/>
    </row>
    <row r="136" spans="1:13" ht="11.85" customHeight="1" x14ac:dyDescent="0.25">
      <c r="A136" s="897" t="s">
        <v>703</v>
      </c>
      <c r="B136" s="899"/>
      <c r="C136" s="926" t="s">
        <v>704</v>
      </c>
      <c r="D136" s="927"/>
      <c r="E136" s="927"/>
      <c r="F136" s="927"/>
      <c r="G136" s="927"/>
      <c r="H136" s="927"/>
      <c r="I136" s="927"/>
      <c r="J136" s="927"/>
      <c r="K136" s="927"/>
      <c r="L136" s="927"/>
      <c r="M136" s="928"/>
    </row>
    <row r="137" spans="1:13" ht="11.1" customHeight="1" x14ac:dyDescent="0.25">
      <c r="A137" s="929" t="s">
        <v>705</v>
      </c>
      <c r="B137" s="930"/>
      <c r="C137" s="429"/>
      <c r="D137" s="428"/>
      <c r="E137" s="428"/>
      <c r="F137" s="428"/>
      <c r="G137" s="428"/>
      <c r="H137" s="887" t="s">
        <v>2007</v>
      </c>
      <c r="I137" s="888"/>
      <c r="J137" s="888"/>
      <c r="K137" s="888"/>
      <c r="L137" s="888"/>
      <c r="M137" s="887"/>
    </row>
    <row r="138" spans="1:13" ht="5.85" customHeight="1" x14ac:dyDescent="0.25"/>
    <row r="139" spans="1:13" ht="35.450000000000003" customHeight="1" x14ac:dyDescent="0.25">
      <c r="A139" s="920" t="s">
        <v>2167</v>
      </c>
      <c r="B139" s="920"/>
      <c r="C139" s="920"/>
      <c r="D139" s="920"/>
      <c r="E139" s="920"/>
      <c r="F139" s="920"/>
      <c r="G139" s="920"/>
      <c r="H139" s="920"/>
      <c r="I139" s="920"/>
      <c r="J139" s="920"/>
      <c r="K139" s="920"/>
      <c r="L139" s="920"/>
      <c r="M139" s="920"/>
    </row>
    <row r="140" spans="1:13" ht="11.1" customHeight="1" x14ac:dyDescent="0.25">
      <c r="A140" s="904" t="s">
        <v>539</v>
      </c>
      <c r="B140" s="904"/>
      <c r="C140" s="904"/>
      <c r="D140" s="904"/>
      <c r="L140" s="980" t="s">
        <v>581</v>
      </c>
      <c r="M140" s="980"/>
    </row>
    <row r="141" spans="1:13" ht="11.85" customHeight="1" x14ac:dyDescent="0.25">
      <c r="A141" s="904" t="s">
        <v>467</v>
      </c>
      <c r="B141" s="904"/>
      <c r="C141" s="904"/>
      <c r="D141" s="904"/>
    </row>
    <row r="142" spans="1:13" ht="11.85" customHeight="1" x14ac:dyDescent="0.25">
      <c r="A142" s="905" t="s">
        <v>682</v>
      </c>
      <c r="B142" s="905"/>
      <c r="C142" s="905"/>
      <c r="D142" s="905"/>
    </row>
    <row r="143" spans="1:13" ht="11.85" customHeight="1" x14ac:dyDescent="0.25">
      <c r="A143" s="904" t="s">
        <v>587</v>
      </c>
      <c r="B143" s="904"/>
      <c r="C143" s="904"/>
      <c r="D143" s="904"/>
    </row>
    <row r="144" spans="1:13" ht="11.1" customHeight="1" x14ac:dyDescent="0.25">
      <c r="A144" s="904" t="s">
        <v>1852</v>
      </c>
      <c r="B144" s="904"/>
      <c r="C144" s="904"/>
      <c r="D144" s="904"/>
    </row>
    <row r="145" spans="1:13" ht="5.85" customHeight="1" x14ac:dyDescent="0.25"/>
    <row r="146" spans="1:13" ht="11.85" customHeight="1" x14ac:dyDescent="0.25">
      <c r="A146" s="425"/>
      <c r="B146" s="425"/>
      <c r="C146" s="425"/>
      <c r="D146" s="425"/>
      <c r="E146" s="425"/>
      <c r="F146" s="425"/>
      <c r="G146" s="425"/>
      <c r="H146" s="425"/>
      <c r="I146" s="425"/>
      <c r="J146" s="425"/>
      <c r="K146" s="425"/>
      <c r="L146" s="425"/>
      <c r="M146" s="425"/>
    </row>
    <row r="147" spans="1:13" ht="22.9" customHeight="1" x14ac:dyDescent="0.25">
      <c r="A147" s="897" t="s">
        <v>703</v>
      </c>
      <c r="B147" s="899"/>
      <c r="C147" s="926" t="s">
        <v>704</v>
      </c>
      <c r="D147" s="927"/>
      <c r="E147" s="927"/>
      <c r="F147" s="927"/>
      <c r="G147" s="927"/>
      <c r="H147" s="927"/>
      <c r="I147" s="927"/>
      <c r="J147" s="927"/>
      <c r="K147" s="927"/>
      <c r="L147" s="927"/>
      <c r="M147" s="928"/>
    </row>
    <row r="148" spans="1:13" ht="11.85" customHeight="1" x14ac:dyDescent="0.25">
      <c r="A148" s="929" t="s">
        <v>887</v>
      </c>
      <c r="B148" s="930"/>
      <c r="C148" s="429"/>
      <c r="D148" s="428"/>
      <c r="E148" s="428"/>
      <c r="F148" s="428"/>
      <c r="G148" s="428"/>
      <c r="H148" s="887" t="s">
        <v>479</v>
      </c>
      <c r="I148" s="888"/>
      <c r="J148" s="888"/>
      <c r="K148" s="888"/>
      <c r="L148" s="888"/>
      <c r="M148" s="887"/>
    </row>
    <row r="149" spans="1:13" ht="11.85" customHeight="1" x14ac:dyDescent="0.25">
      <c r="A149" s="931" t="s">
        <v>1130</v>
      </c>
      <c r="B149" s="932"/>
      <c r="C149" s="426"/>
      <c r="H149" s="883" t="s">
        <v>2007</v>
      </c>
      <c r="I149" s="882"/>
      <c r="J149" s="882"/>
      <c r="K149" s="882"/>
      <c r="L149" s="882"/>
      <c r="M149" s="883"/>
    </row>
    <row r="150" spans="1:13" ht="11.85" customHeight="1" x14ac:dyDescent="0.25">
      <c r="A150" s="933" t="s">
        <v>706</v>
      </c>
      <c r="B150" s="934"/>
      <c r="C150" s="430"/>
      <c r="D150" s="425"/>
      <c r="E150" s="425"/>
      <c r="F150" s="425"/>
      <c r="G150" s="425"/>
      <c r="H150" s="918" t="s">
        <v>908</v>
      </c>
      <c r="I150" s="919"/>
      <c r="J150" s="919"/>
      <c r="K150" s="919"/>
      <c r="L150" s="919"/>
      <c r="M150" s="918"/>
    </row>
    <row r="151" spans="1:13" ht="5.85" customHeight="1" x14ac:dyDescent="0.25">
      <c r="A151" s="428"/>
      <c r="B151" s="428"/>
      <c r="C151" s="428"/>
      <c r="D151" s="428"/>
      <c r="E151" s="428"/>
      <c r="F151" s="428"/>
      <c r="G151" s="428"/>
      <c r="H151" s="428"/>
      <c r="I151" s="428"/>
      <c r="J151" s="428"/>
      <c r="K151" s="428"/>
      <c r="L151" s="428"/>
      <c r="M151" s="428"/>
    </row>
    <row r="152" spans="1:13" ht="11.1" customHeight="1" x14ac:dyDescent="0.25"/>
    <row r="153" spans="1:13" ht="29.65" customHeight="1" x14ac:dyDescent="0.25"/>
    <row r="154" spans="1:13" ht="11.1" customHeight="1" x14ac:dyDescent="0.25"/>
    <row r="155" spans="1:13" ht="27" customHeight="1" x14ac:dyDescent="0.25">
      <c r="A155" s="925" t="s">
        <v>2204</v>
      </c>
      <c r="B155" s="925"/>
      <c r="C155" s="925"/>
      <c r="D155" s="925"/>
      <c r="E155" s="925"/>
      <c r="F155" s="925"/>
      <c r="G155" s="925"/>
      <c r="H155" s="925"/>
      <c r="I155" s="925"/>
      <c r="J155" s="925"/>
      <c r="K155" s="925"/>
      <c r="L155" s="925"/>
      <c r="M155" s="925"/>
    </row>
    <row r="156" spans="1:13" ht="11.85" customHeight="1" x14ac:dyDescent="0.25"/>
    <row r="157" spans="1:13" ht="28.9" customHeight="1" x14ac:dyDescent="0.25"/>
    <row r="158" spans="1:13" ht="11.85" customHeight="1" x14ac:dyDescent="0.25"/>
    <row r="159" spans="1:13" ht="11.85" customHeight="1" x14ac:dyDescent="0.25"/>
    <row r="160" spans="1:13" ht="11.1" customHeight="1" x14ac:dyDescent="0.25"/>
    <row r="161" spans="1:13" ht="11.85" customHeight="1" x14ac:dyDescent="0.25"/>
    <row r="162" spans="1:13" ht="11.85" customHeight="1" x14ac:dyDescent="0.25"/>
    <row r="163" spans="1:13" ht="11.85" customHeight="1" x14ac:dyDescent="0.25"/>
    <row r="164" spans="1:13" ht="5.85" customHeight="1" x14ac:dyDescent="0.25">
      <c r="A164" s="920" t="s">
        <v>2167</v>
      </c>
      <c r="B164" s="920"/>
      <c r="C164" s="920"/>
      <c r="D164" s="920"/>
      <c r="E164" s="920"/>
      <c r="F164" s="920"/>
      <c r="G164" s="920"/>
      <c r="H164" s="920"/>
      <c r="I164" s="920"/>
      <c r="J164" s="920"/>
      <c r="K164" s="920"/>
      <c r="L164" s="920"/>
      <c r="M164" s="920"/>
    </row>
    <row r="165" spans="1:13" ht="11.1" customHeight="1" x14ac:dyDescent="0.25"/>
    <row r="166" spans="1:13" ht="35.450000000000003" customHeight="1" x14ac:dyDescent="0.25"/>
    <row r="167" spans="1:13" ht="11.1" customHeight="1" x14ac:dyDescent="0.25"/>
    <row r="168" spans="1:13" ht="11.85" customHeight="1" x14ac:dyDescent="0.25"/>
    <row r="169" spans="1:13" ht="11.85" customHeight="1" x14ac:dyDescent="0.25"/>
    <row r="170" spans="1:13" ht="11.85" customHeight="1" x14ac:dyDescent="0.25"/>
    <row r="171" spans="1:13" ht="5.0999999999999996" customHeight="1" x14ac:dyDescent="0.25"/>
    <row r="172" spans="1:13" ht="11.85" customHeight="1" x14ac:dyDescent="0.25"/>
    <row r="173" spans="1:13" ht="11.85" customHeight="1" x14ac:dyDescent="0.25"/>
    <row r="174" spans="1:13" ht="22.9" customHeight="1" x14ac:dyDescent="0.25"/>
    <row r="175" spans="1:13" ht="5.85" customHeight="1" x14ac:dyDescent="0.25"/>
    <row r="176" spans="1:13" ht="11.85" customHeight="1" x14ac:dyDescent="0.25"/>
    <row r="177" ht="17.850000000000001" customHeight="1" x14ac:dyDescent="0.25"/>
    <row r="178" ht="39.950000000000003" customHeight="1" x14ac:dyDescent="0.25"/>
    <row r="179" ht="40.700000000000003" customHeight="1" x14ac:dyDescent="0.25"/>
    <row r="183" ht="11.85" customHeight="1" x14ac:dyDescent="0.25"/>
  </sheetData>
  <mergeCells count="322">
    <mergeCell ref="A164:M164"/>
    <mergeCell ref="H137:M137"/>
    <mergeCell ref="A139:M139"/>
    <mergeCell ref="A140:D140"/>
    <mergeCell ref="L140:M140"/>
    <mergeCell ref="A141:D141"/>
    <mergeCell ref="A142:D142"/>
    <mergeCell ref="A143:D143"/>
    <mergeCell ref="A144:D144"/>
    <mergeCell ref="A147:B147"/>
    <mergeCell ref="C147:M147"/>
    <mergeCell ref="A150:B150"/>
    <mergeCell ref="H150:M150"/>
    <mergeCell ref="A155:M155"/>
    <mergeCell ref="A126:B126"/>
    <mergeCell ref="H126:M126"/>
    <mergeCell ref="A127:B127"/>
    <mergeCell ref="H127:M127"/>
    <mergeCell ref="A128:B128"/>
    <mergeCell ref="H128:M128"/>
    <mergeCell ref="A129:B129"/>
    <mergeCell ref="H129:M129"/>
    <mergeCell ref="A123:B123"/>
    <mergeCell ref="C123:M123"/>
    <mergeCell ref="A125:B125"/>
    <mergeCell ref="C125:M125"/>
    <mergeCell ref="G91:H91"/>
    <mergeCell ref="I91:J91"/>
    <mergeCell ref="K91:L91"/>
    <mergeCell ref="A92:B92"/>
    <mergeCell ref="D92:E92"/>
    <mergeCell ref="G92:H92"/>
    <mergeCell ref="I92:J92"/>
    <mergeCell ref="K92:L92"/>
    <mergeCell ref="A93:M93"/>
    <mergeCell ref="A91:B91"/>
    <mergeCell ref="D91:E91"/>
    <mergeCell ref="A85:B86"/>
    <mergeCell ref="D85:E85"/>
    <mergeCell ref="G85:H85"/>
    <mergeCell ref="I85:J85"/>
    <mergeCell ref="K85:L85"/>
    <mergeCell ref="A87:B87"/>
    <mergeCell ref="D87:E87"/>
    <mergeCell ref="G87:H87"/>
    <mergeCell ref="I87:J87"/>
    <mergeCell ref="K87:L87"/>
    <mergeCell ref="D83:E83"/>
    <mergeCell ref="G83:H83"/>
    <mergeCell ref="I83:J83"/>
    <mergeCell ref="K83:L83"/>
    <mergeCell ref="A84:B84"/>
    <mergeCell ref="D84:E84"/>
    <mergeCell ref="G84:H84"/>
    <mergeCell ref="I84:J84"/>
    <mergeCell ref="K84:L84"/>
    <mergeCell ref="A83:B83"/>
    <mergeCell ref="A79:B79"/>
    <mergeCell ref="D79:E79"/>
    <mergeCell ref="G79:H79"/>
    <mergeCell ref="I79:J79"/>
    <mergeCell ref="K79:L79"/>
    <mergeCell ref="D80:E80"/>
    <mergeCell ref="G80:H80"/>
    <mergeCell ref="I80:J80"/>
    <mergeCell ref="K80:L80"/>
    <mergeCell ref="A80:B80"/>
    <mergeCell ref="A71:M71"/>
    <mergeCell ref="A72:D72"/>
    <mergeCell ref="L72:M72"/>
    <mergeCell ref="A73:D73"/>
    <mergeCell ref="A74:D74"/>
    <mergeCell ref="A75:D75"/>
    <mergeCell ref="A76:D76"/>
    <mergeCell ref="D78:E78"/>
    <mergeCell ref="G78:H78"/>
    <mergeCell ref="I78:J78"/>
    <mergeCell ref="K78:L78"/>
    <mergeCell ref="A78:B78"/>
    <mergeCell ref="D67:E67"/>
    <mergeCell ref="G67:H67"/>
    <mergeCell ref="I67:J67"/>
    <mergeCell ref="K67:L67"/>
    <mergeCell ref="A69:B69"/>
    <mergeCell ref="D69:E69"/>
    <mergeCell ref="G69:H69"/>
    <mergeCell ref="I69:J69"/>
    <mergeCell ref="K69:L69"/>
    <mergeCell ref="A67:B68"/>
    <mergeCell ref="A62:B62"/>
    <mergeCell ref="D62:E62"/>
    <mergeCell ref="G62:H62"/>
    <mergeCell ref="I62:J62"/>
    <mergeCell ref="K62:L62"/>
    <mergeCell ref="A63:B63"/>
    <mergeCell ref="D63:E63"/>
    <mergeCell ref="G63:H63"/>
    <mergeCell ref="I63:J63"/>
    <mergeCell ref="K63:L63"/>
    <mergeCell ref="A52:E52"/>
    <mergeCell ref="G52:M52"/>
    <mergeCell ref="A53:E53"/>
    <mergeCell ref="G53:M53"/>
    <mergeCell ref="A54:E54"/>
    <mergeCell ref="G54:M54"/>
    <mergeCell ref="A56:B59"/>
    <mergeCell ref="C56:C59"/>
    <mergeCell ref="D56:M56"/>
    <mergeCell ref="D57:E59"/>
    <mergeCell ref="F57:F59"/>
    <mergeCell ref="G57:H58"/>
    <mergeCell ref="I57:J58"/>
    <mergeCell ref="K57:M57"/>
    <mergeCell ref="K58:L59"/>
    <mergeCell ref="M58:M59"/>
    <mergeCell ref="G59:H59"/>
    <mergeCell ref="I59:J59"/>
    <mergeCell ref="A47:E47"/>
    <mergeCell ref="G47:M47"/>
    <mergeCell ref="A48:E48"/>
    <mergeCell ref="G48:M48"/>
    <mergeCell ref="A49:E49"/>
    <mergeCell ref="G49:M49"/>
    <mergeCell ref="A50:E50"/>
    <mergeCell ref="G50:M50"/>
    <mergeCell ref="A51:E51"/>
    <mergeCell ref="G51:M51"/>
    <mergeCell ref="A1:D1"/>
    <mergeCell ref="L1:M1"/>
    <mergeCell ref="A2:D2"/>
    <mergeCell ref="A3:D3"/>
    <mergeCell ref="A4:D4"/>
    <mergeCell ref="A5:D5"/>
    <mergeCell ref="J7:M7"/>
    <mergeCell ref="A8:M8"/>
    <mergeCell ref="A9:E11"/>
    <mergeCell ref="F9:F11"/>
    <mergeCell ref="G9:M9"/>
    <mergeCell ref="G10:M10"/>
    <mergeCell ref="G11:M11"/>
    <mergeCell ref="A12:E12"/>
    <mergeCell ref="G12:M12"/>
    <mergeCell ref="A13:E13"/>
    <mergeCell ref="G13:M13"/>
    <mergeCell ref="A14:E14"/>
    <mergeCell ref="G14:M14"/>
    <mergeCell ref="A15:E15"/>
    <mergeCell ref="G15:M15"/>
    <mergeCell ref="A16:E16"/>
    <mergeCell ref="G16:M16"/>
    <mergeCell ref="A17:E17"/>
    <mergeCell ref="G17:M17"/>
    <mergeCell ref="A18:E18"/>
    <mergeCell ref="G18:M18"/>
    <mergeCell ref="A19:E19"/>
    <mergeCell ref="G19:M19"/>
    <mergeCell ref="A20:E20"/>
    <mergeCell ref="G20:M20"/>
    <mergeCell ref="A21:E21"/>
    <mergeCell ref="G21:M21"/>
    <mergeCell ref="A22:E22"/>
    <mergeCell ref="G22:M22"/>
    <mergeCell ref="A23:E23"/>
    <mergeCell ref="G23:M23"/>
    <mergeCell ref="A24:E24"/>
    <mergeCell ref="G24:M24"/>
    <mergeCell ref="A25:E25"/>
    <mergeCell ref="G25:M25"/>
    <mergeCell ref="A26:E26"/>
    <mergeCell ref="G26:M26"/>
    <mergeCell ref="A27:E27"/>
    <mergeCell ref="G27:M27"/>
    <mergeCell ref="A28:E28"/>
    <mergeCell ref="G28:M28"/>
    <mergeCell ref="A29:E29"/>
    <mergeCell ref="G29:M29"/>
    <mergeCell ref="A30:E30"/>
    <mergeCell ref="G30:M30"/>
    <mergeCell ref="A31:E31"/>
    <mergeCell ref="G31:M31"/>
    <mergeCell ref="A32:E32"/>
    <mergeCell ref="G32:M32"/>
    <mergeCell ref="A33:E33"/>
    <mergeCell ref="G33:M33"/>
    <mergeCell ref="A34:E34"/>
    <mergeCell ref="G34:M34"/>
    <mergeCell ref="A35:E35"/>
    <mergeCell ref="G35:M35"/>
    <mergeCell ref="A36:E36"/>
    <mergeCell ref="G36:M36"/>
    <mergeCell ref="A37:E37"/>
    <mergeCell ref="G37:M37"/>
    <mergeCell ref="A38:E38"/>
    <mergeCell ref="G38:M38"/>
    <mergeCell ref="A39:E39"/>
    <mergeCell ref="G39:M39"/>
    <mergeCell ref="A40:E40"/>
    <mergeCell ref="G40:M40"/>
    <mergeCell ref="A41:E41"/>
    <mergeCell ref="G41:M41"/>
    <mergeCell ref="A42:E42"/>
    <mergeCell ref="G42:M42"/>
    <mergeCell ref="A43:E43"/>
    <mergeCell ref="G43:M43"/>
    <mergeCell ref="A44:E44"/>
    <mergeCell ref="G44:M44"/>
    <mergeCell ref="A45:E45"/>
    <mergeCell ref="G45:M45"/>
    <mergeCell ref="A46:E46"/>
    <mergeCell ref="G46:M46"/>
    <mergeCell ref="A60:B60"/>
    <mergeCell ref="D60:E60"/>
    <mergeCell ref="G60:H60"/>
    <mergeCell ref="I60:J60"/>
    <mergeCell ref="K60:L60"/>
    <mergeCell ref="A61:B61"/>
    <mergeCell ref="D61:E61"/>
    <mergeCell ref="G61:H61"/>
    <mergeCell ref="I61:J61"/>
    <mergeCell ref="K61:L61"/>
    <mergeCell ref="A64:B65"/>
    <mergeCell ref="D64:E64"/>
    <mergeCell ref="G64:H64"/>
    <mergeCell ref="I64:J64"/>
    <mergeCell ref="K64:L64"/>
    <mergeCell ref="A66:B66"/>
    <mergeCell ref="D66:E66"/>
    <mergeCell ref="G66:H66"/>
    <mergeCell ref="I66:J66"/>
    <mergeCell ref="K66:L66"/>
    <mergeCell ref="A81:B81"/>
    <mergeCell ref="D81:E81"/>
    <mergeCell ref="G81:H81"/>
    <mergeCell ref="I81:J81"/>
    <mergeCell ref="K81:L81"/>
    <mergeCell ref="A82:B82"/>
    <mergeCell ref="D82:E82"/>
    <mergeCell ref="G82:H82"/>
    <mergeCell ref="I82:J82"/>
    <mergeCell ref="K82:L82"/>
    <mergeCell ref="A88:B89"/>
    <mergeCell ref="D88:E88"/>
    <mergeCell ref="G88:H88"/>
    <mergeCell ref="I88:J88"/>
    <mergeCell ref="K88:L88"/>
    <mergeCell ref="A90:B90"/>
    <mergeCell ref="D90:E90"/>
    <mergeCell ref="G90:H90"/>
    <mergeCell ref="I90:J90"/>
    <mergeCell ref="K90:L90"/>
    <mergeCell ref="A94:B94"/>
    <mergeCell ref="C94:M94"/>
    <mergeCell ref="A95:M95"/>
    <mergeCell ref="A96:B96"/>
    <mergeCell ref="C96:M96"/>
    <mergeCell ref="A98:B98"/>
    <mergeCell ref="C98:M98"/>
    <mergeCell ref="A99:B99"/>
    <mergeCell ref="C99:M99"/>
    <mergeCell ref="A101:B102"/>
    <mergeCell ref="C101:M101"/>
    <mergeCell ref="C102:M102"/>
    <mergeCell ref="A103:B103"/>
    <mergeCell ref="C103:M103"/>
    <mergeCell ref="A104:B104"/>
    <mergeCell ref="C104:M104"/>
    <mergeCell ref="A105:M105"/>
    <mergeCell ref="A106:B106"/>
    <mergeCell ref="C106:M106"/>
    <mergeCell ref="A116:B116"/>
    <mergeCell ref="C116:G116"/>
    <mergeCell ref="H116:M116"/>
    <mergeCell ref="A117:B117"/>
    <mergeCell ref="A107:M107"/>
    <mergeCell ref="A108:M108"/>
    <mergeCell ref="A109:B111"/>
    <mergeCell ref="C109:M109"/>
    <mergeCell ref="C110:G110"/>
    <mergeCell ref="H110:M110"/>
    <mergeCell ref="C111:G111"/>
    <mergeCell ref="H111:M111"/>
    <mergeCell ref="A112:B112"/>
    <mergeCell ref="C112:G112"/>
    <mergeCell ref="H112:M112"/>
    <mergeCell ref="C117:G117"/>
    <mergeCell ref="H117:M117"/>
    <mergeCell ref="A130:B130"/>
    <mergeCell ref="H130:M130"/>
    <mergeCell ref="A134:B134"/>
    <mergeCell ref="C134:M134"/>
    <mergeCell ref="A113:B113"/>
    <mergeCell ref="C113:G113"/>
    <mergeCell ref="H113:M113"/>
    <mergeCell ref="A114:B114"/>
    <mergeCell ref="C114:G114"/>
    <mergeCell ref="A118:B118"/>
    <mergeCell ref="A119:B119"/>
    <mergeCell ref="A122:B122"/>
    <mergeCell ref="C118:G118"/>
    <mergeCell ref="H118:M118"/>
    <mergeCell ref="C119:G119"/>
    <mergeCell ref="H119:M119"/>
    <mergeCell ref="A120:B120"/>
    <mergeCell ref="C120:M120"/>
    <mergeCell ref="A121:M121"/>
    <mergeCell ref="C122:M122"/>
    <mergeCell ref="H114:M114"/>
    <mergeCell ref="A115:B115"/>
    <mergeCell ref="C115:G115"/>
    <mergeCell ref="H115:M115"/>
    <mergeCell ref="A136:B136"/>
    <mergeCell ref="C136:M136"/>
    <mergeCell ref="A137:B137"/>
    <mergeCell ref="A148:B148"/>
    <mergeCell ref="H148:M148"/>
    <mergeCell ref="A149:B149"/>
    <mergeCell ref="H149:M149"/>
    <mergeCell ref="A131:B131"/>
    <mergeCell ref="H131:M131"/>
    <mergeCell ref="A132:B132"/>
    <mergeCell ref="C132:M132"/>
    <mergeCell ref="A133:M133"/>
  </mergeCells>
  <pageMargins left="0.511811024" right="0.511811024" top="0.78740157499999996" bottom="0.78740157499999996" header="0.31496062000000002" footer="0.31496062000000002"/>
  <pageSetup paperSize="9" orientation="portrait" horizontalDpi="0" verticalDpi="0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83"/>
  <sheetViews>
    <sheetView topLeftCell="A34" workbookViewId="0">
      <selection activeCell="B181" sqref="B181"/>
    </sheetView>
  </sheetViews>
  <sheetFormatPr defaultRowHeight="15" x14ac:dyDescent="0.25"/>
  <cols>
    <col min="1" max="1" width="56.5703125" customWidth="1"/>
    <col min="2" max="2" width="13.140625" customWidth="1"/>
    <col min="3" max="3" width="4.140625" customWidth="1"/>
    <col min="4" max="4" width="8.140625" customWidth="1"/>
    <col min="5" max="5" width="5" customWidth="1"/>
    <col min="6" max="6" width="13.28515625" customWidth="1"/>
    <col min="7" max="7" width="8.140625" customWidth="1"/>
    <col min="8" max="8" width="1" customWidth="1"/>
    <col min="9" max="9" width="4" customWidth="1"/>
    <col min="10" max="10" width="4.140625" customWidth="1"/>
    <col min="11" max="11" width="4" customWidth="1"/>
    <col min="12" max="12" width="11.140625" customWidth="1"/>
    <col min="13" max="13" width="0.5703125" customWidth="1"/>
  </cols>
  <sheetData>
    <row r="1" spans="1:13" ht="11.85" customHeight="1" x14ac:dyDescent="0.25">
      <c r="A1" s="904" t="s">
        <v>539</v>
      </c>
      <c r="B1" s="904"/>
      <c r="L1" s="805" t="s">
        <v>920</v>
      </c>
    </row>
    <row r="2" spans="1:13" ht="11.1" customHeight="1" x14ac:dyDescent="0.25">
      <c r="A2" s="904" t="s">
        <v>707</v>
      </c>
      <c r="B2" s="904"/>
    </row>
    <row r="3" spans="1:13" ht="11.85" customHeight="1" x14ac:dyDescent="0.25">
      <c r="A3" s="905" t="s">
        <v>921</v>
      </c>
      <c r="B3" s="905"/>
      <c r="C3" s="905"/>
      <c r="D3" s="905"/>
      <c r="E3" s="905"/>
      <c r="F3" s="905"/>
      <c r="G3" s="905"/>
      <c r="H3" s="905"/>
    </row>
    <row r="4" spans="1:13" ht="11.85" customHeight="1" x14ac:dyDescent="0.25">
      <c r="A4" s="904" t="s">
        <v>922</v>
      </c>
      <c r="B4" s="904"/>
    </row>
    <row r="5" spans="1:13" ht="11.85" customHeight="1" x14ac:dyDescent="0.25">
      <c r="A5" s="904" t="s">
        <v>2205</v>
      </c>
      <c r="B5" s="904"/>
    </row>
    <row r="6" spans="1:13" ht="5.85" customHeight="1" x14ac:dyDescent="0.25"/>
    <row r="7" spans="1:13" ht="11.1" customHeight="1" x14ac:dyDescent="0.25">
      <c r="A7" s="906" t="s">
        <v>923</v>
      </c>
      <c r="B7" s="906"/>
      <c r="C7" s="425"/>
      <c r="D7" s="425"/>
      <c r="E7" s="425"/>
      <c r="F7" s="425"/>
      <c r="G7" s="425"/>
      <c r="H7" s="981" t="s">
        <v>471</v>
      </c>
      <c r="I7" s="981"/>
      <c r="J7" s="981"/>
      <c r="K7" s="981"/>
      <c r="L7" s="981"/>
    </row>
    <row r="8" spans="1:13" ht="11.85" customHeight="1" x14ac:dyDescent="0.25">
      <c r="A8" s="1025" t="s">
        <v>924</v>
      </c>
      <c r="B8" s="1026"/>
      <c r="C8" s="1026"/>
      <c r="D8" s="1026"/>
      <c r="E8" s="1026"/>
      <c r="F8" s="1026"/>
      <c r="G8" s="1026"/>
      <c r="H8" s="1026"/>
      <c r="I8" s="1026"/>
      <c r="J8" s="1026"/>
      <c r="K8" s="1026"/>
      <c r="L8" s="1027"/>
      <c r="M8" s="426"/>
    </row>
    <row r="9" spans="1:13" ht="11.85" customHeight="1" x14ac:dyDescent="0.25">
      <c r="A9" s="1025" t="s">
        <v>925</v>
      </c>
      <c r="B9" s="1026"/>
      <c r="C9" s="1026"/>
      <c r="D9" s="1026"/>
      <c r="E9" s="1026"/>
      <c r="F9" s="1026"/>
      <c r="G9" s="1026"/>
      <c r="H9" s="1026"/>
      <c r="I9" s="1026"/>
      <c r="J9" s="1026"/>
      <c r="K9" s="1026"/>
      <c r="L9" s="1027"/>
      <c r="M9" s="426"/>
    </row>
    <row r="10" spans="1:13" ht="11.85" customHeight="1" x14ac:dyDescent="0.25">
      <c r="A10" s="786" t="s">
        <v>926</v>
      </c>
      <c r="B10" s="892" t="s">
        <v>927</v>
      </c>
      <c r="C10" s="902"/>
      <c r="D10" s="903"/>
      <c r="E10" s="892" t="s">
        <v>928</v>
      </c>
      <c r="F10" s="902"/>
      <c r="G10" s="902"/>
      <c r="H10" s="902"/>
      <c r="I10" s="902"/>
      <c r="J10" s="902"/>
      <c r="K10" s="902"/>
      <c r="L10" s="903"/>
      <c r="M10" s="426"/>
    </row>
    <row r="11" spans="1:13" ht="5.0999999999999996" customHeight="1" x14ac:dyDescent="0.25">
      <c r="A11" s="807" t="s">
        <v>929</v>
      </c>
      <c r="B11" s="1011" t="s">
        <v>930</v>
      </c>
      <c r="C11" s="1012"/>
      <c r="D11" s="1013"/>
      <c r="E11" s="1011" t="s">
        <v>2206</v>
      </c>
      <c r="F11" s="1012"/>
      <c r="G11" s="1012"/>
      <c r="H11" s="1012"/>
      <c r="I11" s="1012"/>
      <c r="J11" s="1012"/>
      <c r="K11" s="1012"/>
      <c r="L11" s="1013"/>
      <c r="M11" s="426"/>
    </row>
    <row r="12" spans="1:13" ht="11.85" customHeight="1" x14ac:dyDescent="0.25">
      <c r="A12" s="818" t="s">
        <v>931</v>
      </c>
      <c r="B12" s="1014" t="s">
        <v>932</v>
      </c>
      <c r="C12" s="1015"/>
      <c r="D12" s="1016"/>
      <c r="E12" s="1014" t="s">
        <v>2207</v>
      </c>
      <c r="F12" s="1015"/>
      <c r="G12" s="1015"/>
      <c r="H12" s="1015"/>
      <c r="I12" s="1015"/>
      <c r="J12" s="1015"/>
      <c r="K12" s="1015"/>
      <c r="L12" s="1016"/>
      <c r="M12" s="426"/>
    </row>
    <row r="13" spans="1:13" ht="11.85" customHeight="1" x14ac:dyDescent="0.25">
      <c r="A13" s="808" t="s">
        <v>933</v>
      </c>
      <c r="B13" s="881" t="s">
        <v>934</v>
      </c>
      <c r="C13" s="882"/>
      <c r="D13" s="883"/>
      <c r="E13" s="881" t="s">
        <v>2208</v>
      </c>
      <c r="F13" s="882"/>
      <c r="G13" s="882"/>
      <c r="H13" s="882"/>
      <c r="I13" s="882"/>
      <c r="J13" s="882"/>
      <c r="K13" s="882"/>
      <c r="L13" s="883"/>
      <c r="M13" s="426"/>
    </row>
    <row r="14" spans="1:13" ht="11.85" customHeight="1" x14ac:dyDescent="0.25">
      <c r="A14" s="808" t="s">
        <v>935</v>
      </c>
      <c r="B14" s="881" t="s">
        <v>936</v>
      </c>
      <c r="C14" s="882"/>
      <c r="D14" s="883"/>
      <c r="E14" s="881" t="s">
        <v>2209</v>
      </c>
      <c r="F14" s="882"/>
      <c r="G14" s="882"/>
      <c r="H14" s="882"/>
      <c r="I14" s="882"/>
      <c r="J14" s="882"/>
      <c r="K14" s="882"/>
      <c r="L14" s="883"/>
      <c r="M14" s="426"/>
    </row>
    <row r="15" spans="1:13" ht="11.1" customHeight="1" x14ac:dyDescent="0.25">
      <c r="A15" s="808" t="s">
        <v>937</v>
      </c>
      <c r="B15" s="881" t="s">
        <v>938</v>
      </c>
      <c r="C15" s="882"/>
      <c r="D15" s="883"/>
      <c r="E15" s="881" t="s">
        <v>2210</v>
      </c>
      <c r="F15" s="882"/>
      <c r="G15" s="882"/>
      <c r="H15" s="882"/>
      <c r="I15" s="882"/>
      <c r="J15" s="882"/>
      <c r="K15" s="882"/>
      <c r="L15" s="883"/>
      <c r="M15" s="426"/>
    </row>
    <row r="16" spans="1:13" ht="11.85" customHeight="1" x14ac:dyDescent="0.25">
      <c r="A16" s="818" t="s">
        <v>939</v>
      </c>
      <c r="B16" s="1014" t="s">
        <v>940</v>
      </c>
      <c r="C16" s="1015"/>
      <c r="D16" s="1016"/>
      <c r="E16" s="1014" t="s">
        <v>2211</v>
      </c>
      <c r="F16" s="1015"/>
      <c r="G16" s="1015"/>
      <c r="H16" s="1015"/>
      <c r="I16" s="1015"/>
      <c r="J16" s="1015"/>
      <c r="K16" s="1015"/>
      <c r="L16" s="1016"/>
      <c r="M16" s="426"/>
    </row>
    <row r="17" spans="1:13" ht="11.85" customHeight="1" x14ac:dyDescent="0.25">
      <c r="A17" s="808" t="s">
        <v>933</v>
      </c>
      <c r="B17" s="881" t="s">
        <v>941</v>
      </c>
      <c r="C17" s="882"/>
      <c r="D17" s="883"/>
      <c r="E17" s="881" t="s">
        <v>2212</v>
      </c>
      <c r="F17" s="882"/>
      <c r="G17" s="882"/>
      <c r="H17" s="882"/>
      <c r="I17" s="882"/>
      <c r="J17" s="882"/>
      <c r="K17" s="882"/>
      <c r="L17" s="883"/>
      <c r="M17" s="426"/>
    </row>
    <row r="18" spans="1:13" ht="11.85" customHeight="1" x14ac:dyDescent="0.25">
      <c r="A18" s="808" t="s">
        <v>935</v>
      </c>
      <c r="B18" s="881" t="s">
        <v>942</v>
      </c>
      <c r="C18" s="882"/>
      <c r="D18" s="883"/>
      <c r="E18" s="881" t="s">
        <v>2213</v>
      </c>
      <c r="F18" s="882"/>
      <c r="G18" s="882"/>
      <c r="H18" s="882"/>
      <c r="I18" s="882"/>
      <c r="J18" s="882"/>
      <c r="K18" s="882"/>
      <c r="L18" s="883"/>
      <c r="M18" s="426"/>
    </row>
    <row r="19" spans="1:13" ht="11.1" customHeight="1" x14ac:dyDescent="0.25">
      <c r="A19" s="808" t="s">
        <v>937</v>
      </c>
      <c r="B19" s="881" t="s">
        <v>943</v>
      </c>
      <c r="C19" s="882"/>
      <c r="D19" s="883"/>
      <c r="E19" s="881" t="s">
        <v>2214</v>
      </c>
      <c r="F19" s="882"/>
      <c r="G19" s="882"/>
      <c r="H19" s="882"/>
      <c r="I19" s="882"/>
      <c r="J19" s="882"/>
      <c r="K19" s="882"/>
      <c r="L19" s="883"/>
      <c r="M19" s="426"/>
    </row>
    <row r="20" spans="1:13" ht="11.85" customHeight="1" x14ac:dyDescent="0.25">
      <c r="A20" s="818" t="s">
        <v>944</v>
      </c>
      <c r="B20" s="1014" t="s">
        <v>945</v>
      </c>
      <c r="C20" s="1015"/>
      <c r="D20" s="1016"/>
      <c r="E20" s="1014" t="s">
        <v>2215</v>
      </c>
      <c r="F20" s="1015"/>
      <c r="G20" s="1015"/>
      <c r="H20" s="1015"/>
      <c r="I20" s="1015"/>
      <c r="J20" s="1015"/>
      <c r="K20" s="1015"/>
      <c r="L20" s="1016"/>
      <c r="M20" s="426"/>
    </row>
    <row r="21" spans="1:13" ht="11.85" customHeight="1" x14ac:dyDescent="0.25">
      <c r="A21" s="808" t="s">
        <v>946</v>
      </c>
      <c r="B21" s="881" t="s">
        <v>479</v>
      </c>
      <c r="C21" s="882"/>
      <c r="D21" s="883"/>
      <c r="E21" s="881" t="s">
        <v>479</v>
      </c>
      <c r="F21" s="882"/>
      <c r="G21" s="882"/>
      <c r="H21" s="882"/>
      <c r="I21" s="882"/>
      <c r="J21" s="882"/>
      <c r="K21" s="882"/>
      <c r="L21" s="883"/>
      <c r="M21" s="426"/>
    </row>
    <row r="22" spans="1:13" ht="11.85" customHeight="1" x14ac:dyDescent="0.25">
      <c r="A22" s="808" t="s">
        <v>947</v>
      </c>
      <c r="B22" s="881" t="s">
        <v>945</v>
      </c>
      <c r="C22" s="882"/>
      <c r="D22" s="883"/>
      <c r="E22" s="881" t="s">
        <v>2215</v>
      </c>
      <c r="F22" s="882"/>
      <c r="G22" s="882"/>
      <c r="H22" s="882"/>
      <c r="I22" s="882"/>
      <c r="J22" s="882"/>
      <c r="K22" s="882"/>
      <c r="L22" s="883"/>
      <c r="M22" s="426"/>
    </row>
    <row r="23" spans="1:13" ht="11.1" customHeight="1" x14ac:dyDescent="0.25">
      <c r="A23" s="808" t="s">
        <v>948</v>
      </c>
      <c r="B23" s="881" t="s">
        <v>479</v>
      </c>
      <c r="C23" s="882"/>
      <c r="D23" s="883"/>
      <c r="E23" s="881" t="s">
        <v>479</v>
      </c>
      <c r="F23" s="882"/>
      <c r="G23" s="882"/>
      <c r="H23" s="882"/>
      <c r="I23" s="882"/>
      <c r="J23" s="882"/>
      <c r="K23" s="882"/>
      <c r="L23" s="883"/>
      <c r="M23" s="426"/>
    </row>
    <row r="24" spans="1:13" ht="11.85" customHeight="1" x14ac:dyDescent="0.25">
      <c r="A24" s="818" t="s">
        <v>949</v>
      </c>
      <c r="B24" s="1014" t="s">
        <v>479</v>
      </c>
      <c r="C24" s="1015"/>
      <c r="D24" s="1016"/>
      <c r="E24" s="1014" t="s">
        <v>479</v>
      </c>
      <c r="F24" s="1015"/>
      <c r="G24" s="1015"/>
      <c r="H24" s="1015"/>
      <c r="I24" s="1015"/>
      <c r="J24" s="1015"/>
      <c r="K24" s="1015"/>
      <c r="L24" s="1016"/>
      <c r="M24" s="426"/>
    </row>
    <row r="25" spans="1:13" ht="11.85" customHeight="1" x14ac:dyDescent="0.25">
      <c r="A25" s="818" t="s">
        <v>950</v>
      </c>
      <c r="B25" s="1014" t="s">
        <v>951</v>
      </c>
      <c r="C25" s="1015"/>
      <c r="D25" s="1016"/>
      <c r="E25" s="1014" t="s">
        <v>2216</v>
      </c>
      <c r="F25" s="1015"/>
      <c r="G25" s="1015"/>
      <c r="H25" s="1015"/>
      <c r="I25" s="1015"/>
      <c r="J25" s="1015"/>
      <c r="K25" s="1015"/>
      <c r="L25" s="1016"/>
      <c r="M25" s="426"/>
    </row>
    <row r="26" spans="1:13" ht="11.85" customHeight="1" x14ac:dyDescent="0.25">
      <c r="A26" s="808" t="s">
        <v>952</v>
      </c>
      <c r="B26" s="881" t="s">
        <v>912</v>
      </c>
      <c r="C26" s="882"/>
      <c r="D26" s="883"/>
      <c r="E26" s="881" t="s">
        <v>2217</v>
      </c>
      <c r="F26" s="882"/>
      <c r="G26" s="882"/>
      <c r="H26" s="882"/>
      <c r="I26" s="882"/>
      <c r="J26" s="882"/>
      <c r="K26" s="882"/>
      <c r="L26" s="883"/>
      <c r="M26" s="426"/>
    </row>
    <row r="27" spans="1:13" ht="11.1" customHeight="1" x14ac:dyDescent="0.25">
      <c r="A27" s="808" t="s">
        <v>953</v>
      </c>
      <c r="B27" s="881" t="s">
        <v>912</v>
      </c>
      <c r="C27" s="882"/>
      <c r="D27" s="883"/>
      <c r="E27" s="881" t="s">
        <v>479</v>
      </c>
      <c r="F27" s="882"/>
      <c r="G27" s="882"/>
      <c r="H27" s="882"/>
      <c r="I27" s="882"/>
      <c r="J27" s="882"/>
      <c r="K27" s="882"/>
      <c r="L27" s="883"/>
      <c r="M27" s="426"/>
    </row>
    <row r="28" spans="1:13" ht="11.85" customHeight="1" x14ac:dyDescent="0.25">
      <c r="A28" s="808" t="s">
        <v>872</v>
      </c>
      <c r="B28" s="881" t="s">
        <v>954</v>
      </c>
      <c r="C28" s="882"/>
      <c r="D28" s="883"/>
      <c r="E28" s="881" t="s">
        <v>2079</v>
      </c>
      <c r="F28" s="882"/>
      <c r="G28" s="882"/>
      <c r="H28" s="882"/>
      <c r="I28" s="882"/>
      <c r="J28" s="882"/>
      <c r="K28" s="882"/>
      <c r="L28" s="883"/>
      <c r="M28" s="426"/>
    </row>
    <row r="29" spans="1:13" ht="11.85" customHeight="1" x14ac:dyDescent="0.25">
      <c r="A29" s="808" t="s">
        <v>955</v>
      </c>
      <c r="B29" s="1014" t="s">
        <v>479</v>
      </c>
      <c r="C29" s="1015"/>
      <c r="D29" s="1016"/>
      <c r="E29" s="1014" t="s">
        <v>2084</v>
      </c>
      <c r="F29" s="1015"/>
      <c r="G29" s="1015"/>
      <c r="H29" s="1015"/>
      <c r="I29" s="1015"/>
      <c r="J29" s="1015"/>
      <c r="K29" s="1015"/>
      <c r="L29" s="1016"/>
      <c r="M29" s="426"/>
    </row>
    <row r="30" spans="1:13" ht="11.85" customHeight="1" x14ac:dyDescent="0.25">
      <c r="A30" s="808" t="s">
        <v>956</v>
      </c>
      <c r="B30" s="881" t="s">
        <v>479</v>
      </c>
      <c r="C30" s="882"/>
      <c r="D30" s="883"/>
      <c r="E30" s="881" t="s">
        <v>479</v>
      </c>
      <c r="F30" s="882"/>
      <c r="G30" s="882"/>
      <c r="H30" s="882"/>
      <c r="I30" s="882"/>
      <c r="J30" s="882"/>
      <c r="K30" s="882"/>
      <c r="L30" s="883"/>
      <c r="M30" s="426"/>
    </row>
    <row r="31" spans="1:13" ht="11.1" customHeight="1" x14ac:dyDescent="0.25">
      <c r="A31" s="808" t="s">
        <v>957</v>
      </c>
      <c r="B31" s="881" t="s">
        <v>479</v>
      </c>
      <c r="C31" s="882"/>
      <c r="D31" s="883"/>
      <c r="E31" s="881" t="s">
        <v>2084</v>
      </c>
      <c r="F31" s="882"/>
      <c r="G31" s="882"/>
      <c r="H31" s="882"/>
      <c r="I31" s="882"/>
      <c r="J31" s="882"/>
      <c r="K31" s="882"/>
      <c r="L31" s="883"/>
      <c r="M31" s="426"/>
    </row>
    <row r="32" spans="1:13" ht="11.85" customHeight="1" x14ac:dyDescent="0.25">
      <c r="A32" s="810" t="s">
        <v>958</v>
      </c>
      <c r="B32" s="917" t="s">
        <v>479</v>
      </c>
      <c r="C32" s="919"/>
      <c r="D32" s="918"/>
      <c r="E32" s="917" t="s">
        <v>479</v>
      </c>
      <c r="F32" s="919"/>
      <c r="G32" s="919"/>
      <c r="H32" s="919"/>
      <c r="I32" s="919"/>
      <c r="J32" s="919"/>
      <c r="K32" s="919"/>
      <c r="L32" s="918"/>
      <c r="M32" s="426"/>
    </row>
    <row r="33" spans="1:13" ht="11.85" customHeight="1" x14ac:dyDescent="0.25">
      <c r="A33" s="809" t="s">
        <v>959</v>
      </c>
      <c r="B33" s="1031" t="s">
        <v>960</v>
      </c>
      <c r="C33" s="1032"/>
      <c r="D33" s="1033"/>
      <c r="E33" s="1031" t="s">
        <v>2218</v>
      </c>
      <c r="F33" s="1032"/>
      <c r="G33" s="1032"/>
      <c r="H33" s="1032"/>
      <c r="I33" s="1032"/>
      <c r="J33" s="1032"/>
      <c r="K33" s="1032"/>
      <c r="L33" s="1033"/>
      <c r="M33" s="426"/>
    </row>
    <row r="34" spans="1:13" ht="11.85" customHeight="1" x14ac:dyDescent="0.25">
      <c r="A34" s="427"/>
      <c r="B34" s="427"/>
      <c r="C34" s="427"/>
      <c r="D34" s="427"/>
      <c r="E34" s="427"/>
      <c r="F34" s="427"/>
      <c r="G34" s="427"/>
      <c r="H34" s="427"/>
      <c r="I34" s="427"/>
      <c r="J34" s="427"/>
      <c r="K34" s="427"/>
      <c r="L34" s="427"/>
    </row>
    <row r="35" spans="1:13" ht="11.1" customHeight="1" x14ac:dyDescent="0.25">
      <c r="A35" s="786" t="s">
        <v>961</v>
      </c>
      <c r="B35" s="892" t="s">
        <v>962</v>
      </c>
      <c r="C35" s="903"/>
      <c r="D35" s="892" t="s">
        <v>963</v>
      </c>
      <c r="E35" s="903"/>
      <c r="F35" s="787" t="s">
        <v>964</v>
      </c>
      <c r="G35" s="892" t="s">
        <v>965</v>
      </c>
      <c r="H35" s="902"/>
      <c r="I35" s="903"/>
      <c r="J35" s="892" t="s">
        <v>966</v>
      </c>
      <c r="K35" s="902"/>
      <c r="L35" s="903"/>
      <c r="M35" s="426"/>
    </row>
    <row r="36" spans="1:13" ht="11.85" customHeight="1" x14ac:dyDescent="0.25">
      <c r="A36" s="815" t="s">
        <v>967</v>
      </c>
      <c r="B36" s="914" t="s">
        <v>968</v>
      </c>
      <c r="C36" s="915"/>
      <c r="D36" s="914" t="s">
        <v>2219</v>
      </c>
      <c r="E36" s="915"/>
      <c r="F36" s="790" t="s">
        <v>2219</v>
      </c>
      <c r="G36" s="914" t="s">
        <v>2220</v>
      </c>
      <c r="H36" s="916"/>
      <c r="I36" s="915"/>
      <c r="J36" s="914" t="s">
        <v>479</v>
      </c>
      <c r="K36" s="916"/>
      <c r="L36" s="915"/>
      <c r="M36" s="796"/>
    </row>
    <row r="37" spans="1:13" ht="11.85" customHeight="1" x14ac:dyDescent="0.25">
      <c r="A37" s="808" t="s">
        <v>969</v>
      </c>
      <c r="B37" s="884" t="s">
        <v>970</v>
      </c>
      <c r="C37" s="885"/>
      <c r="D37" s="884" t="s">
        <v>2221</v>
      </c>
      <c r="E37" s="885"/>
      <c r="F37" s="791" t="s">
        <v>2221</v>
      </c>
      <c r="G37" s="884" t="s">
        <v>2222</v>
      </c>
      <c r="H37" s="913"/>
      <c r="I37" s="885"/>
      <c r="J37" s="884" t="s">
        <v>479</v>
      </c>
      <c r="K37" s="913"/>
      <c r="L37" s="885"/>
      <c r="M37" s="796"/>
    </row>
    <row r="38" spans="1:13" ht="11.85" customHeight="1" x14ac:dyDescent="0.25">
      <c r="A38" s="808" t="s">
        <v>971</v>
      </c>
      <c r="B38" s="884" t="s">
        <v>972</v>
      </c>
      <c r="C38" s="885"/>
      <c r="D38" s="884" t="s">
        <v>2223</v>
      </c>
      <c r="E38" s="885"/>
      <c r="F38" s="791" t="s">
        <v>2223</v>
      </c>
      <c r="G38" s="884" t="s">
        <v>2224</v>
      </c>
      <c r="H38" s="913"/>
      <c r="I38" s="885"/>
      <c r="J38" s="884" t="s">
        <v>479</v>
      </c>
      <c r="K38" s="913"/>
      <c r="L38" s="885"/>
      <c r="M38" s="796"/>
    </row>
    <row r="39" spans="1:13" ht="11.1" customHeight="1" x14ac:dyDescent="0.25">
      <c r="A39" s="818" t="s">
        <v>973</v>
      </c>
      <c r="B39" s="884" t="s">
        <v>479</v>
      </c>
      <c r="C39" s="885"/>
      <c r="D39" s="884" t="s">
        <v>479</v>
      </c>
      <c r="E39" s="885"/>
      <c r="F39" s="791" t="s">
        <v>479</v>
      </c>
      <c r="G39" s="884" t="s">
        <v>479</v>
      </c>
      <c r="H39" s="913"/>
      <c r="I39" s="885"/>
      <c r="J39" s="884" t="s">
        <v>479</v>
      </c>
      <c r="K39" s="913"/>
      <c r="L39" s="885"/>
      <c r="M39" s="796"/>
    </row>
    <row r="40" spans="1:13" ht="11.85" customHeight="1" x14ac:dyDescent="0.25">
      <c r="A40" s="808" t="s">
        <v>952</v>
      </c>
      <c r="B40" s="884" t="s">
        <v>479</v>
      </c>
      <c r="C40" s="885"/>
      <c r="D40" s="884" t="s">
        <v>479</v>
      </c>
      <c r="E40" s="885"/>
      <c r="F40" s="791" t="s">
        <v>479</v>
      </c>
      <c r="G40" s="884" t="s">
        <v>479</v>
      </c>
      <c r="H40" s="913"/>
      <c r="I40" s="885"/>
      <c r="J40" s="884" t="s">
        <v>479</v>
      </c>
      <c r="K40" s="913"/>
      <c r="L40" s="885"/>
      <c r="M40" s="796"/>
    </row>
    <row r="41" spans="1:13" ht="11.85" customHeight="1" x14ac:dyDescent="0.25">
      <c r="A41" s="810" t="s">
        <v>974</v>
      </c>
      <c r="B41" s="910" t="s">
        <v>479</v>
      </c>
      <c r="C41" s="911"/>
      <c r="D41" s="910" t="s">
        <v>479</v>
      </c>
      <c r="E41" s="911"/>
      <c r="F41" s="792" t="s">
        <v>479</v>
      </c>
      <c r="G41" s="910" t="s">
        <v>479</v>
      </c>
      <c r="H41" s="912"/>
      <c r="I41" s="911"/>
      <c r="J41" s="910" t="s">
        <v>479</v>
      </c>
      <c r="K41" s="912"/>
      <c r="L41" s="911"/>
      <c r="M41" s="796"/>
    </row>
    <row r="42" spans="1:13" ht="11.85" customHeight="1" x14ac:dyDescent="0.25">
      <c r="A42" s="809" t="s">
        <v>975</v>
      </c>
      <c r="B42" s="1017" t="s">
        <v>968</v>
      </c>
      <c r="C42" s="1018"/>
      <c r="D42" s="1017" t="s">
        <v>2219</v>
      </c>
      <c r="E42" s="1018"/>
      <c r="F42" s="793" t="s">
        <v>2219</v>
      </c>
      <c r="G42" s="1017" t="s">
        <v>2220</v>
      </c>
      <c r="H42" s="1019"/>
      <c r="I42" s="1018"/>
      <c r="J42" s="1017" t="s">
        <v>479</v>
      </c>
      <c r="K42" s="1019"/>
      <c r="L42" s="1018"/>
      <c r="M42" s="796"/>
    </row>
    <row r="43" spans="1:13" ht="11.1" customHeight="1" x14ac:dyDescent="0.25">
      <c r="A43" s="427"/>
      <c r="B43" s="427"/>
      <c r="C43" s="427"/>
      <c r="D43" s="427"/>
      <c r="E43" s="427"/>
      <c r="F43" s="427"/>
      <c r="G43" s="427"/>
      <c r="H43" s="427"/>
      <c r="I43" s="427"/>
      <c r="J43" s="427"/>
      <c r="K43" s="427"/>
      <c r="L43" s="427"/>
    </row>
    <row r="44" spans="1:13" ht="11.85" customHeight="1" x14ac:dyDescent="0.25">
      <c r="A44" s="809" t="s">
        <v>976</v>
      </c>
      <c r="B44" s="1017" t="s">
        <v>977</v>
      </c>
      <c r="C44" s="1018"/>
      <c r="D44" s="1017" t="s">
        <v>2225</v>
      </c>
      <c r="E44" s="1018"/>
      <c r="F44" s="793" t="s">
        <v>2225</v>
      </c>
      <c r="G44" s="1017" t="s">
        <v>2226</v>
      </c>
      <c r="H44" s="1019"/>
      <c r="I44" s="1018"/>
      <c r="J44" s="907"/>
      <c r="K44" s="909"/>
      <c r="L44" s="908"/>
      <c r="M44" s="796"/>
    </row>
    <row r="45" spans="1:13" ht="11.85" customHeight="1" x14ac:dyDescent="0.25">
      <c r="A45" s="427"/>
      <c r="B45" s="427"/>
      <c r="C45" s="427"/>
      <c r="D45" s="427"/>
      <c r="E45" s="427"/>
      <c r="F45" s="427"/>
      <c r="G45" s="427"/>
      <c r="H45" s="427"/>
      <c r="I45" s="427"/>
      <c r="J45" s="427"/>
      <c r="K45" s="427"/>
      <c r="L45" s="427"/>
    </row>
    <row r="46" spans="1:13" ht="11.85" customHeight="1" x14ac:dyDescent="0.25">
      <c r="A46" s="978" t="s">
        <v>2227</v>
      </c>
      <c r="B46" s="978"/>
      <c r="C46" s="978"/>
      <c r="D46" s="978"/>
      <c r="E46" s="978"/>
      <c r="F46" s="978"/>
      <c r="G46" s="978"/>
      <c r="H46" s="978"/>
      <c r="I46" s="978"/>
      <c r="J46" s="978"/>
      <c r="K46" s="978"/>
      <c r="L46" s="978"/>
    </row>
    <row r="47" spans="1:13" ht="11.1" customHeight="1" x14ac:dyDescent="0.25">
      <c r="A47" s="904" t="s">
        <v>539</v>
      </c>
      <c r="B47" s="904"/>
      <c r="L47" s="805" t="s">
        <v>978</v>
      </c>
    </row>
    <row r="48" spans="1:13" ht="11.85" customHeight="1" x14ac:dyDescent="0.25">
      <c r="A48" s="904" t="s">
        <v>707</v>
      </c>
      <c r="B48" s="904"/>
    </row>
    <row r="49" spans="1:13" ht="11.85" customHeight="1" x14ac:dyDescent="0.25">
      <c r="A49" s="905" t="s">
        <v>921</v>
      </c>
      <c r="B49" s="905"/>
      <c r="C49" s="905"/>
      <c r="D49" s="905"/>
      <c r="E49" s="905"/>
      <c r="F49" s="905"/>
      <c r="G49" s="905"/>
      <c r="H49" s="905"/>
    </row>
    <row r="50" spans="1:13" ht="11.85" customHeight="1" x14ac:dyDescent="0.25">
      <c r="A50" s="904" t="s">
        <v>922</v>
      </c>
      <c r="B50" s="904"/>
    </row>
    <row r="51" spans="1:13" ht="11.1" customHeight="1" x14ac:dyDescent="0.25">
      <c r="A51" s="904" t="s">
        <v>2205</v>
      </c>
      <c r="B51" s="904"/>
    </row>
    <row r="52" spans="1:13" ht="11.85" customHeight="1" x14ac:dyDescent="0.25"/>
    <row r="53" spans="1:13" ht="11.85" customHeight="1" x14ac:dyDescent="0.25">
      <c r="A53" s="906" t="s">
        <v>923</v>
      </c>
      <c r="B53" s="906"/>
      <c r="C53" s="425"/>
      <c r="D53" s="425"/>
      <c r="E53" s="425"/>
      <c r="F53" s="425"/>
      <c r="G53" s="425"/>
      <c r="H53" s="981" t="s">
        <v>471</v>
      </c>
      <c r="I53" s="981"/>
      <c r="J53" s="981"/>
      <c r="K53" s="981"/>
      <c r="L53" s="981"/>
    </row>
    <row r="54" spans="1:13" ht="11.85" customHeight="1" x14ac:dyDescent="0.25">
      <c r="A54" s="695" t="s">
        <v>979</v>
      </c>
      <c r="B54" s="1025" t="s">
        <v>704</v>
      </c>
      <c r="C54" s="1026"/>
      <c r="D54" s="1026"/>
      <c r="E54" s="1026"/>
      <c r="F54" s="1026"/>
      <c r="G54" s="1026"/>
      <c r="H54" s="1026"/>
      <c r="I54" s="1026"/>
      <c r="J54" s="1026"/>
      <c r="K54" s="1026"/>
      <c r="L54" s="1027"/>
      <c r="M54" s="1034"/>
    </row>
    <row r="55" spans="1:13" ht="5.85" customHeight="1" x14ac:dyDescent="0.25">
      <c r="A55" s="696" t="s">
        <v>779</v>
      </c>
      <c r="B55" s="907" t="s">
        <v>479</v>
      </c>
      <c r="C55" s="909"/>
      <c r="D55" s="909"/>
      <c r="E55" s="909"/>
      <c r="F55" s="909"/>
      <c r="G55" s="909"/>
      <c r="H55" s="909"/>
      <c r="I55" s="909"/>
      <c r="J55" s="909"/>
      <c r="K55" s="909"/>
      <c r="L55" s="908"/>
      <c r="M55" s="1034"/>
    </row>
    <row r="56" spans="1:13" ht="11.1" customHeight="1" x14ac:dyDescent="0.25">
      <c r="A56" s="695" t="s">
        <v>706</v>
      </c>
      <c r="B56" s="1025" t="s">
        <v>704</v>
      </c>
      <c r="C56" s="1026"/>
      <c r="D56" s="1026"/>
      <c r="E56" s="1026"/>
      <c r="F56" s="1026"/>
      <c r="G56" s="1026"/>
      <c r="H56" s="1026"/>
      <c r="I56" s="1026"/>
      <c r="J56" s="1026"/>
      <c r="K56" s="1026"/>
      <c r="L56" s="1027"/>
      <c r="M56" s="1034"/>
    </row>
    <row r="57" spans="1:13" ht="17.850000000000001" customHeight="1" x14ac:dyDescent="0.25">
      <c r="A57" s="696" t="s">
        <v>779</v>
      </c>
      <c r="B57" s="907" t="s">
        <v>908</v>
      </c>
      <c r="C57" s="909"/>
      <c r="D57" s="909"/>
      <c r="E57" s="909"/>
      <c r="F57" s="909"/>
      <c r="G57" s="909"/>
      <c r="H57" s="909"/>
      <c r="I57" s="909"/>
      <c r="J57" s="909"/>
      <c r="K57" s="909"/>
      <c r="L57" s="908"/>
      <c r="M57" s="1034"/>
    </row>
    <row r="58" spans="1:13" ht="5.85" customHeight="1" x14ac:dyDescent="0.25">
      <c r="A58" s="786" t="s">
        <v>980</v>
      </c>
      <c r="B58" s="1025" t="s">
        <v>981</v>
      </c>
      <c r="C58" s="1026"/>
      <c r="D58" s="1026"/>
      <c r="E58" s="1026"/>
      <c r="F58" s="1026"/>
      <c r="G58" s="1026"/>
      <c r="H58" s="1026"/>
      <c r="I58" s="1026"/>
      <c r="J58" s="1026"/>
      <c r="K58" s="1026"/>
      <c r="L58" s="1027"/>
      <c r="M58" s="426"/>
    </row>
    <row r="59" spans="1:13" ht="5.85" customHeight="1" x14ac:dyDescent="0.25">
      <c r="A59" s="807" t="s">
        <v>982</v>
      </c>
      <c r="B59" s="914" t="s">
        <v>479</v>
      </c>
      <c r="C59" s="916"/>
      <c r="D59" s="916"/>
      <c r="E59" s="916"/>
      <c r="F59" s="916"/>
      <c r="G59" s="916"/>
      <c r="H59" s="916"/>
      <c r="I59" s="916"/>
      <c r="J59" s="916"/>
      <c r="K59" s="916"/>
      <c r="L59" s="915"/>
      <c r="M59" s="426"/>
    </row>
    <row r="60" spans="1:13" ht="14.1" customHeight="1" x14ac:dyDescent="0.25">
      <c r="A60" s="808" t="s">
        <v>983</v>
      </c>
      <c r="B60" s="884" t="s">
        <v>479</v>
      </c>
      <c r="C60" s="913"/>
      <c r="D60" s="913"/>
      <c r="E60" s="913"/>
      <c r="F60" s="913"/>
      <c r="G60" s="913"/>
      <c r="H60" s="913"/>
      <c r="I60" s="913"/>
      <c r="J60" s="913"/>
      <c r="K60" s="913"/>
      <c r="L60" s="885"/>
      <c r="M60" s="426"/>
    </row>
    <row r="61" spans="1:13" ht="14.85" customHeight="1" x14ac:dyDescent="0.25">
      <c r="A61" s="808" t="s">
        <v>984</v>
      </c>
      <c r="B61" s="884" t="s">
        <v>479</v>
      </c>
      <c r="C61" s="913"/>
      <c r="D61" s="913"/>
      <c r="E61" s="913"/>
      <c r="F61" s="913"/>
      <c r="G61" s="913"/>
      <c r="H61" s="913"/>
      <c r="I61" s="913"/>
      <c r="J61" s="913"/>
      <c r="K61" s="913"/>
      <c r="L61" s="885"/>
      <c r="M61" s="426"/>
    </row>
    <row r="62" spans="1:13" ht="14.85" customHeight="1" x14ac:dyDescent="0.25">
      <c r="A62" s="810" t="s">
        <v>985</v>
      </c>
      <c r="B62" s="910" t="s">
        <v>479</v>
      </c>
      <c r="C62" s="912"/>
      <c r="D62" s="912"/>
      <c r="E62" s="912"/>
      <c r="F62" s="912"/>
      <c r="G62" s="912"/>
      <c r="H62" s="912"/>
      <c r="I62" s="912"/>
      <c r="J62" s="912"/>
      <c r="K62" s="912"/>
      <c r="L62" s="911"/>
      <c r="M62" s="426"/>
    </row>
    <row r="63" spans="1:13" ht="14.1" customHeight="1" x14ac:dyDescent="0.25">
      <c r="A63" s="1023"/>
      <c r="B63" s="941"/>
      <c r="C63" s="941"/>
      <c r="D63" s="941"/>
      <c r="E63" s="941"/>
      <c r="F63" s="941"/>
      <c r="G63" s="941"/>
      <c r="H63" s="941"/>
      <c r="I63" s="941"/>
      <c r="J63" s="941"/>
      <c r="K63" s="941"/>
      <c r="L63" s="941"/>
      <c r="M63" s="1023"/>
    </row>
    <row r="64" spans="1:13" ht="14.85" customHeight="1" x14ac:dyDescent="0.25">
      <c r="A64" s="786" t="s">
        <v>986</v>
      </c>
      <c r="B64" s="1025" t="s">
        <v>708</v>
      </c>
      <c r="C64" s="1026"/>
      <c r="D64" s="1026"/>
      <c r="E64" s="1026"/>
      <c r="F64" s="1026"/>
      <c r="G64" s="1026"/>
      <c r="H64" s="1026"/>
      <c r="I64" s="1026"/>
      <c r="J64" s="1026"/>
      <c r="K64" s="1026"/>
      <c r="L64" s="1027"/>
      <c r="M64" s="426"/>
    </row>
    <row r="65" spans="1:13" ht="0.75" customHeight="1" x14ac:dyDescent="0.25">
      <c r="A65" s="807" t="s">
        <v>987</v>
      </c>
      <c r="B65" s="914" t="s">
        <v>479</v>
      </c>
      <c r="C65" s="916"/>
      <c r="D65" s="916"/>
      <c r="E65" s="916"/>
      <c r="F65" s="916"/>
      <c r="G65" s="916"/>
      <c r="H65" s="916"/>
      <c r="I65" s="916"/>
      <c r="J65" s="916"/>
      <c r="K65" s="916"/>
      <c r="L65" s="915"/>
      <c r="M65" s="426"/>
    </row>
    <row r="66" spans="1:13" ht="14.85" customHeight="1" x14ac:dyDescent="0.25">
      <c r="A66" s="808" t="s">
        <v>988</v>
      </c>
      <c r="B66" s="884" t="s">
        <v>2228</v>
      </c>
      <c r="C66" s="913"/>
      <c r="D66" s="913"/>
      <c r="E66" s="913"/>
      <c r="F66" s="913"/>
      <c r="G66" s="913"/>
      <c r="H66" s="913"/>
      <c r="I66" s="913"/>
      <c r="J66" s="913"/>
      <c r="K66" s="913"/>
      <c r="L66" s="885"/>
      <c r="M66" s="426"/>
    </row>
    <row r="67" spans="1:13" ht="14.85" customHeight="1" x14ac:dyDescent="0.25">
      <c r="A67" s="810" t="s">
        <v>989</v>
      </c>
      <c r="B67" s="910" t="s">
        <v>2229</v>
      </c>
      <c r="C67" s="912"/>
      <c r="D67" s="912"/>
      <c r="E67" s="912"/>
      <c r="F67" s="912"/>
      <c r="G67" s="912"/>
      <c r="H67" s="912"/>
      <c r="I67" s="912"/>
      <c r="J67" s="912"/>
      <c r="K67" s="912"/>
      <c r="L67" s="911"/>
      <c r="M67" s="426"/>
    </row>
    <row r="68" spans="1:13" ht="0.75" customHeight="1" x14ac:dyDescent="0.25">
      <c r="A68" s="1023"/>
      <c r="B68" s="1024"/>
      <c r="C68" s="1024"/>
      <c r="D68" s="1024"/>
      <c r="E68" s="1024"/>
      <c r="F68" s="1024"/>
      <c r="G68" s="1024"/>
      <c r="H68" s="1024"/>
      <c r="I68" s="1024"/>
      <c r="J68" s="1024"/>
      <c r="K68" s="1024"/>
      <c r="L68" s="1024"/>
      <c r="M68" s="1023"/>
    </row>
    <row r="69" spans="1:13" ht="14.1" customHeight="1" x14ac:dyDescent="0.25"/>
    <row r="70" spans="1:13" ht="7.35" customHeight="1" x14ac:dyDescent="0.25"/>
    <row r="71" spans="1:13" ht="11.85" customHeight="1" x14ac:dyDescent="0.25"/>
    <row r="72" spans="1:13" ht="11.85" customHeight="1" x14ac:dyDescent="0.25">
      <c r="A72" s="425"/>
      <c r="B72" s="425"/>
      <c r="C72" s="425"/>
      <c r="D72" s="425"/>
      <c r="E72" s="425"/>
      <c r="F72" s="425"/>
      <c r="G72" s="425"/>
      <c r="H72" s="425"/>
      <c r="I72" s="425"/>
      <c r="J72" s="425"/>
      <c r="K72" s="425"/>
      <c r="L72" s="425"/>
    </row>
    <row r="73" spans="1:13" ht="11.1" customHeight="1" x14ac:dyDescent="0.25">
      <c r="A73" s="978" t="s">
        <v>2227</v>
      </c>
      <c r="B73" s="978"/>
      <c r="C73" s="978"/>
      <c r="D73" s="978"/>
      <c r="E73" s="978"/>
      <c r="F73" s="978"/>
      <c r="G73" s="978"/>
      <c r="H73" s="978"/>
      <c r="I73" s="978"/>
      <c r="J73" s="978"/>
      <c r="K73" s="978"/>
      <c r="L73" s="978"/>
    </row>
    <row r="74" spans="1:13" ht="11.85" customHeight="1" x14ac:dyDescent="0.25">
      <c r="A74" s="904" t="s">
        <v>539</v>
      </c>
      <c r="B74" s="904"/>
      <c r="L74" s="805" t="s">
        <v>990</v>
      </c>
    </row>
    <row r="75" spans="1:13" ht="11.85" customHeight="1" x14ac:dyDescent="0.25">
      <c r="A75" s="904" t="s">
        <v>707</v>
      </c>
      <c r="B75" s="904"/>
    </row>
    <row r="76" spans="1:13" ht="11.85" customHeight="1" x14ac:dyDescent="0.25">
      <c r="A76" s="905" t="s">
        <v>921</v>
      </c>
      <c r="B76" s="905"/>
      <c r="C76" s="905"/>
      <c r="D76" s="905"/>
      <c r="E76" s="905"/>
      <c r="F76" s="905"/>
      <c r="G76" s="905"/>
      <c r="H76" s="905"/>
    </row>
    <row r="77" spans="1:13" ht="5.85" customHeight="1" x14ac:dyDescent="0.25">
      <c r="A77" s="904" t="s">
        <v>922</v>
      </c>
      <c r="B77" s="904"/>
    </row>
    <row r="78" spans="1:13" ht="14.1" customHeight="1" x14ac:dyDescent="0.25">
      <c r="A78" s="904" t="s">
        <v>2205</v>
      </c>
      <c r="B78" s="904"/>
    </row>
    <row r="79" spans="1:13" ht="14.85" customHeight="1" x14ac:dyDescent="0.25"/>
    <row r="80" spans="1:13" ht="14.85" customHeight="1" x14ac:dyDescent="0.25">
      <c r="A80" s="906" t="s">
        <v>923</v>
      </c>
      <c r="B80" s="906"/>
      <c r="C80" s="425"/>
      <c r="D80" s="425"/>
      <c r="E80" s="425"/>
      <c r="F80" s="425"/>
      <c r="G80" s="425"/>
      <c r="H80" s="981" t="s">
        <v>471</v>
      </c>
      <c r="I80" s="981"/>
      <c r="J80" s="981"/>
      <c r="K80" s="981"/>
      <c r="L80" s="981"/>
    </row>
    <row r="81" spans="1:13" ht="14.1" customHeight="1" x14ac:dyDescent="0.25">
      <c r="A81" s="1025" t="s">
        <v>991</v>
      </c>
      <c r="B81" s="1026"/>
      <c r="C81" s="1026"/>
      <c r="D81" s="1026"/>
      <c r="E81" s="1026"/>
      <c r="F81" s="1026"/>
      <c r="G81" s="1026"/>
      <c r="H81" s="1026"/>
      <c r="I81" s="1026"/>
      <c r="J81" s="1026"/>
      <c r="K81" s="1026"/>
      <c r="L81" s="1027"/>
      <c r="M81" s="426"/>
    </row>
    <row r="82" spans="1:13" ht="14.85" customHeight="1" x14ac:dyDescent="0.25">
      <c r="A82" s="786" t="s">
        <v>992</v>
      </c>
      <c r="B82" s="892" t="s">
        <v>927</v>
      </c>
      <c r="C82" s="903"/>
      <c r="D82" s="892" t="s">
        <v>928</v>
      </c>
      <c r="E82" s="902"/>
      <c r="F82" s="902"/>
      <c r="G82" s="902"/>
      <c r="H82" s="902"/>
      <c r="I82" s="902"/>
      <c r="J82" s="902"/>
      <c r="K82" s="902"/>
      <c r="L82" s="903"/>
      <c r="M82" s="426"/>
    </row>
    <row r="83" spans="1:13" ht="14.85" customHeight="1" x14ac:dyDescent="0.25">
      <c r="A83" s="807" t="s">
        <v>993</v>
      </c>
      <c r="B83" s="1028" t="s">
        <v>479</v>
      </c>
      <c r="C83" s="1029"/>
      <c r="D83" s="1028" t="s">
        <v>479</v>
      </c>
      <c r="E83" s="1030"/>
      <c r="F83" s="1030"/>
      <c r="G83" s="1030"/>
      <c r="H83" s="1030"/>
      <c r="I83" s="1030"/>
      <c r="J83" s="1030"/>
      <c r="K83" s="1030"/>
      <c r="L83" s="1029"/>
      <c r="M83" s="426"/>
    </row>
    <row r="84" spans="1:13" ht="14.1" customHeight="1" x14ac:dyDescent="0.25">
      <c r="A84" s="818" t="s">
        <v>931</v>
      </c>
      <c r="B84" s="1020" t="s">
        <v>479</v>
      </c>
      <c r="C84" s="1021"/>
      <c r="D84" s="1020" t="s">
        <v>479</v>
      </c>
      <c r="E84" s="1022"/>
      <c r="F84" s="1022"/>
      <c r="G84" s="1022"/>
      <c r="H84" s="1022"/>
      <c r="I84" s="1022"/>
      <c r="J84" s="1022"/>
      <c r="K84" s="1022"/>
      <c r="L84" s="1021"/>
      <c r="M84" s="426"/>
    </row>
    <row r="85" spans="1:13" ht="14.85" customHeight="1" x14ac:dyDescent="0.25">
      <c r="A85" s="808" t="s">
        <v>933</v>
      </c>
      <c r="B85" s="884" t="s">
        <v>479</v>
      </c>
      <c r="C85" s="885"/>
      <c r="D85" s="884" t="s">
        <v>479</v>
      </c>
      <c r="E85" s="913"/>
      <c r="F85" s="913"/>
      <c r="G85" s="913"/>
      <c r="H85" s="913"/>
      <c r="I85" s="913"/>
      <c r="J85" s="913"/>
      <c r="K85" s="913"/>
      <c r="L85" s="885"/>
      <c r="M85" s="426"/>
    </row>
    <row r="86" spans="1:13" ht="0.75" customHeight="1" x14ac:dyDescent="0.25">
      <c r="A86" s="808" t="s">
        <v>935</v>
      </c>
      <c r="B86" s="884" t="s">
        <v>479</v>
      </c>
      <c r="C86" s="885"/>
      <c r="D86" s="884" t="s">
        <v>479</v>
      </c>
      <c r="E86" s="913"/>
      <c r="F86" s="913"/>
      <c r="G86" s="913"/>
      <c r="H86" s="913"/>
      <c r="I86" s="913"/>
      <c r="J86" s="913"/>
      <c r="K86" s="913"/>
      <c r="L86" s="885"/>
      <c r="M86" s="426"/>
    </row>
    <row r="87" spans="1:13" ht="14.85" customHeight="1" x14ac:dyDescent="0.25">
      <c r="A87" s="808" t="s">
        <v>937</v>
      </c>
      <c r="B87" s="884" t="s">
        <v>479</v>
      </c>
      <c r="C87" s="885"/>
      <c r="D87" s="884" t="s">
        <v>479</v>
      </c>
      <c r="E87" s="913"/>
      <c r="F87" s="913"/>
      <c r="G87" s="913"/>
      <c r="H87" s="913"/>
      <c r="I87" s="913"/>
      <c r="J87" s="913"/>
      <c r="K87" s="913"/>
      <c r="L87" s="885"/>
      <c r="M87" s="426"/>
    </row>
    <row r="88" spans="1:13" ht="14.1" customHeight="1" x14ac:dyDescent="0.25">
      <c r="A88" s="818" t="s">
        <v>939</v>
      </c>
      <c r="B88" s="1020" t="s">
        <v>479</v>
      </c>
      <c r="C88" s="1021"/>
      <c r="D88" s="1020" t="s">
        <v>479</v>
      </c>
      <c r="E88" s="1022"/>
      <c r="F88" s="1022"/>
      <c r="G88" s="1022"/>
      <c r="H88" s="1022"/>
      <c r="I88" s="1022"/>
      <c r="J88" s="1022"/>
      <c r="K88" s="1022"/>
      <c r="L88" s="1021"/>
      <c r="M88" s="426"/>
    </row>
    <row r="89" spans="1:13" ht="0.75" customHeight="1" x14ac:dyDescent="0.25">
      <c r="A89" s="808" t="s">
        <v>933</v>
      </c>
      <c r="B89" s="884" t="s">
        <v>479</v>
      </c>
      <c r="C89" s="885"/>
      <c r="D89" s="884" t="s">
        <v>479</v>
      </c>
      <c r="E89" s="913"/>
      <c r="F89" s="913"/>
      <c r="G89" s="913"/>
      <c r="H89" s="913"/>
      <c r="I89" s="913"/>
      <c r="J89" s="913"/>
      <c r="K89" s="913"/>
      <c r="L89" s="885"/>
      <c r="M89" s="426"/>
    </row>
    <row r="90" spans="1:13" ht="15.6" customHeight="1" x14ac:dyDescent="0.25">
      <c r="A90" s="808" t="s">
        <v>935</v>
      </c>
      <c r="B90" s="884" t="s">
        <v>479</v>
      </c>
      <c r="C90" s="885"/>
      <c r="D90" s="884" t="s">
        <v>479</v>
      </c>
      <c r="E90" s="913"/>
      <c r="F90" s="913"/>
      <c r="G90" s="913"/>
      <c r="H90" s="913"/>
      <c r="I90" s="913"/>
      <c r="J90" s="913"/>
      <c r="K90" s="913"/>
      <c r="L90" s="885"/>
      <c r="M90" s="426"/>
    </row>
    <row r="91" spans="1:13" ht="14.1" customHeight="1" x14ac:dyDescent="0.25">
      <c r="A91" s="808" t="s">
        <v>937</v>
      </c>
      <c r="B91" s="884" t="s">
        <v>479</v>
      </c>
      <c r="C91" s="885"/>
      <c r="D91" s="884" t="s">
        <v>479</v>
      </c>
      <c r="E91" s="913"/>
      <c r="F91" s="913"/>
      <c r="G91" s="913"/>
      <c r="H91" s="913"/>
      <c r="I91" s="913"/>
      <c r="J91" s="913"/>
      <c r="K91" s="913"/>
      <c r="L91" s="885"/>
      <c r="M91" s="426"/>
    </row>
    <row r="92" spans="1:13" ht="14.85" customHeight="1" x14ac:dyDescent="0.25">
      <c r="A92" s="818" t="s">
        <v>944</v>
      </c>
      <c r="B92" s="1020" t="s">
        <v>479</v>
      </c>
      <c r="C92" s="1021"/>
      <c r="D92" s="1020" t="s">
        <v>479</v>
      </c>
      <c r="E92" s="1022"/>
      <c r="F92" s="1022"/>
      <c r="G92" s="1022"/>
      <c r="H92" s="1022"/>
      <c r="I92" s="1022"/>
      <c r="J92" s="1022"/>
      <c r="K92" s="1022"/>
      <c r="L92" s="1021"/>
      <c r="M92" s="426"/>
    </row>
    <row r="93" spans="1:13" ht="5.85" customHeight="1" x14ac:dyDescent="0.25">
      <c r="A93" s="808" t="s">
        <v>946</v>
      </c>
      <c r="B93" s="884" t="s">
        <v>479</v>
      </c>
      <c r="C93" s="885"/>
      <c r="D93" s="884" t="s">
        <v>479</v>
      </c>
      <c r="E93" s="913"/>
      <c r="F93" s="913"/>
      <c r="G93" s="913"/>
      <c r="H93" s="913"/>
      <c r="I93" s="913"/>
      <c r="J93" s="913"/>
      <c r="K93" s="913"/>
      <c r="L93" s="885"/>
      <c r="M93" s="426"/>
    </row>
    <row r="94" spans="1:13" ht="17.100000000000001" customHeight="1" x14ac:dyDescent="0.25">
      <c r="A94" s="808" t="s">
        <v>947</v>
      </c>
      <c r="B94" s="884" t="s">
        <v>479</v>
      </c>
      <c r="C94" s="885"/>
      <c r="D94" s="884" t="s">
        <v>479</v>
      </c>
      <c r="E94" s="913"/>
      <c r="F94" s="913"/>
      <c r="G94" s="913"/>
      <c r="H94" s="913"/>
      <c r="I94" s="913"/>
      <c r="J94" s="913"/>
      <c r="K94" s="913"/>
      <c r="L94" s="885"/>
      <c r="M94" s="426"/>
    </row>
    <row r="95" spans="1:13" ht="5.85" customHeight="1" x14ac:dyDescent="0.25">
      <c r="A95" s="808" t="s">
        <v>948</v>
      </c>
      <c r="B95" s="884" t="s">
        <v>479</v>
      </c>
      <c r="C95" s="885"/>
      <c r="D95" s="884" t="s">
        <v>479</v>
      </c>
      <c r="E95" s="913"/>
      <c r="F95" s="913"/>
      <c r="G95" s="913"/>
      <c r="H95" s="913"/>
      <c r="I95" s="913"/>
      <c r="J95" s="913"/>
      <c r="K95" s="913"/>
      <c r="L95" s="885"/>
      <c r="M95" s="426"/>
    </row>
    <row r="96" spans="1:13" ht="17.850000000000001" customHeight="1" x14ac:dyDescent="0.25">
      <c r="A96" s="818" t="s">
        <v>949</v>
      </c>
      <c r="B96" s="1020" t="s">
        <v>479</v>
      </c>
      <c r="C96" s="1021"/>
      <c r="D96" s="1020" t="s">
        <v>479</v>
      </c>
      <c r="E96" s="1022"/>
      <c r="F96" s="1022"/>
      <c r="G96" s="1022"/>
      <c r="H96" s="1022"/>
      <c r="I96" s="1022"/>
      <c r="J96" s="1022"/>
      <c r="K96" s="1022"/>
      <c r="L96" s="1021"/>
      <c r="M96" s="426"/>
    </row>
    <row r="97" spans="1:13" ht="5.85" customHeight="1" x14ac:dyDescent="0.25">
      <c r="A97" s="818" t="s">
        <v>950</v>
      </c>
      <c r="B97" s="1020" t="s">
        <v>479</v>
      </c>
      <c r="C97" s="1021"/>
      <c r="D97" s="1020" t="s">
        <v>479</v>
      </c>
      <c r="E97" s="1022"/>
      <c r="F97" s="1022"/>
      <c r="G97" s="1022"/>
      <c r="H97" s="1022"/>
      <c r="I97" s="1022"/>
      <c r="J97" s="1022"/>
      <c r="K97" s="1022"/>
      <c r="L97" s="1021"/>
      <c r="M97" s="426"/>
    </row>
    <row r="98" spans="1:13" ht="11.1" customHeight="1" x14ac:dyDescent="0.25">
      <c r="A98" s="808" t="s">
        <v>952</v>
      </c>
      <c r="B98" s="884" t="s">
        <v>479</v>
      </c>
      <c r="C98" s="885"/>
      <c r="D98" s="884" t="s">
        <v>479</v>
      </c>
      <c r="E98" s="913"/>
      <c r="F98" s="913"/>
      <c r="G98" s="913"/>
      <c r="H98" s="913"/>
      <c r="I98" s="913"/>
      <c r="J98" s="913"/>
      <c r="K98" s="913"/>
      <c r="L98" s="885"/>
      <c r="M98" s="426"/>
    </row>
    <row r="99" spans="1:13" ht="15.6" customHeight="1" x14ac:dyDescent="0.25">
      <c r="A99" s="808" t="s">
        <v>872</v>
      </c>
      <c r="B99" s="884" t="s">
        <v>479</v>
      </c>
      <c r="C99" s="885"/>
      <c r="D99" s="884" t="s">
        <v>479</v>
      </c>
      <c r="E99" s="913"/>
      <c r="F99" s="913"/>
      <c r="G99" s="913"/>
      <c r="H99" s="913"/>
      <c r="I99" s="913"/>
      <c r="J99" s="913"/>
      <c r="K99" s="913"/>
      <c r="L99" s="885"/>
      <c r="M99" s="426"/>
    </row>
    <row r="100" spans="1:13" ht="6.6" customHeight="1" x14ac:dyDescent="0.25">
      <c r="A100" s="808" t="s">
        <v>994</v>
      </c>
      <c r="B100" s="1020" t="s">
        <v>479</v>
      </c>
      <c r="C100" s="1021"/>
      <c r="D100" s="1020" t="s">
        <v>479</v>
      </c>
      <c r="E100" s="1022"/>
      <c r="F100" s="1022"/>
      <c r="G100" s="1022"/>
      <c r="H100" s="1022"/>
      <c r="I100" s="1022"/>
      <c r="J100" s="1022"/>
      <c r="K100" s="1022"/>
      <c r="L100" s="1021"/>
      <c r="M100" s="426"/>
    </row>
    <row r="101" spans="1:13" ht="5.85" customHeight="1" x14ac:dyDescent="0.25">
      <c r="A101" s="808" t="s">
        <v>956</v>
      </c>
      <c r="B101" s="884" t="s">
        <v>479</v>
      </c>
      <c r="C101" s="885"/>
      <c r="D101" s="884" t="s">
        <v>479</v>
      </c>
      <c r="E101" s="913"/>
      <c r="F101" s="913"/>
      <c r="G101" s="913"/>
      <c r="H101" s="913"/>
      <c r="I101" s="913"/>
      <c r="J101" s="913"/>
      <c r="K101" s="913"/>
      <c r="L101" s="885"/>
      <c r="M101" s="426"/>
    </row>
    <row r="102" spans="1:13" ht="11.85" customHeight="1" x14ac:dyDescent="0.25">
      <c r="A102" s="808" t="s">
        <v>957</v>
      </c>
      <c r="B102" s="884" t="s">
        <v>479</v>
      </c>
      <c r="C102" s="885"/>
      <c r="D102" s="884" t="s">
        <v>479</v>
      </c>
      <c r="E102" s="913"/>
      <c r="F102" s="913"/>
      <c r="G102" s="913"/>
      <c r="H102" s="913"/>
      <c r="I102" s="913"/>
      <c r="J102" s="913"/>
      <c r="K102" s="913"/>
      <c r="L102" s="885"/>
      <c r="M102" s="426"/>
    </row>
    <row r="103" spans="1:13" ht="11.85" customHeight="1" x14ac:dyDescent="0.25">
      <c r="A103" s="810" t="s">
        <v>958</v>
      </c>
      <c r="B103" s="910" t="s">
        <v>479</v>
      </c>
      <c r="C103" s="911"/>
      <c r="D103" s="910" t="s">
        <v>479</v>
      </c>
      <c r="E103" s="912"/>
      <c r="F103" s="912"/>
      <c r="G103" s="912"/>
      <c r="H103" s="912"/>
      <c r="I103" s="912"/>
      <c r="J103" s="912"/>
      <c r="K103" s="912"/>
      <c r="L103" s="911"/>
      <c r="M103" s="426"/>
    </row>
    <row r="104" spans="1:13" ht="11.85" customHeight="1" x14ac:dyDescent="0.25">
      <c r="A104" s="809" t="s">
        <v>995</v>
      </c>
      <c r="B104" s="1017" t="s">
        <v>479</v>
      </c>
      <c r="C104" s="1018"/>
      <c r="D104" s="1017" t="s">
        <v>479</v>
      </c>
      <c r="E104" s="1019"/>
      <c r="F104" s="1019"/>
      <c r="G104" s="1019"/>
      <c r="H104" s="1019"/>
      <c r="I104" s="1019"/>
      <c r="J104" s="1019"/>
      <c r="K104" s="1019"/>
      <c r="L104" s="1018"/>
      <c r="M104" s="426"/>
    </row>
    <row r="105" spans="1:13" ht="5.0999999999999996" customHeight="1" x14ac:dyDescent="0.25">
      <c r="A105" s="427"/>
      <c r="B105" s="427"/>
      <c r="C105" s="427"/>
      <c r="D105" s="427"/>
      <c r="E105" s="427"/>
      <c r="F105" s="427"/>
      <c r="G105" s="427"/>
      <c r="H105" s="427"/>
      <c r="I105" s="427"/>
      <c r="J105" s="427"/>
      <c r="K105" s="427"/>
      <c r="L105" s="427"/>
    </row>
    <row r="106" spans="1:13" ht="17.850000000000001" customHeight="1" x14ac:dyDescent="0.25">
      <c r="A106" s="786" t="s">
        <v>996</v>
      </c>
      <c r="B106" s="892" t="s">
        <v>962</v>
      </c>
      <c r="C106" s="903"/>
      <c r="D106" s="892" t="s">
        <v>963</v>
      </c>
      <c r="E106" s="903"/>
      <c r="F106" s="787" t="s">
        <v>964</v>
      </c>
      <c r="G106" s="892" t="s">
        <v>997</v>
      </c>
      <c r="H106" s="902"/>
      <c r="I106" s="903"/>
      <c r="J106" s="892" t="s">
        <v>966</v>
      </c>
      <c r="K106" s="902"/>
      <c r="L106" s="903"/>
      <c r="M106" s="426"/>
    </row>
    <row r="107" spans="1:13" ht="8.1" customHeight="1" x14ac:dyDescent="0.25">
      <c r="A107" s="815" t="s">
        <v>967</v>
      </c>
      <c r="B107" s="1028" t="s">
        <v>479</v>
      </c>
      <c r="C107" s="1029"/>
      <c r="D107" s="1028" t="s">
        <v>479</v>
      </c>
      <c r="E107" s="1029"/>
      <c r="F107" s="797" t="s">
        <v>479</v>
      </c>
      <c r="G107" s="1028" t="s">
        <v>479</v>
      </c>
      <c r="H107" s="1030"/>
      <c r="I107" s="1029"/>
      <c r="J107" s="1028" t="s">
        <v>479</v>
      </c>
      <c r="K107" s="1030"/>
      <c r="L107" s="1029"/>
      <c r="M107" s="796"/>
    </row>
    <row r="108" spans="1:13" ht="11.85" customHeight="1" x14ac:dyDescent="0.25">
      <c r="A108" s="808" t="s">
        <v>969</v>
      </c>
      <c r="B108" s="884" t="s">
        <v>479</v>
      </c>
      <c r="C108" s="885"/>
      <c r="D108" s="884" t="s">
        <v>479</v>
      </c>
      <c r="E108" s="885"/>
      <c r="F108" s="791" t="s">
        <v>479</v>
      </c>
      <c r="G108" s="884" t="s">
        <v>479</v>
      </c>
      <c r="H108" s="913"/>
      <c r="I108" s="885"/>
      <c r="J108" s="884" t="s">
        <v>479</v>
      </c>
      <c r="K108" s="913"/>
      <c r="L108" s="885"/>
      <c r="M108" s="796"/>
    </row>
    <row r="109" spans="1:13" ht="11.85" customHeight="1" x14ac:dyDescent="0.25">
      <c r="A109" s="808" t="s">
        <v>971</v>
      </c>
      <c r="B109" s="884" t="s">
        <v>479</v>
      </c>
      <c r="C109" s="885"/>
      <c r="D109" s="884" t="s">
        <v>479</v>
      </c>
      <c r="E109" s="885"/>
      <c r="F109" s="791" t="s">
        <v>479</v>
      </c>
      <c r="G109" s="884" t="s">
        <v>479</v>
      </c>
      <c r="H109" s="913"/>
      <c r="I109" s="885"/>
      <c r="J109" s="884" t="s">
        <v>479</v>
      </c>
      <c r="K109" s="913"/>
      <c r="L109" s="885"/>
      <c r="M109" s="796"/>
    </row>
    <row r="110" spans="1:13" ht="11.1" customHeight="1" x14ac:dyDescent="0.25">
      <c r="A110" s="818" t="s">
        <v>973</v>
      </c>
      <c r="B110" s="1020" t="s">
        <v>479</v>
      </c>
      <c r="C110" s="1021"/>
      <c r="D110" s="1020" t="s">
        <v>479</v>
      </c>
      <c r="E110" s="1021"/>
      <c r="F110" s="798" t="s">
        <v>479</v>
      </c>
      <c r="G110" s="1020" t="s">
        <v>479</v>
      </c>
      <c r="H110" s="1022"/>
      <c r="I110" s="1021"/>
      <c r="J110" s="1020" t="s">
        <v>479</v>
      </c>
      <c r="K110" s="1022"/>
      <c r="L110" s="1021"/>
      <c r="M110" s="796"/>
    </row>
    <row r="111" spans="1:13" ht="11.85" customHeight="1" x14ac:dyDescent="0.25">
      <c r="A111" s="808" t="s">
        <v>952</v>
      </c>
      <c r="B111" s="884" t="s">
        <v>479</v>
      </c>
      <c r="C111" s="885"/>
      <c r="D111" s="884" t="s">
        <v>479</v>
      </c>
      <c r="E111" s="885"/>
      <c r="F111" s="791" t="s">
        <v>479</v>
      </c>
      <c r="G111" s="884" t="s">
        <v>479</v>
      </c>
      <c r="H111" s="913"/>
      <c r="I111" s="885"/>
      <c r="J111" s="884" t="s">
        <v>479</v>
      </c>
      <c r="K111" s="913"/>
      <c r="L111" s="885"/>
      <c r="M111" s="796"/>
    </row>
    <row r="112" spans="1:13" ht="11.85" customHeight="1" x14ac:dyDescent="0.25">
      <c r="A112" s="810" t="s">
        <v>974</v>
      </c>
      <c r="B112" s="910" t="s">
        <v>479</v>
      </c>
      <c r="C112" s="911"/>
      <c r="D112" s="910" t="s">
        <v>479</v>
      </c>
      <c r="E112" s="911"/>
      <c r="F112" s="792" t="s">
        <v>479</v>
      </c>
      <c r="G112" s="910" t="s">
        <v>479</v>
      </c>
      <c r="H112" s="912"/>
      <c r="I112" s="911"/>
      <c r="J112" s="910" t="s">
        <v>479</v>
      </c>
      <c r="K112" s="912"/>
      <c r="L112" s="911"/>
      <c r="M112" s="796"/>
    </row>
    <row r="113" spans="1:13" ht="11.85" customHeight="1" x14ac:dyDescent="0.25">
      <c r="A113" s="809" t="s">
        <v>998</v>
      </c>
      <c r="B113" s="1017" t="s">
        <v>479</v>
      </c>
      <c r="C113" s="1018"/>
      <c r="D113" s="1017" t="s">
        <v>479</v>
      </c>
      <c r="E113" s="1018"/>
      <c r="F113" s="793" t="s">
        <v>479</v>
      </c>
      <c r="G113" s="1017" t="s">
        <v>479</v>
      </c>
      <c r="H113" s="1019"/>
      <c r="I113" s="1018"/>
      <c r="J113" s="1017" t="s">
        <v>479</v>
      </c>
      <c r="K113" s="1019"/>
      <c r="L113" s="1018"/>
      <c r="M113" s="796"/>
    </row>
    <row r="114" spans="1:13" ht="11.1" customHeight="1" x14ac:dyDescent="0.25">
      <c r="A114" s="427"/>
      <c r="B114" s="427"/>
      <c r="C114" s="427"/>
      <c r="D114" s="427"/>
      <c r="E114" s="427"/>
      <c r="F114" s="427"/>
      <c r="G114" s="427"/>
      <c r="H114" s="427"/>
      <c r="I114" s="427"/>
      <c r="J114" s="427"/>
      <c r="K114" s="427"/>
      <c r="L114" s="427"/>
    </row>
    <row r="115" spans="1:13" ht="11.85" customHeight="1" x14ac:dyDescent="0.25">
      <c r="A115" s="809" t="s">
        <v>999</v>
      </c>
      <c r="B115" s="1017" t="s">
        <v>479</v>
      </c>
      <c r="C115" s="1018"/>
      <c r="D115" s="1017" t="s">
        <v>479</v>
      </c>
      <c r="E115" s="1018"/>
      <c r="F115" s="793" t="s">
        <v>479</v>
      </c>
      <c r="G115" s="1017" t="s">
        <v>479</v>
      </c>
      <c r="H115" s="1019"/>
      <c r="I115" s="1018"/>
      <c r="J115" s="907"/>
      <c r="K115" s="909"/>
      <c r="L115" s="908"/>
      <c r="M115" s="796"/>
    </row>
    <row r="116" spans="1:13" ht="11.85" customHeight="1" x14ac:dyDescent="0.25">
      <c r="A116" s="427"/>
      <c r="B116" s="427"/>
      <c r="C116" s="427"/>
      <c r="D116" s="427"/>
      <c r="E116" s="427"/>
      <c r="F116" s="427"/>
      <c r="G116" s="427"/>
      <c r="H116" s="427"/>
      <c r="I116" s="427"/>
      <c r="J116" s="427"/>
      <c r="K116" s="427"/>
      <c r="L116" s="427"/>
    </row>
    <row r="117" spans="1:13" ht="11.85" customHeight="1" x14ac:dyDescent="0.25">
      <c r="A117" s="978" t="s">
        <v>2227</v>
      </c>
      <c r="B117" s="978"/>
      <c r="C117" s="978"/>
      <c r="D117" s="978"/>
      <c r="E117" s="978"/>
      <c r="F117" s="978"/>
      <c r="G117" s="978"/>
      <c r="H117" s="978"/>
      <c r="I117" s="978"/>
      <c r="J117" s="978"/>
      <c r="K117" s="978"/>
      <c r="L117" s="978"/>
    </row>
    <row r="118" spans="1:13" ht="11.1" customHeight="1" x14ac:dyDescent="0.25">
      <c r="A118" s="904" t="s">
        <v>539</v>
      </c>
      <c r="B118" s="904"/>
      <c r="L118" s="805" t="s">
        <v>1000</v>
      </c>
    </row>
    <row r="119" spans="1:13" ht="11.85" customHeight="1" x14ac:dyDescent="0.25">
      <c r="A119" s="904" t="s">
        <v>707</v>
      </c>
      <c r="B119" s="904"/>
    </row>
    <row r="120" spans="1:13" ht="15.6" customHeight="1" x14ac:dyDescent="0.25">
      <c r="A120" s="905" t="s">
        <v>921</v>
      </c>
      <c r="B120" s="905"/>
      <c r="C120" s="905"/>
      <c r="D120" s="905"/>
      <c r="E120" s="905"/>
      <c r="F120" s="905"/>
      <c r="G120" s="905"/>
      <c r="H120" s="905"/>
    </row>
    <row r="121" spans="1:13" ht="5.0999999999999996" customHeight="1" x14ac:dyDescent="0.25">
      <c r="A121" s="904" t="s">
        <v>922</v>
      </c>
      <c r="B121" s="904"/>
    </row>
    <row r="122" spans="1:13" ht="11.85" customHeight="1" x14ac:dyDescent="0.25">
      <c r="A122" s="904" t="s">
        <v>2205</v>
      </c>
      <c r="B122" s="904"/>
    </row>
    <row r="123" spans="1:13" ht="11.85" customHeight="1" x14ac:dyDescent="0.25"/>
    <row r="124" spans="1:13" ht="5.85" customHeight="1" x14ac:dyDescent="0.25">
      <c r="A124" s="906" t="s">
        <v>923</v>
      </c>
      <c r="B124" s="906"/>
      <c r="C124" s="425"/>
      <c r="D124" s="425"/>
      <c r="E124" s="425"/>
      <c r="F124" s="425"/>
      <c r="G124" s="425"/>
      <c r="H124" s="981" t="s">
        <v>471</v>
      </c>
      <c r="I124" s="981"/>
      <c r="J124" s="981"/>
      <c r="K124" s="981"/>
      <c r="L124" s="981"/>
    </row>
    <row r="125" spans="1:13" ht="17.100000000000001" customHeight="1" x14ac:dyDescent="0.25">
      <c r="A125" s="786" t="s">
        <v>1001</v>
      </c>
      <c r="B125" s="1025" t="s">
        <v>981</v>
      </c>
      <c r="C125" s="1026"/>
      <c r="D125" s="1026"/>
      <c r="E125" s="1026"/>
      <c r="F125" s="1026"/>
      <c r="G125" s="1026"/>
      <c r="H125" s="1026"/>
      <c r="I125" s="1026"/>
      <c r="J125" s="1026"/>
      <c r="K125" s="1026"/>
      <c r="L125" s="1027"/>
      <c r="M125" s="426"/>
    </row>
    <row r="126" spans="1:13" ht="11.85" customHeight="1" x14ac:dyDescent="0.25">
      <c r="A126" s="807" t="s">
        <v>1002</v>
      </c>
      <c r="B126" s="914" t="s">
        <v>479</v>
      </c>
      <c r="C126" s="916"/>
      <c r="D126" s="916"/>
      <c r="E126" s="916"/>
      <c r="F126" s="916"/>
      <c r="G126" s="916"/>
      <c r="H126" s="916"/>
      <c r="I126" s="916"/>
      <c r="J126" s="916"/>
      <c r="K126" s="916"/>
      <c r="L126" s="915"/>
      <c r="M126" s="426"/>
    </row>
    <row r="127" spans="1:13" ht="15.6" customHeight="1" x14ac:dyDescent="0.25">
      <c r="A127" s="810" t="s">
        <v>1003</v>
      </c>
      <c r="B127" s="910" t="s">
        <v>479</v>
      </c>
      <c r="C127" s="912"/>
      <c r="D127" s="912"/>
      <c r="E127" s="912"/>
      <c r="F127" s="912"/>
      <c r="G127" s="912"/>
      <c r="H127" s="912"/>
      <c r="I127" s="912"/>
      <c r="J127" s="912"/>
      <c r="K127" s="912"/>
      <c r="L127" s="911"/>
      <c r="M127" s="426"/>
    </row>
    <row r="128" spans="1:13" ht="11.1" customHeight="1" x14ac:dyDescent="0.25">
      <c r="A128" s="427"/>
      <c r="B128" s="427"/>
      <c r="C128" s="427"/>
      <c r="D128" s="427"/>
      <c r="E128" s="427"/>
      <c r="F128" s="427"/>
      <c r="G128" s="427"/>
      <c r="H128" s="427"/>
      <c r="I128" s="427"/>
      <c r="J128" s="427"/>
      <c r="K128" s="427"/>
      <c r="L128" s="427"/>
    </row>
    <row r="129" spans="1:13" ht="15.6" customHeight="1" x14ac:dyDescent="0.25">
      <c r="A129" s="786" t="s">
        <v>1004</v>
      </c>
      <c r="B129" s="1025" t="s">
        <v>708</v>
      </c>
      <c r="C129" s="1026"/>
      <c r="D129" s="1026"/>
      <c r="E129" s="1026"/>
      <c r="F129" s="1026"/>
      <c r="G129" s="1026"/>
      <c r="H129" s="1026"/>
      <c r="I129" s="1026"/>
      <c r="J129" s="1026"/>
      <c r="K129" s="1026"/>
      <c r="L129" s="1027"/>
      <c r="M129" s="426"/>
    </row>
    <row r="130" spans="1:13" ht="14.85" customHeight="1" x14ac:dyDescent="0.25">
      <c r="A130" s="807" t="s">
        <v>987</v>
      </c>
      <c r="B130" s="914" t="s">
        <v>479</v>
      </c>
      <c r="C130" s="916"/>
      <c r="D130" s="916"/>
      <c r="E130" s="916"/>
      <c r="F130" s="916"/>
      <c r="G130" s="916"/>
      <c r="H130" s="916"/>
      <c r="I130" s="916"/>
      <c r="J130" s="916"/>
      <c r="K130" s="916"/>
      <c r="L130" s="915"/>
      <c r="M130" s="426"/>
    </row>
    <row r="131" spans="1:13" ht="11.85" customHeight="1" x14ac:dyDescent="0.25">
      <c r="A131" s="808" t="s">
        <v>988</v>
      </c>
      <c r="B131" s="884" t="s">
        <v>2230</v>
      </c>
      <c r="C131" s="913"/>
      <c r="D131" s="913"/>
      <c r="E131" s="913"/>
      <c r="F131" s="913"/>
      <c r="G131" s="913"/>
      <c r="H131" s="913"/>
      <c r="I131" s="913"/>
      <c r="J131" s="913"/>
      <c r="K131" s="913"/>
      <c r="L131" s="885"/>
      <c r="M131" s="426"/>
    </row>
    <row r="132" spans="1:13" ht="22.15" customHeight="1" x14ac:dyDescent="0.25">
      <c r="A132" s="810" t="s">
        <v>989</v>
      </c>
      <c r="B132" s="910" t="s">
        <v>479</v>
      </c>
      <c r="C132" s="912"/>
      <c r="D132" s="912"/>
      <c r="E132" s="912"/>
      <c r="F132" s="912"/>
      <c r="G132" s="912"/>
      <c r="H132" s="912"/>
      <c r="I132" s="912"/>
      <c r="J132" s="912"/>
      <c r="K132" s="912"/>
      <c r="L132" s="911"/>
      <c r="M132" s="426"/>
    </row>
    <row r="133" spans="1:13" ht="11.1" customHeight="1" x14ac:dyDescent="0.25">
      <c r="A133" s="427"/>
      <c r="B133" s="427"/>
      <c r="C133" s="427"/>
      <c r="D133" s="427"/>
      <c r="E133" s="427"/>
      <c r="F133" s="427"/>
      <c r="G133" s="427"/>
      <c r="H133" s="427"/>
      <c r="I133" s="427"/>
      <c r="J133" s="427"/>
      <c r="K133" s="427"/>
      <c r="L133" s="427"/>
    </row>
    <row r="134" spans="1:13" ht="15.6" customHeight="1" x14ac:dyDescent="0.25">
      <c r="A134" s="1025" t="s">
        <v>1005</v>
      </c>
      <c r="B134" s="1026"/>
      <c r="C134" s="1026"/>
      <c r="D134" s="1026"/>
      <c r="E134" s="1026"/>
      <c r="F134" s="1026"/>
      <c r="G134" s="1026"/>
      <c r="H134" s="1026"/>
      <c r="I134" s="1026"/>
      <c r="J134" s="1026"/>
      <c r="K134" s="1026"/>
      <c r="L134" s="1027"/>
      <c r="M134" s="426"/>
    </row>
    <row r="135" spans="1:13" ht="5.85" customHeight="1" x14ac:dyDescent="0.25">
      <c r="A135" s="786" t="s">
        <v>1006</v>
      </c>
      <c r="B135" s="892" t="s">
        <v>545</v>
      </c>
      <c r="C135" s="903"/>
      <c r="D135" s="892" t="s">
        <v>928</v>
      </c>
      <c r="E135" s="902"/>
      <c r="F135" s="902"/>
      <c r="G135" s="902"/>
      <c r="H135" s="902"/>
      <c r="I135" s="902"/>
      <c r="J135" s="902"/>
      <c r="K135" s="902"/>
      <c r="L135" s="903"/>
      <c r="M135" s="426"/>
    </row>
    <row r="136" spans="1:13" ht="17.100000000000001" customHeight="1" x14ac:dyDescent="0.25">
      <c r="A136" s="820" t="s">
        <v>2</v>
      </c>
      <c r="B136" s="907" t="s">
        <v>1007</v>
      </c>
      <c r="C136" s="908"/>
      <c r="D136" s="907" t="s">
        <v>2231</v>
      </c>
      <c r="E136" s="909"/>
      <c r="F136" s="909"/>
      <c r="G136" s="909"/>
      <c r="H136" s="909"/>
      <c r="I136" s="909"/>
      <c r="J136" s="909"/>
      <c r="K136" s="909"/>
      <c r="L136" s="908"/>
      <c r="M136" s="426"/>
    </row>
    <row r="137" spans="1:13" ht="11.85" customHeight="1" x14ac:dyDescent="0.25">
      <c r="A137" s="809" t="s">
        <v>1008</v>
      </c>
      <c r="B137" s="1017" t="s">
        <v>1007</v>
      </c>
      <c r="C137" s="1018"/>
      <c r="D137" s="1017" t="s">
        <v>2231</v>
      </c>
      <c r="E137" s="1019"/>
      <c r="F137" s="1019"/>
      <c r="G137" s="1019"/>
      <c r="H137" s="1019"/>
      <c r="I137" s="1019"/>
      <c r="J137" s="1019"/>
      <c r="K137" s="1019"/>
      <c r="L137" s="1018"/>
      <c r="M137" s="426"/>
    </row>
    <row r="138" spans="1:13" ht="4.3499999999999996" customHeight="1" x14ac:dyDescent="0.25">
      <c r="A138" s="427"/>
      <c r="B138" s="427"/>
      <c r="C138" s="427"/>
      <c r="D138" s="427"/>
      <c r="E138" s="427"/>
      <c r="F138" s="427"/>
      <c r="G138" s="427"/>
      <c r="H138" s="427"/>
      <c r="I138" s="427"/>
      <c r="J138" s="427"/>
      <c r="K138" s="427"/>
      <c r="L138" s="427"/>
    </row>
    <row r="139" spans="1:13" ht="11.85" customHeight="1" x14ac:dyDescent="0.25">
      <c r="A139" s="786" t="s">
        <v>1009</v>
      </c>
      <c r="B139" s="892" t="s">
        <v>1010</v>
      </c>
      <c r="C139" s="903"/>
      <c r="D139" s="892" t="s">
        <v>963</v>
      </c>
      <c r="E139" s="903"/>
      <c r="F139" s="787" t="s">
        <v>964</v>
      </c>
      <c r="G139" s="892" t="s">
        <v>965</v>
      </c>
      <c r="H139" s="902"/>
      <c r="I139" s="903"/>
      <c r="J139" s="892" t="s">
        <v>966</v>
      </c>
      <c r="K139" s="902"/>
      <c r="L139" s="903"/>
      <c r="M139" s="426"/>
    </row>
    <row r="140" spans="1:13" ht="11.85" customHeight="1" x14ac:dyDescent="0.25">
      <c r="A140" s="807" t="s">
        <v>1011</v>
      </c>
      <c r="B140" s="914" t="s">
        <v>1012</v>
      </c>
      <c r="C140" s="915"/>
      <c r="D140" s="914" t="s">
        <v>2232</v>
      </c>
      <c r="E140" s="915"/>
      <c r="F140" s="790" t="s">
        <v>2233</v>
      </c>
      <c r="G140" s="914" t="s">
        <v>2234</v>
      </c>
      <c r="H140" s="916"/>
      <c r="I140" s="915"/>
      <c r="J140" s="914" t="s">
        <v>479</v>
      </c>
      <c r="K140" s="916"/>
      <c r="L140" s="915"/>
      <c r="M140" s="796"/>
    </row>
    <row r="141" spans="1:13" ht="11.1" customHeight="1" x14ac:dyDescent="0.25">
      <c r="A141" s="808" t="s">
        <v>1013</v>
      </c>
      <c r="B141" s="884">
        <v>10</v>
      </c>
      <c r="C141" s="885"/>
      <c r="D141" s="884" t="s">
        <v>479</v>
      </c>
      <c r="E141" s="885"/>
      <c r="F141" s="791" t="s">
        <v>479</v>
      </c>
      <c r="G141" s="884" t="s">
        <v>479</v>
      </c>
      <c r="H141" s="913"/>
      <c r="I141" s="885"/>
      <c r="J141" s="884" t="s">
        <v>479</v>
      </c>
      <c r="K141" s="913"/>
      <c r="L141" s="885"/>
      <c r="M141" s="796"/>
    </row>
    <row r="142" spans="1:13" ht="11.85" customHeight="1" x14ac:dyDescent="0.25">
      <c r="A142" s="808" t="s">
        <v>1014</v>
      </c>
      <c r="B142" s="884" t="s">
        <v>1015</v>
      </c>
      <c r="C142" s="885"/>
      <c r="D142" s="884" t="s">
        <v>2232</v>
      </c>
      <c r="E142" s="885"/>
      <c r="F142" s="791" t="s">
        <v>2233</v>
      </c>
      <c r="G142" s="884" t="s">
        <v>2234</v>
      </c>
      <c r="H142" s="913"/>
      <c r="I142" s="885"/>
      <c r="J142" s="884" t="s">
        <v>479</v>
      </c>
      <c r="K142" s="913"/>
      <c r="L142" s="885"/>
      <c r="M142" s="796"/>
    </row>
    <row r="143" spans="1:13" ht="11.85" customHeight="1" x14ac:dyDescent="0.25">
      <c r="A143" s="810" t="s">
        <v>1016</v>
      </c>
      <c r="B143" s="910" t="s">
        <v>1017</v>
      </c>
      <c r="C143" s="911"/>
      <c r="D143" s="910" t="s">
        <v>479</v>
      </c>
      <c r="E143" s="911"/>
      <c r="F143" s="792" t="s">
        <v>479</v>
      </c>
      <c r="G143" s="910" t="s">
        <v>479</v>
      </c>
      <c r="H143" s="912"/>
      <c r="I143" s="911"/>
      <c r="J143" s="910" t="s">
        <v>479</v>
      </c>
      <c r="K143" s="912"/>
      <c r="L143" s="911"/>
      <c r="M143" s="796"/>
    </row>
    <row r="144" spans="1:13" ht="11.85" customHeight="1" x14ac:dyDescent="0.25">
      <c r="A144" s="809" t="s">
        <v>1018</v>
      </c>
      <c r="B144" s="1017" t="s">
        <v>1019</v>
      </c>
      <c r="C144" s="1018"/>
      <c r="D144" s="1017" t="s">
        <v>2232</v>
      </c>
      <c r="E144" s="1018"/>
      <c r="F144" s="793" t="s">
        <v>2233</v>
      </c>
      <c r="G144" s="1017" t="s">
        <v>2234</v>
      </c>
      <c r="H144" s="1019"/>
      <c r="I144" s="1018"/>
      <c r="J144" s="1017" t="s">
        <v>479</v>
      </c>
      <c r="K144" s="1019"/>
      <c r="L144" s="1018"/>
      <c r="M144" s="796"/>
    </row>
    <row r="145" spans="1:13" ht="5.85" customHeight="1" x14ac:dyDescent="0.25">
      <c r="A145" s="427"/>
      <c r="B145" s="427"/>
      <c r="C145" s="427"/>
      <c r="D145" s="427"/>
      <c r="E145" s="427"/>
      <c r="F145" s="427"/>
      <c r="G145" s="427"/>
      <c r="H145" s="427"/>
      <c r="I145" s="427"/>
      <c r="J145" s="427"/>
      <c r="K145" s="427"/>
      <c r="L145" s="427"/>
    </row>
    <row r="146" spans="1:13" ht="5.0999999999999996" customHeight="1" x14ac:dyDescent="0.25">
      <c r="A146" s="809" t="s">
        <v>1020</v>
      </c>
      <c r="B146" s="1017" t="s">
        <v>1021</v>
      </c>
      <c r="C146" s="1018"/>
      <c r="D146" s="1017" t="s">
        <v>2235</v>
      </c>
      <c r="E146" s="1018"/>
      <c r="F146" s="793" t="s">
        <v>2236</v>
      </c>
      <c r="G146" s="1017" t="s">
        <v>2237</v>
      </c>
      <c r="H146" s="1019"/>
      <c r="I146" s="1018"/>
      <c r="J146" s="907"/>
      <c r="K146" s="909"/>
      <c r="L146" s="908"/>
      <c r="M146" s="796"/>
    </row>
    <row r="147" spans="1:13" ht="17.850000000000001" customHeight="1" x14ac:dyDescent="0.25">
      <c r="A147" s="786" t="s">
        <v>1022</v>
      </c>
      <c r="B147" s="1025" t="s">
        <v>708</v>
      </c>
      <c r="C147" s="1026"/>
      <c r="D147" s="1026"/>
      <c r="E147" s="1026"/>
      <c r="F147" s="1026"/>
      <c r="G147" s="1026"/>
      <c r="H147" s="1026"/>
      <c r="I147" s="1026"/>
      <c r="J147" s="1026"/>
      <c r="K147" s="1026"/>
      <c r="L147" s="1027"/>
      <c r="M147" s="426"/>
    </row>
    <row r="148" spans="1:13" ht="11.85" customHeight="1" x14ac:dyDescent="0.25">
      <c r="A148" s="807" t="s">
        <v>987</v>
      </c>
      <c r="B148" s="914" t="s">
        <v>479</v>
      </c>
      <c r="C148" s="916"/>
      <c r="D148" s="916"/>
      <c r="E148" s="916"/>
      <c r="F148" s="916"/>
      <c r="G148" s="916"/>
      <c r="H148" s="916"/>
      <c r="I148" s="916"/>
      <c r="J148" s="916"/>
      <c r="K148" s="916"/>
      <c r="L148" s="915"/>
      <c r="M148" s="426"/>
    </row>
    <row r="149" spans="1:13" ht="14.85" customHeight="1" x14ac:dyDescent="0.25">
      <c r="A149" s="808" t="s">
        <v>988</v>
      </c>
      <c r="B149" s="884" t="s">
        <v>2238</v>
      </c>
      <c r="C149" s="913"/>
      <c r="D149" s="913"/>
      <c r="E149" s="913"/>
      <c r="F149" s="913"/>
      <c r="G149" s="913"/>
      <c r="H149" s="913"/>
      <c r="I149" s="913"/>
      <c r="J149" s="913"/>
      <c r="K149" s="913"/>
      <c r="L149" s="885"/>
      <c r="M149" s="426"/>
    </row>
    <row r="150" spans="1:13" ht="11.85" customHeight="1" x14ac:dyDescent="0.25">
      <c r="A150" s="810" t="s">
        <v>989</v>
      </c>
      <c r="B150" s="910" t="s">
        <v>479</v>
      </c>
      <c r="C150" s="912"/>
      <c r="D150" s="912"/>
      <c r="E150" s="912"/>
      <c r="F150" s="912"/>
      <c r="G150" s="912"/>
      <c r="H150" s="912"/>
      <c r="I150" s="912"/>
      <c r="J150" s="912"/>
      <c r="K150" s="912"/>
      <c r="L150" s="911"/>
      <c r="M150" s="426"/>
    </row>
    <row r="151" spans="1:13" ht="11.85" customHeight="1" x14ac:dyDescent="0.25">
      <c r="A151" s="427"/>
      <c r="B151" s="427"/>
      <c r="C151" s="427"/>
      <c r="D151" s="427"/>
      <c r="E151" s="427"/>
      <c r="F151" s="427"/>
      <c r="G151" s="427"/>
      <c r="H151" s="427"/>
      <c r="I151" s="427"/>
      <c r="J151" s="427"/>
      <c r="K151" s="427"/>
      <c r="L151" s="427"/>
    </row>
    <row r="152" spans="1:13" ht="5.85" customHeight="1" x14ac:dyDescent="0.25">
      <c r="A152" s="1025" t="s">
        <v>1023</v>
      </c>
      <c r="B152" s="1026"/>
      <c r="C152" s="1026"/>
      <c r="D152" s="1026"/>
      <c r="E152" s="1026"/>
      <c r="F152" s="1026"/>
      <c r="G152" s="1026"/>
      <c r="H152" s="1026"/>
      <c r="I152" s="1026"/>
      <c r="J152" s="1026"/>
      <c r="K152" s="1026"/>
      <c r="L152" s="1027"/>
      <c r="M152" s="426"/>
    </row>
    <row r="153" spans="1:13" ht="11.1" customHeight="1" x14ac:dyDescent="0.25">
      <c r="A153" s="786" t="s">
        <v>1024</v>
      </c>
      <c r="B153" s="892" t="s">
        <v>545</v>
      </c>
      <c r="C153" s="903"/>
      <c r="D153" s="892" t="s">
        <v>928</v>
      </c>
      <c r="E153" s="902"/>
      <c r="F153" s="902"/>
      <c r="G153" s="902"/>
      <c r="H153" s="902"/>
      <c r="I153" s="902"/>
      <c r="J153" s="902"/>
      <c r="K153" s="902"/>
      <c r="L153" s="903"/>
      <c r="M153" s="426"/>
    </row>
    <row r="154" spans="1:13" ht="17.850000000000001" customHeight="1" x14ac:dyDescent="0.25">
      <c r="A154" s="807" t="s">
        <v>1025</v>
      </c>
      <c r="B154" s="914" t="s">
        <v>479</v>
      </c>
      <c r="C154" s="915"/>
      <c r="D154" s="914" t="s">
        <v>479</v>
      </c>
      <c r="E154" s="916"/>
      <c r="F154" s="916"/>
      <c r="G154" s="916"/>
      <c r="H154" s="916"/>
      <c r="I154" s="916"/>
      <c r="J154" s="916"/>
      <c r="K154" s="916"/>
      <c r="L154" s="915"/>
      <c r="M154" s="426"/>
    </row>
    <row r="155" spans="1:13" ht="60.6" customHeight="1" x14ac:dyDescent="0.25">
      <c r="A155" s="810" t="s">
        <v>1026</v>
      </c>
      <c r="B155" s="910" t="s">
        <v>479</v>
      </c>
      <c r="C155" s="911"/>
      <c r="D155" s="910" t="s">
        <v>479</v>
      </c>
      <c r="E155" s="912"/>
      <c r="F155" s="912"/>
      <c r="G155" s="912"/>
      <c r="H155" s="912"/>
      <c r="I155" s="912"/>
      <c r="J155" s="912"/>
      <c r="K155" s="912"/>
      <c r="L155" s="911"/>
      <c r="M155" s="426"/>
    </row>
    <row r="156" spans="1:13" x14ac:dyDescent="0.25">
      <c r="A156" s="809" t="s">
        <v>1027</v>
      </c>
      <c r="B156" s="1017" t="s">
        <v>479</v>
      </c>
      <c r="C156" s="1018"/>
      <c r="D156" s="1017" t="s">
        <v>479</v>
      </c>
      <c r="E156" s="1019"/>
      <c r="F156" s="1019"/>
      <c r="G156" s="1019"/>
      <c r="H156" s="1019"/>
      <c r="I156" s="1019"/>
      <c r="J156" s="1019"/>
      <c r="K156" s="1019"/>
      <c r="L156" s="1018"/>
      <c r="M156" s="426"/>
    </row>
    <row r="157" spans="1:13" x14ac:dyDescent="0.25">
      <c r="A157" s="427"/>
      <c r="B157" s="427"/>
      <c r="C157" s="427"/>
      <c r="D157" s="427"/>
      <c r="E157" s="427"/>
      <c r="F157" s="427"/>
      <c r="G157" s="427"/>
      <c r="H157" s="427"/>
      <c r="I157" s="427"/>
      <c r="J157" s="427"/>
      <c r="K157" s="427"/>
      <c r="L157" s="427"/>
    </row>
    <row r="158" spans="1:13" x14ac:dyDescent="0.25">
      <c r="A158" s="978" t="s">
        <v>2227</v>
      </c>
      <c r="B158" s="978"/>
      <c r="C158" s="978"/>
      <c r="D158" s="978"/>
      <c r="E158" s="978"/>
      <c r="F158" s="978"/>
      <c r="G158" s="978"/>
      <c r="H158" s="978"/>
      <c r="I158" s="978"/>
      <c r="J158" s="978"/>
      <c r="K158" s="978"/>
      <c r="L158" s="978"/>
    </row>
    <row r="159" spans="1:13" x14ac:dyDescent="0.25">
      <c r="A159" s="904" t="s">
        <v>539</v>
      </c>
      <c r="B159" s="904"/>
      <c r="L159" s="805" t="s">
        <v>1028</v>
      </c>
    </row>
    <row r="160" spans="1:13" x14ac:dyDescent="0.25">
      <c r="A160" s="904" t="s">
        <v>707</v>
      </c>
      <c r="B160" s="904"/>
    </row>
    <row r="161" spans="1:13" x14ac:dyDescent="0.25">
      <c r="A161" s="905" t="s">
        <v>921</v>
      </c>
      <c r="B161" s="905"/>
      <c r="C161" s="905"/>
      <c r="D161" s="905"/>
      <c r="E161" s="905"/>
      <c r="F161" s="905"/>
      <c r="G161" s="905"/>
      <c r="H161" s="905"/>
    </row>
    <row r="162" spans="1:13" x14ac:dyDescent="0.25">
      <c r="A162" s="904" t="s">
        <v>922</v>
      </c>
      <c r="B162" s="904"/>
    </row>
    <row r="163" spans="1:13" x14ac:dyDescent="0.25">
      <c r="A163" s="904" t="s">
        <v>2205</v>
      </c>
      <c r="B163" s="904"/>
    </row>
    <row r="164" spans="1:13" ht="11.85" customHeight="1" x14ac:dyDescent="0.25"/>
    <row r="165" spans="1:13" x14ac:dyDescent="0.25">
      <c r="A165" s="906" t="s">
        <v>923</v>
      </c>
      <c r="B165" s="906"/>
      <c r="C165" s="425"/>
      <c r="D165" s="425"/>
      <c r="E165" s="425"/>
      <c r="F165" s="425"/>
      <c r="G165" s="425"/>
      <c r="H165" s="981" t="s">
        <v>471</v>
      </c>
      <c r="I165" s="981"/>
      <c r="J165" s="981"/>
      <c r="K165" s="981"/>
      <c r="L165" s="981"/>
    </row>
    <row r="166" spans="1:13" ht="33" x14ac:dyDescent="0.25">
      <c r="A166" s="786" t="s">
        <v>1029</v>
      </c>
      <c r="B166" s="892" t="s">
        <v>1010</v>
      </c>
      <c r="C166" s="903"/>
      <c r="D166" s="892" t="s">
        <v>963</v>
      </c>
      <c r="E166" s="903"/>
      <c r="F166" s="787" t="s">
        <v>964</v>
      </c>
      <c r="G166" s="892" t="s">
        <v>965</v>
      </c>
      <c r="H166" s="902"/>
      <c r="I166" s="903"/>
      <c r="J166" s="892" t="s">
        <v>966</v>
      </c>
      <c r="K166" s="902"/>
      <c r="L166" s="903"/>
      <c r="M166" s="426"/>
    </row>
    <row r="167" spans="1:13" x14ac:dyDescent="0.25">
      <c r="A167" s="807" t="s">
        <v>969</v>
      </c>
      <c r="B167" s="914" t="s">
        <v>479</v>
      </c>
      <c r="C167" s="915"/>
      <c r="D167" s="914" t="s">
        <v>479</v>
      </c>
      <c r="E167" s="915"/>
      <c r="F167" s="790" t="s">
        <v>479</v>
      </c>
      <c r="G167" s="914" t="s">
        <v>479</v>
      </c>
      <c r="H167" s="916"/>
      <c r="I167" s="915"/>
      <c r="J167" s="914" t="s">
        <v>479</v>
      </c>
      <c r="K167" s="916"/>
      <c r="L167" s="915"/>
      <c r="M167" s="426"/>
    </row>
    <row r="168" spans="1:13" x14ac:dyDescent="0.25">
      <c r="A168" s="808" t="s">
        <v>1030</v>
      </c>
      <c r="B168" s="884" t="s">
        <v>479</v>
      </c>
      <c r="C168" s="885"/>
      <c r="D168" s="884" t="s">
        <v>479</v>
      </c>
      <c r="E168" s="885"/>
      <c r="F168" s="791" t="s">
        <v>479</v>
      </c>
      <c r="G168" s="884" t="s">
        <v>479</v>
      </c>
      <c r="H168" s="913"/>
      <c r="I168" s="885"/>
      <c r="J168" s="884" t="s">
        <v>479</v>
      </c>
      <c r="K168" s="913"/>
      <c r="L168" s="885"/>
      <c r="M168" s="426"/>
    </row>
    <row r="169" spans="1:13" x14ac:dyDescent="0.25">
      <c r="A169" s="810" t="s">
        <v>973</v>
      </c>
      <c r="B169" s="910" t="s">
        <v>479</v>
      </c>
      <c r="C169" s="911"/>
      <c r="D169" s="910" t="s">
        <v>479</v>
      </c>
      <c r="E169" s="911"/>
      <c r="F169" s="792" t="s">
        <v>479</v>
      </c>
      <c r="G169" s="910" t="s">
        <v>479</v>
      </c>
      <c r="H169" s="912"/>
      <c r="I169" s="911"/>
      <c r="J169" s="910" t="s">
        <v>479</v>
      </c>
      <c r="K169" s="912"/>
      <c r="L169" s="911"/>
      <c r="M169" s="426"/>
    </row>
    <row r="170" spans="1:13" x14ac:dyDescent="0.25">
      <c r="A170" s="809" t="s">
        <v>1031</v>
      </c>
      <c r="B170" s="1017" t="s">
        <v>479</v>
      </c>
      <c r="C170" s="1018"/>
      <c r="D170" s="1017" t="s">
        <v>479</v>
      </c>
      <c r="E170" s="1018"/>
      <c r="F170" s="793" t="s">
        <v>479</v>
      </c>
      <c r="G170" s="1017" t="s">
        <v>479</v>
      </c>
      <c r="H170" s="1019"/>
      <c r="I170" s="1018"/>
      <c r="J170" s="1017" t="s">
        <v>479</v>
      </c>
      <c r="K170" s="1019"/>
      <c r="L170" s="1018"/>
      <c r="M170" s="426"/>
    </row>
    <row r="171" spans="1:13" x14ac:dyDescent="0.25">
      <c r="A171" s="427"/>
      <c r="B171" s="427"/>
      <c r="C171" s="427"/>
      <c r="D171" s="427"/>
      <c r="E171" s="427"/>
      <c r="F171" s="427"/>
      <c r="G171" s="427"/>
      <c r="H171" s="427"/>
      <c r="I171" s="427"/>
      <c r="J171" s="427"/>
      <c r="K171" s="427"/>
      <c r="L171" s="427"/>
    </row>
    <row r="172" spans="1:13" x14ac:dyDescent="0.25">
      <c r="A172" s="809" t="s">
        <v>1032</v>
      </c>
      <c r="B172" s="1017" t="s">
        <v>479</v>
      </c>
      <c r="C172" s="1018"/>
      <c r="D172" s="1017" t="s">
        <v>479</v>
      </c>
      <c r="E172" s="1018"/>
      <c r="F172" s="793" t="s">
        <v>479</v>
      </c>
      <c r="G172" s="1017" t="s">
        <v>479</v>
      </c>
      <c r="H172" s="1019"/>
      <c r="I172" s="1018"/>
      <c r="J172" s="907"/>
      <c r="K172" s="909"/>
      <c r="L172" s="908"/>
      <c r="M172" s="426"/>
    </row>
    <row r="173" spans="1:13" x14ac:dyDescent="0.25">
      <c r="A173" s="428"/>
      <c r="B173" s="428"/>
      <c r="C173" s="428"/>
      <c r="D173" s="428"/>
      <c r="E173" s="428"/>
      <c r="F173" s="428"/>
      <c r="G173" s="428"/>
      <c r="H173" s="428"/>
      <c r="I173" s="428"/>
      <c r="J173" s="428"/>
      <c r="K173" s="428"/>
      <c r="L173" s="428"/>
    </row>
    <row r="174" spans="1:13" x14ac:dyDescent="0.25">
      <c r="A174" s="1035" t="s">
        <v>1033</v>
      </c>
      <c r="B174" s="1035"/>
      <c r="C174" s="1035"/>
      <c r="D174" s="1035"/>
      <c r="E174" s="1035"/>
      <c r="F174" s="1035"/>
      <c r="G174" s="1035"/>
      <c r="H174" s="1035"/>
      <c r="I174" s="1035"/>
      <c r="J174" s="1035"/>
    </row>
    <row r="178" spans="1:12" ht="15" customHeight="1" x14ac:dyDescent="0.25">
      <c r="A178" s="1036" t="s">
        <v>2239</v>
      </c>
      <c r="B178" s="1036"/>
      <c r="C178" s="1036"/>
      <c r="D178" s="1036"/>
      <c r="E178" s="1036"/>
      <c r="F178" s="1036"/>
      <c r="G178" s="1036"/>
      <c r="H178" s="1036"/>
      <c r="I178" s="1036"/>
      <c r="J178" s="1036"/>
      <c r="K178" s="1036"/>
      <c r="L178" s="1036"/>
    </row>
    <row r="179" spans="1:12" ht="35.25" customHeight="1" x14ac:dyDescent="0.25">
      <c r="A179" s="1036"/>
      <c r="B179" s="1036"/>
      <c r="C179" s="1036"/>
      <c r="D179" s="1036"/>
      <c r="E179" s="1036"/>
      <c r="F179" s="1036"/>
      <c r="G179" s="1036"/>
      <c r="H179" s="1036"/>
      <c r="I179" s="1036"/>
      <c r="J179" s="1036"/>
      <c r="K179" s="1036"/>
      <c r="L179" s="1036"/>
    </row>
    <row r="182" spans="1:12" x14ac:dyDescent="0.25">
      <c r="A182" s="425"/>
      <c r="B182" s="425"/>
      <c r="C182" s="425"/>
      <c r="D182" s="425"/>
      <c r="E182" s="425"/>
      <c r="F182" s="425"/>
      <c r="G182" s="425"/>
      <c r="H182" s="425"/>
      <c r="I182" s="425"/>
      <c r="J182" s="425"/>
      <c r="K182" s="425"/>
      <c r="L182" s="425"/>
    </row>
    <row r="183" spans="1:12" x14ac:dyDescent="0.25">
      <c r="A183" s="978" t="s">
        <v>2227</v>
      </c>
      <c r="B183" s="978"/>
      <c r="C183" s="978"/>
      <c r="D183" s="978"/>
      <c r="E183" s="978"/>
      <c r="F183" s="978"/>
      <c r="G183" s="978"/>
      <c r="H183" s="978"/>
      <c r="I183" s="978"/>
      <c r="J183" s="978"/>
      <c r="K183" s="978"/>
      <c r="L183" s="978"/>
    </row>
  </sheetData>
  <mergeCells count="307">
    <mergeCell ref="B172:C172"/>
    <mergeCell ref="D172:E172"/>
    <mergeCell ref="G172:I172"/>
    <mergeCell ref="J172:L172"/>
    <mergeCell ref="A174:J174"/>
    <mergeCell ref="A178:L179"/>
    <mergeCell ref="A183:L183"/>
    <mergeCell ref="B168:C168"/>
    <mergeCell ref="D168:E168"/>
    <mergeCell ref="G168:I168"/>
    <mergeCell ref="J168:L168"/>
    <mergeCell ref="B169:C169"/>
    <mergeCell ref="D169:E169"/>
    <mergeCell ref="G169:I169"/>
    <mergeCell ref="J169:L169"/>
    <mergeCell ref="B170:C170"/>
    <mergeCell ref="D170:E170"/>
    <mergeCell ref="G170:I170"/>
    <mergeCell ref="J170:L170"/>
    <mergeCell ref="A165:B165"/>
    <mergeCell ref="H165:L165"/>
    <mergeCell ref="B166:C166"/>
    <mergeCell ref="D166:E166"/>
    <mergeCell ref="G166:I166"/>
    <mergeCell ref="J166:L166"/>
    <mergeCell ref="B167:C167"/>
    <mergeCell ref="D167:E167"/>
    <mergeCell ref="G167:I167"/>
    <mergeCell ref="J167:L167"/>
    <mergeCell ref="B146:C146"/>
    <mergeCell ref="D146:E146"/>
    <mergeCell ref="G146:I146"/>
    <mergeCell ref="J146:L146"/>
    <mergeCell ref="B147:L147"/>
    <mergeCell ref="B148:L148"/>
    <mergeCell ref="B149:L149"/>
    <mergeCell ref="B150:L150"/>
    <mergeCell ref="A152:L152"/>
    <mergeCell ref="J142:L142"/>
    <mergeCell ref="B143:C143"/>
    <mergeCell ref="D143:E143"/>
    <mergeCell ref="G143:I143"/>
    <mergeCell ref="J143:L143"/>
    <mergeCell ref="B144:C144"/>
    <mergeCell ref="D144:E144"/>
    <mergeCell ref="G144:I144"/>
    <mergeCell ref="J144:L144"/>
    <mergeCell ref="B142:C142"/>
    <mergeCell ref="D142:E142"/>
    <mergeCell ref="G142:I142"/>
    <mergeCell ref="B130:L130"/>
    <mergeCell ref="B131:L131"/>
    <mergeCell ref="B132:L132"/>
    <mergeCell ref="A134:L134"/>
    <mergeCell ref="B135:C135"/>
    <mergeCell ref="D135:L135"/>
    <mergeCell ref="B136:C136"/>
    <mergeCell ref="D136:L136"/>
    <mergeCell ref="B137:C137"/>
    <mergeCell ref="D137:L137"/>
    <mergeCell ref="A117:L117"/>
    <mergeCell ref="A120:H120"/>
    <mergeCell ref="A121:B121"/>
    <mergeCell ref="A124:B124"/>
    <mergeCell ref="H124:L124"/>
    <mergeCell ref="B125:L125"/>
    <mergeCell ref="B126:L126"/>
    <mergeCell ref="B127:L127"/>
    <mergeCell ref="B129:L129"/>
    <mergeCell ref="A118:B118"/>
    <mergeCell ref="A119:B119"/>
    <mergeCell ref="A122:B122"/>
    <mergeCell ref="B113:C113"/>
    <mergeCell ref="D113:E113"/>
    <mergeCell ref="G113:I113"/>
    <mergeCell ref="J113:L113"/>
    <mergeCell ref="B115:C115"/>
    <mergeCell ref="D115:E115"/>
    <mergeCell ref="G115:I115"/>
    <mergeCell ref="J115:L115"/>
    <mergeCell ref="B112:C112"/>
    <mergeCell ref="D112:E112"/>
    <mergeCell ref="B109:C109"/>
    <mergeCell ref="D109:E109"/>
    <mergeCell ref="G109:I109"/>
    <mergeCell ref="J109:L109"/>
    <mergeCell ref="B110:C110"/>
    <mergeCell ref="D110:E110"/>
    <mergeCell ref="G110:I110"/>
    <mergeCell ref="J110:L110"/>
    <mergeCell ref="G112:I112"/>
    <mergeCell ref="J112:L112"/>
    <mergeCell ref="B106:C106"/>
    <mergeCell ref="D106:E106"/>
    <mergeCell ref="G106:I106"/>
    <mergeCell ref="J106:L106"/>
    <mergeCell ref="B107:C107"/>
    <mergeCell ref="D107:E107"/>
    <mergeCell ref="G107:I107"/>
    <mergeCell ref="J107:L107"/>
    <mergeCell ref="B108:C108"/>
    <mergeCell ref="D108:E108"/>
    <mergeCell ref="G108:I108"/>
    <mergeCell ref="J108:L108"/>
    <mergeCell ref="B100:C100"/>
    <mergeCell ref="D100:L100"/>
    <mergeCell ref="B101:C101"/>
    <mergeCell ref="D101:L101"/>
    <mergeCell ref="B102:C102"/>
    <mergeCell ref="D102:L102"/>
    <mergeCell ref="B103:C103"/>
    <mergeCell ref="D103:L103"/>
    <mergeCell ref="B104:C104"/>
    <mergeCell ref="D104:L104"/>
    <mergeCell ref="B95:C95"/>
    <mergeCell ref="D95:L95"/>
    <mergeCell ref="B96:C96"/>
    <mergeCell ref="D96:L96"/>
    <mergeCell ref="B97:C97"/>
    <mergeCell ref="D97:L97"/>
    <mergeCell ref="B98:C98"/>
    <mergeCell ref="D98:L98"/>
    <mergeCell ref="B99:C99"/>
    <mergeCell ref="D99:L99"/>
    <mergeCell ref="A51:B51"/>
    <mergeCell ref="A53:B53"/>
    <mergeCell ref="H53:L53"/>
    <mergeCell ref="B54:L54"/>
    <mergeCell ref="B61:L61"/>
    <mergeCell ref="B62:L62"/>
    <mergeCell ref="A63:M63"/>
    <mergeCell ref="B64:L64"/>
    <mergeCell ref="B65:L65"/>
    <mergeCell ref="B56:L56"/>
    <mergeCell ref="M56:M57"/>
    <mergeCell ref="B57:L57"/>
    <mergeCell ref="B58:L58"/>
    <mergeCell ref="B59:L59"/>
    <mergeCell ref="B60:L60"/>
    <mergeCell ref="B44:C44"/>
    <mergeCell ref="D44:E44"/>
    <mergeCell ref="G44:I44"/>
    <mergeCell ref="J44:L44"/>
    <mergeCell ref="A46:L46"/>
    <mergeCell ref="A47:B47"/>
    <mergeCell ref="A48:B48"/>
    <mergeCell ref="A49:H49"/>
    <mergeCell ref="A50:B50"/>
    <mergeCell ref="J40:L40"/>
    <mergeCell ref="B41:C41"/>
    <mergeCell ref="D41:E41"/>
    <mergeCell ref="G41:I41"/>
    <mergeCell ref="J41:L41"/>
    <mergeCell ref="B42:C42"/>
    <mergeCell ref="D42:E42"/>
    <mergeCell ref="G42:I42"/>
    <mergeCell ref="J42:L42"/>
    <mergeCell ref="B20:D20"/>
    <mergeCell ref="E20:L20"/>
    <mergeCell ref="B21:D21"/>
    <mergeCell ref="E21:L21"/>
    <mergeCell ref="B22:D22"/>
    <mergeCell ref="E22:L22"/>
    <mergeCell ref="B23:D23"/>
    <mergeCell ref="E23:L23"/>
    <mergeCell ref="B24:D24"/>
    <mergeCell ref="E24:L24"/>
    <mergeCell ref="A1:B1"/>
    <mergeCell ref="A2:B2"/>
    <mergeCell ref="A3:H3"/>
    <mergeCell ref="A4:B4"/>
    <mergeCell ref="A5:B5"/>
    <mergeCell ref="A7:B7"/>
    <mergeCell ref="H7:L7"/>
    <mergeCell ref="A8:L8"/>
    <mergeCell ref="A9:L9"/>
    <mergeCell ref="B15:D15"/>
    <mergeCell ref="E15:L15"/>
    <mergeCell ref="B16:D16"/>
    <mergeCell ref="E16:L16"/>
    <mergeCell ref="B17:D17"/>
    <mergeCell ref="E17:L17"/>
    <mergeCell ref="B18:D18"/>
    <mergeCell ref="E18:L18"/>
    <mergeCell ref="B19:D19"/>
    <mergeCell ref="E19:L19"/>
    <mergeCell ref="B25:D25"/>
    <mergeCell ref="E25:L25"/>
    <mergeCell ref="B26:D26"/>
    <mergeCell ref="E26:L26"/>
    <mergeCell ref="B27:D27"/>
    <mergeCell ref="E27:L27"/>
    <mergeCell ref="B28:D28"/>
    <mergeCell ref="E28:L28"/>
    <mergeCell ref="B29:D29"/>
    <mergeCell ref="E29:L29"/>
    <mergeCell ref="B30:D30"/>
    <mergeCell ref="E30:L30"/>
    <mergeCell ref="B31:D31"/>
    <mergeCell ref="E31:L31"/>
    <mergeCell ref="B32:D32"/>
    <mergeCell ref="E32:L32"/>
    <mergeCell ref="B33:D33"/>
    <mergeCell ref="E33:L33"/>
    <mergeCell ref="M54:M55"/>
    <mergeCell ref="B55:L55"/>
    <mergeCell ref="D37:E37"/>
    <mergeCell ref="G37:I37"/>
    <mergeCell ref="J37:L37"/>
    <mergeCell ref="B38:C38"/>
    <mergeCell ref="D38:E38"/>
    <mergeCell ref="G38:I38"/>
    <mergeCell ref="J38:L38"/>
    <mergeCell ref="B39:C39"/>
    <mergeCell ref="D39:E39"/>
    <mergeCell ref="G39:I39"/>
    <mergeCell ref="J39:L39"/>
    <mergeCell ref="B40:C40"/>
    <mergeCell ref="D40:E40"/>
    <mergeCell ref="G40:I40"/>
    <mergeCell ref="A78:B78"/>
    <mergeCell ref="A80:B80"/>
    <mergeCell ref="B84:C84"/>
    <mergeCell ref="D84:L84"/>
    <mergeCell ref="B66:L66"/>
    <mergeCell ref="B67:L67"/>
    <mergeCell ref="A68:M68"/>
    <mergeCell ref="A73:L73"/>
    <mergeCell ref="A74:B74"/>
    <mergeCell ref="A75:B75"/>
    <mergeCell ref="A76:H76"/>
    <mergeCell ref="A77:B77"/>
    <mergeCell ref="H80:L80"/>
    <mergeCell ref="A81:L81"/>
    <mergeCell ref="B82:C82"/>
    <mergeCell ref="D82:L82"/>
    <mergeCell ref="B83:C83"/>
    <mergeCell ref="D83:L83"/>
    <mergeCell ref="B85:C85"/>
    <mergeCell ref="D85:L85"/>
    <mergeCell ref="B86:C86"/>
    <mergeCell ref="D86:L86"/>
    <mergeCell ref="B87:C87"/>
    <mergeCell ref="D87:L87"/>
    <mergeCell ref="B88:C88"/>
    <mergeCell ref="B111:C111"/>
    <mergeCell ref="D111:E111"/>
    <mergeCell ref="G111:I111"/>
    <mergeCell ref="J111:L111"/>
    <mergeCell ref="D88:L88"/>
    <mergeCell ref="B89:C89"/>
    <mergeCell ref="D89:L89"/>
    <mergeCell ref="B90:C90"/>
    <mergeCell ref="D90:L90"/>
    <mergeCell ref="B91:C91"/>
    <mergeCell ref="D91:L91"/>
    <mergeCell ref="B92:C92"/>
    <mergeCell ref="D92:L92"/>
    <mergeCell ref="B93:C93"/>
    <mergeCell ref="D93:L93"/>
    <mergeCell ref="B94:C94"/>
    <mergeCell ref="D94:L94"/>
    <mergeCell ref="B139:C139"/>
    <mergeCell ref="D139:E139"/>
    <mergeCell ref="G139:I139"/>
    <mergeCell ref="J139:L139"/>
    <mergeCell ref="B140:C140"/>
    <mergeCell ref="D140:E140"/>
    <mergeCell ref="G140:I140"/>
    <mergeCell ref="J140:L140"/>
    <mergeCell ref="B141:C141"/>
    <mergeCell ref="D141:E141"/>
    <mergeCell ref="G141:I141"/>
    <mergeCell ref="J141:L141"/>
    <mergeCell ref="B153:C153"/>
    <mergeCell ref="D153:L153"/>
    <mergeCell ref="B154:C154"/>
    <mergeCell ref="D154:L154"/>
    <mergeCell ref="B155:C155"/>
    <mergeCell ref="D155:L155"/>
    <mergeCell ref="B156:C156"/>
    <mergeCell ref="D156:L156"/>
    <mergeCell ref="A158:L158"/>
    <mergeCell ref="A159:B159"/>
    <mergeCell ref="A160:B160"/>
    <mergeCell ref="A161:H161"/>
    <mergeCell ref="A162:B162"/>
    <mergeCell ref="A163:B163"/>
    <mergeCell ref="B10:D10"/>
    <mergeCell ref="E10:L10"/>
    <mergeCell ref="B11:D11"/>
    <mergeCell ref="E11:L11"/>
    <mergeCell ref="B12:D12"/>
    <mergeCell ref="E12:L12"/>
    <mergeCell ref="B13:D13"/>
    <mergeCell ref="E13:L13"/>
    <mergeCell ref="B14:D14"/>
    <mergeCell ref="E14:L14"/>
    <mergeCell ref="B35:C35"/>
    <mergeCell ref="D35:E35"/>
    <mergeCell ref="G35:I35"/>
    <mergeCell ref="J35:L35"/>
    <mergeCell ref="B36:C36"/>
    <mergeCell ref="D36:E36"/>
    <mergeCell ref="G36:I36"/>
    <mergeCell ref="J36:L36"/>
    <mergeCell ref="B37:C37"/>
  </mergeCells>
  <pageMargins left="0.511811024" right="0.511811024" top="0.78740157499999996" bottom="0.78740157499999996" header="0.31496062000000002" footer="0.31496062000000002"/>
  <pageSetup paperSize="9" orientation="landscape" horizontalDpi="0" verticalDpi="0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31"/>
  <sheetViews>
    <sheetView workbookViewId="0">
      <selection activeCell="F22" sqref="F22"/>
    </sheetView>
  </sheetViews>
  <sheetFormatPr defaultColWidth="11.5703125" defaultRowHeight="8.25" x14ac:dyDescent="0.15"/>
  <cols>
    <col min="1" max="1" width="24.42578125" style="3" customWidth="1"/>
    <col min="2" max="2" width="9.5703125" style="3" bestFit="1" customWidth="1"/>
    <col min="3" max="3" width="10.85546875" style="3" bestFit="1" customWidth="1"/>
    <col min="4" max="4" width="9.28515625" style="3" bestFit="1" customWidth="1"/>
    <col min="5" max="5" width="7" style="3" bestFit="1" customWidth="1"/>
    <col min="6" max="6" width="9.5703125" style="3" customWidth="1"/>
    <col min="7" max="7" width="9.7109375" style="3" customWidth="1"/>
    <col min="8" max="8" width="9.5703125" style="3" customWidth="1"/>
    <col min="9" max="9" width="9.28515625" style="3" customWidth="1"/>
    <col min="10" max="10" width="8.7109375" style="3" bestFit="1" customWidth="1"/>
    <col min="11" max="11" width="8.140625" style="3" bestFit="1" customWidth="1"/>
    <col min="12" max="12" width="9" style="3" bestFit="1" customWidth="1"/>
    <col min="13" max="13" width="10" style="3" bestFit="1" customWidth="1"/>
    <col min="14" max="16384" width="11.5703125" style="3"/>
  </cols>
  <sheetData>
    <row r="2" spans="1:13" ht="11.45" customHeight="1" x14ac:dyDescent="0.15">
      <c r="A2" s="625" t="s">
        <v>466</v>
      </c>
      <c r="B2" s="625"/>
      <c r="C2" s="625"/>
      <c r="D2" s="625"/>
      <c r="E2" s="625"/>
      <c r="F2" s="625"/>
      <c r="G2" s="625"/>
      <c r="H2" s="625"/>
      <c r="I2" s="625"/>
      <c r="J2" s="625"/>
      <c r="K2" s="625"/>
      <c r="L2" s="625"/>
      <c r="M2" s="625"/>
    </row>
    <row r="3" spans="1:13" ht="11.45" customHeight="1" x14ac:dyDescent="0.15">
      <c r="A3" s="625" t="s">
        <v>467</v>
      </c>
      <c r="B3" s="625"/>
      <c r="C3" s="625"/>
      <c r="D3" s="625"/>
      <c r="E3" s="625"/>
      <c r="F3" s="625"/>
      <c r="G3" s="625"/>
      <c r="H3" s="625"/>
      <c r="I3" s="625"/>
      <c r="J3" s="625"/>
      <c r="K3" s="625"/>
      <c r="L3" s="625"/>
      <c r="M3" s="625"/>
    </row>
    <row r="4" spans="1:13" ht="11.45" customHeight="1" x14ac:dyDescent="0.15">
      <c r="A4" s="432" t="s">
        <v>709</v>
      </c>
      <c r="B4" s="432"/>
      <c r="C4" s="432"/>
      <c r="D4" s="432"/>
      <c r="E4" s="432"/>
      <c r="F4" s="432"/>
      <c r="G4" s="432"/>
      <c r="H4" s="432"/>
      <c r="I4" s="432"/>
      <c r="J4" s="432"/>
      <c r="K4" s="432"/>
      <c r="L4" s="432"/>
      <c r="M4" s="432"/>
    </row>
    <row r="5" spans="1:13" ht="11.45" customHeight="1" x14ac:dyDescent="0.15">
      <c r="A5" s="625" t="s">
        <v>469</v>
      </c>
      <c r="B5" s="625"/>
      <c r="C5" s="625"/>
      <c r="D5" s="625"/>
      <c r="E5" s="625"/>
      <c r="F5" s="625"/>
      <c r="G5" s="625"/>
      <c r="H5" s="625"/>
      <c r="I5" s="625"/>
      <c r="J5" s="625"/>
      <c r="K5" s="625"/>
      <c r="L5" s="625"/>
      <c r="M5" s="625"/>
    </row>
    <row r="6" spans="1:13" ht="11.45" customHeight="1" x14ac:dyDescent="0.15">
      <c r="A6" s="625" t="s">
        <v>1852</v>
      </c>
      <c r="B6" s="625"/>
      <c r="C6" s="625"/>
      <c r="D6" s="625"/>
      <c r="E6" s="625"/>
      <c r="F6" s="625"/>
      <c r="G6" s="625"/>
      <c r="H6" s="625"/>
      <c r="I6" s="625"/>
      <c r="J6" s="625"/>
      <c r="K6" s="625"/>
      <c r="L6" s="625"/>
      <c r="M6" s="625"/>
    </row>
    <row r="8" spans="1:13" ht="11.45" customHeight="1" x14ac:dyDescent="0.15">
      <c r="A8" s="439" t="s">
        <v>710</v>
      </c>
      <c r="B8" s="439"/>
      <c r="C8" s="439"/>
      <c r="D8" s="439"/>
      <c r="E8" s="439"/>
      <c r="F8" s="439"/>
      <c r="G8" s="439"/>
      <c r="H8" s="439"/>
      <c r="I8" s="439"/>
      <c r="J8" s="439"/>
      <c r="K8" s="439"/>
      <c r="L8" s="439"/>
      <c r="M8" s="626" t="s">
        <v>537</v>
      </c>
    </row>
    <row r="9" spans="1:13" ht="11.45" customHeight="1" x14ac:dyDescent="0.15">
      <c r="A9" s="627" t="s">
        <v>711</v>
      </c>
      <c r="B9" s="693" t="s">
        <v>514</v>
      </c>
      <c r="C9" s="694"/>
      <c r="D9" s="694"/>
      <c r="E9" s="694"/>
      <c r="F9" s="694"/>
      <c r="G9" s="693" t="s">
        <v>712</v>
      </c>
      <c r="H9" s="693"/>
      <c r="I9" s="693"/>
      <c r="J9" s="693"/>
      <c r="K9" s="693"/>
      <c r="L9" s="693"/>
      <c r="M9" s="628" t="s">
        <v>713</v>
      </c>
    </row>
    <row r="10" spans="1:13" x14ac:dyDescent="0.15">
      <c r="A10" s="627"/>
      <c r="B10" s="694"/>
      <c r="C10" s="694"/>
      <c r="D10" s="694"/>
      <c r="E10" s="694"/>
      <c r="F10" s="694"/>
      <c r="G10" s="693"/>
      <c r="H10" s="693"/>
      <c r="I10" s="693"/>
      <c r="J10" s="693"/>
      <c r="K10" s="693"/>
      <c r="L10" s="693"/>
      <c r="M10" s="628"/>
    </row>
    <row r="11" spans="1:13" ht="11.45" customHeight="1" x14ac:dyDescent="0.15">
      <c r="A11" s="627"/>
      <c r="B11" s="629" t="s">
        <v>714</v>
      </c>
      <c r="C11" s="629"/>
      <c r="D11" s="630" t="s">
        <v>715</v>
      </c>
      <c r="E11" s="630" t="s">
        <v>716</v>
      </c>
      <c r="F11" s="630" t="s">
        <v>513</v>
      </c>
      <c r="G11" s="629" t="s">
        <v>714</v>
      </c>
      <c r="H11" s="629"/>
      <c r="I11" s="630" t="s">
        <v>689</v>
      </c>
      <c r="J11" s="630" t="s">
        <v>715</v>
      </c>
      <c r="K11" s="630" t="s">
        <v>716</v>
      </c>
      <c r="L11" s="630" t="s">
        <v>513</v>
      </c>
      <c r="M11" s="628" t="s">
        <v>713</v>
      </c>
    </row>
    <row r="12" spans="1:13" ht="11.45" customHeight="1" x14ac:dyDescent="0.15">
      <c r="A12" s="627"/>
      <c r="B12" s="631" t="s">
        <v>717</v>
      </c>
      <c r="C12" s="631" t="s">
        <v>718</v>
      </c>
      <c r="D12" s="630"/>
      <c r="E12" s="630"/>
      <c r="F12" s="630"/>
      <c r="G12" s="631" t="s">
        <v>717</v>
      </c>
      <c r="H12" s="631" t="s">
        <v>718</v>
      </c>
      <c r="I12" s="630"/>
      <c r="J12" s="630"/>
      <c r="K12" s="630"/>
      <c r="L12" s="630"/>
      <c r="M12" s="628"/>
    </row>
    <row r="13" spans="1:13" ht="11.45" customHeight="1" x14ac:dyDescent="0.15">
      <c r="A13" s="627"/>
      <c r="B13" s="631" t="s">
        <v>719</v>
      </c>
      <c r="C13" s="631" t="s">
        <v>1131</v>
      </c>
      <c r="D13" s="630"/>
      <c r="E13" s="630"/>
      <c r="F13" s="630"/>
      <c r="G13" s="631" t="s">
        <v>719</v>
      </c>
      <c r="H13" s="631" t="s">
        <v>1131</v>
      </c>
      <c r="I13" s="630"/>
      <c r="J13" s="630"/>
      <c r="K13" s="630"/>
      <c r="L13" s="630"/>
      <c r="M13" s="628"/>
    </row>
    <row r="14" spans="1:13" ht="11.45" customHeight="1" x14ac:dyDescent="0.15">
      <c r="A14" s="627"/>
      <c r="B14" s="632" t="s">
        <v>504</v>
      </c>
      <c r="C14" s="632" t="s">
        <v>505</v>
      </c>
      <c r="D14" s="632" t="s">
        <v>720</v>
      </c>
      <c r="E14" s="632" t="s">
        <v>597</v>
      </c>
      <c r="F14" s="632" t="s">
        <v>721</v>
      </c>
      <c r="G14" s="632" t="s">
        <v>722</v>
      </c>
      <c r="H14" s="632" t="s">
        <v>723</v>
      </c>
      <c r="I14" s="632" t="s">
        <v>724</v>
      </c>
      <c r="J14" s="632" t="s">
        <v>725</v>
      </c>
      <c r="K14" s="632" t="s">
        <v>726</v>
      </c>
      <c r="L14" s="632" t="s">
        <v>727</v>
      </c>
      <c r="M14" s="633" t="s">
        <v>728</v>
      </c>
    </row>
    <row r="15" spans="1:13" ht="11.45" customHeight="1" x14ac:dyDescent="0.15">
      <c r="A15" s="634" t="s">
        <v>729</v>
      </c>
      <c r="B15" s="635">
        <v>1380765.89</v>
      </c>
      <c r="C15" s="635">
        <v>3496082.68</v>
      </c>
      <c r="D15" s="635">
        <v>3252726.99</v>
      </c>
      <c r="E15" s="635">
        <v>5971.88</v>
      </c>
      <c r="F15" s="635">
        <v>1618149.7</v>
      </c>
      <c r="G15" s="635">
        <v>1424297.05</v>
      </c>
      <c r="H15" s="635">
        <v>3295727.51</v>
      </c>
      <c r="I15" s="635">
        <v>3025902.79</v>
      </c>
      <c r="J15" s="635">
        <v>2897110.04</v>
      </c>
      <c r="K15" s="635">
        <v>211054.78</v>
      </c>
      <c r="L15" s="635">
        <v>1611859.74</v>
      </c>
      <c r="M15" s="636">
        <v>3230009.44</v>
      </c>
    </row>
    <row r="16" spans="1:13" ht="11.45" customHeight="1" x14ac:dyDescent="0.15">
      <c r="A16" s="637" t="s">
        <v>730</v>
      </c>
      <c r="B16" s="635">
        <v>1380765.89</v>
      </c>
      <c r="C16" s="635">
        <v>3494245.27</v>
      </c>
      <c r="D16" s="635">
        <v>3250889.58</v>
      </c>
      <c r="E16" s="635">
        <v>5971.88</v>
      </c>
      <c r="F16" s="635">
        <v>1618149.7</v>
      </c>
      <c r="G16" s="635">
        <v>1424297.05</v>
      </c>
      <c r="H16" s="635">
        <v>3295727.51</v>
      </c>
      <c r="I16" s="635">
        <v>3025902.79</v>
      </c>
      <c r="J16" s="635">
        <v>2897110.04</v>
      </c>
      <c r="K16" s="635">
        <v>211054.78</v>
      </c>
      <c r="L16" s="635">
        <v>1611859.74</v>
      </c>
      <c r="M16" s="636">
        <v>3230009.44</v>
      </c>
    </row>
    <row r="17" spans="1:13" ht="11.45" customHeight="1" x14ac:dyDescent="0.15">
      <c r="A17" s="637" t="s">
        <v>731</v>
      </c>
      <c r="B17" s="635">
        <v>0</v>
      </c>
      <c r="C17" s="635">
        <v>1837.41</v>
      </c>
      <c r="D17" s="635">
        <v>1837.41</v>
      </c>
      <c r="E17" s="635">
        <v>0</v>
      </c>
      <c r="F17" s="635">
        <v>0</v>
      </c>
      <c r="G17" s="635">
        <v>0</v>
      </c>
      <c r="H17" s="635">
        <v>0</v>
      </c>
      <c r="I17" s="635">
        <v>0</v>
      </c>
      <c r="J17" s="635">
        <v>0</v>
      </c>
      <c r="K17" s="635">
        <v>0</v>
      </c>
      <c r="L17" s="635">
        <v>0</v>
      </c>
      <c r="M17" s="636">
        <v>0</v>
      </c>
    </row>
    <row r="18" spans="1:13" ht="11.45" customHeight="1" x14ac:dyDescent="0.15">
      <c r="A18" s="638" t="s">
        <v>732</v>
      </c>
      <c r="B18" s="635">
        <v>0</v>
      </c>
      <c r="C18" s="635">
        <v>1837.41</v>
      </c>
      <c r="D18" s="635">
        <v>1837.41</v>
      </c>
      <c r="E18" s="635">
        <v>0</v>
      </c>
      <c r="F18" s="635">
        <v>0</v>
      </c>
      <c r="G18" s="635">
        <v>0</v>
      </c>
      <c r="H18" s="635">
        <v>0</v>
      </c>
      <c r="I18" s="635">
        <v>0</v>
      </c>
      <c r="J18" s="635">
        <v>0</v>
      </c>
      <c r="K18" s="635">
        <v>0</v>
      </c>
      <c r="L18" s="635">
        <v>0</v>
      </c>
      <c r="M18" s="636">
        <v>0</v>
      </c>
    </row>
    <row r="19" spans="1:13" ht="11.45" customHeight="1" x14ac:dyDescent="0.15">
      <c r="A19" s="634" t="s">
        <v>733</v>
      </c>
      <c r="B19" s="635">
        <v>9576538.5099999998</v>
      </c>
      <c r="C19" s="635">
        <v>10178592.439999999</v>
      </c>
      <c r="D19" s="635">
        <v>4555407.9400000004</v>
      </c>
      <c r="E19" s="635">
        <v>0</v>
      </c>
      <c r="F19" s="635">
        <v>15199723.01</v>
      </c>
      <c r="G19" s="635">
        <v>0</v>
      </c>
      <c r="H19" s="635">
        <v>0</v>
      </c>
      <c r="I19" s="635">
        <v>0</v>
      </c>
      <c r="J19" s="635">
        <v>0</v>
      </c>
      <c r="K19" s="635">
        <v>0</v>
      </c>
      <c r="L19" s="635">
        <v>0</v>
      </c>
      <c r="M19" s="636">
        <v>15199723.01</v>
      </c>
    </row>
    <row r="20" spans="1:13" ht="11.45" customHeight="1" x14ac:dyDescent="0.15">
      <c r="A20" s="637" t="s">
        <v>730</v>
      </c>
      <c r="B20" s="635">
        <v>9576538.5099999998</v>
      </c>
      <c r="C20" s="635">
        <v>10178592.439999999</v>
      </c>
      <c r="D20" s="635">
        <v>4555407.9400000004</v>
      </c>
      <c r="E20" s="635">
        <v>0</v>
      </c>
      <c r="F20" s="635">
        <v>15199723.01</v>
      </c>
      <c r="G20" s="635">
        <v>0</v>
      </c>
      <c r="H20" s="635">
        <v>0</v>
      </c>
      <c r="I20" s="635">
        <v>0</v>
      </c>
      <c r="J20" s="635">
        <v>0</v>
      </c>
      <c r="K20" s="635">
        <v>0</v>
      </c>
      <c r="L20" s="635">
        <v>0</v>
      </c>
      <c r="M20" s="636">
        <v>15199723.01</v>
      </c>
    </row>
    <row r="21" spans="1:13" ht="11.45" customHeight="1" x14ac:dyDescent="0.15">
      <c r="A21" s="639" t="s">
        <v>734</v>
      </c>
      <c r="B21" s="640">
        <v>10957304.4</v>
      </c>
      <c r="C21" s="640">
        <v>13674675.119999999</v>
      </c>
      <c r="D21" s="640">
        <v>7808134.9299999997</v>
      </c>
      <c r="E21" s="640">
        <v>5971.88</v>
      </c>
      <c r="F21" s="640">
        <v>16817872.710000001</v>
      </c>
      <c r="G21" s="640">
        <v>1424297.05</v>
      </c>
      <c r="H21" s="640">
        <v>3295727.51</v>
      </c>
      <c r="I21" s="640">
        <v>3025902.79</v>
      </c>
      <c r="J21" s="640">
        <v>2897110.04</v>
      </c>
      <c r="K21" s="640">
        <v>211054.78</v>
      </c>
      <c r="L21" s="640">
        <v>1611859.74</v>
      </c>
      <c r="M21" s="641">
        <v>18429732.449999999</v>
      </c>
    </row>
    <row r="22" spans="1:13" x14ac:dyDescent="0.15">
      <c r="K22" s="670"/>
    </row>
    <row r="28" spans="1:13" ht="11.45" customHeight="1" x14ac:dyDescent="0.15">
      <c r="A28" s="1037" t="s">
        <v>1132</v>
      </c>
      <c r="B28" s="1037"/>
      <c r="C28" s="1037"/>
      <c r="D28" s="1037"/>
      <c r="E28" s="1037"/>
      <c r="F28" s="1037"/>
      <c r="G28" s="1037"/>
      <c r="H28" s="1037"/>
      <c r="I28" s="1037"/>
      <c r="J28" s="1037"/>
      <c r="K28" s="1037"/>
      <c r="L28" s="1037"/>
      <c r="M28" s="1037"/>
    </row>
    <row r="29" spans="1:13" ht="11.45" customHeight="1" x14ac:dyDescent="0.15">
      <c r="A29" s="1037" t="s">
        <v>1133</v>
      </c>
      <c r="B29" s="1037"/>
      <c r="C29" s="1037"/>
      <c r="D29" s="1037"/>
      <c r="E29" s="1037"/>
      <c r="F29" s="1037"/>
      <c r="G29" s="1037"/>
      <c r="H29" s="1037"/>
      <c r="I29" s="1037"/>
      <c r="J29" s="1037"/>
      <c r="K29" s="1037"/>
      <c r="L29" s="1037"/>
      <c r="M29" s="1037"/>
    </row>
    <row r="30" spans="1:13" ht="11.45" customHeight="1" x14ac:dyDescent="0.15">
      <c r="A30" s="642" t="s">
        <v>1134</v>
      </c>
      <c r="B30" s="642"/>
      <c r="C30" s="642"/>
      <c r="D30" s="642"/>
      <c r="E30" s="642"/>
      <c r="F30" s="642"/>
      <c r="G30" s="642"/>
      <c r="H30" s="642"/>
      <c r="I30" s="642"/>
      <c r="J30" s="642"/>
      <c r="K30" s="642"/>
      <c r="L30" s="642"/>
      <c r="M30" s="642"/>
    </row>
    <row r="31" spans="1:13" ht="11.45" customHeight="1" x14ac:dyDescent="0.15">
      <c r="A31" s="1037" t="s">
        <v>1135</v>
      </c>
      <c r="B31" s="1037"/>
      <c r="C31" s="1037"/>
      <c r="D31" s="1037"/>
      <c r="E31" s="1037"/>
      <c r="F31" s="1037"/>
      <c r="G31" s="1037"/>
      <c r="H31" s="1037"/>
      <c r="I31" s="1037"/>
      <c r="J31" s="1037"/>
      <c r="K31" s="1037"/>
      <c r="L31" s="1037"/>
      <c r="M31" s="1037"/>
    </row>
  </sheetData>
  <mergeCells count="3">
    <mergeCell ref="A29:M29"/>
    <mergeCell ref="A31:M31"/>
    <mergeCell ref="A28:M28"/>
  </mergeCells>
  <pageMargins left="0.511811024" right="0.511811024" top="0.78740157499999996" bottom="0.78740157499999996" header="0.31496062000000002" footer="0.31496062000000002"/>
  <pageSetup paperSize="9" orientation="landscape" horizontalDpi="0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236"/>
  <sheetViews>
    <sheetView topLeftCell="A200" workbookViewId="0">
      <selection activeCell="AS209" sqref="AS209"/>
    </sheetView>
  </sheetViews>
  <sheetFormatPr defaultRowHeight="15" x14ac:dyDescent="0.25"/>
  <cols>
    <col min="1" max="1" width="60" customWidth="1"/>
    <col min="2" max="2" width="12.5703125" customWidth="1"/>
    <col min="3" max="3" width="0.5703125" customWidth="1"/>
    <col min="4" max="5" width="2" customWidth="1"/>
    <col min="6" max="6" width="1" customWidth="1"/>
    <col min="7" max="7" width="7" customWidth="1"/>
    <col min="8" max="8" width="5" customWidth="1"/>
    <col min="9" max="9" width="7" customWidth="1"/>
    <col min="10" max="10" width="0.5703125" customWidth="1"/>
    <col min="11" max="11" width="5.7109375" customWidth="1"/>
    <col min="12" max="12" width="1.85546875" customWidth="1"/>
    <col min="13" max="13" width="4.140625" customWidth="1"/>
    <col min="14" max="14" width="1.5703125" customWidth="1"/>
    <col min="15" max="15" width="0.5703125" customWidth="1"/>
    <col min="16" max="16" width="1" customWidth="1"/>
    <col min="17" max="17" width="4" customWidth="1"/>
    <col min="18" max="18" width="1" customWidth="1"/>
    <col min="19" max="19" width="3.140625" customWidth="1"/>
    <col min="20" max="20" width="1.85546875" customWidth="1"/>
    <col min="21" max="22" width="1" customWidth="1"/>
    <col min="23" max="23" width="11.140625" customWidth="1"/>
    <col min="24" max="24" width="0.5703125" customWidth="1"/>
  </cols>
  <sheetData>
    <row r="1" spans="1:24" ht="11.85" customHeight="1" x14ac:dyDescent="0.25">
      <c r="A1" s="904" t="s">
        <v>539</v>
      </c>
      <c r="B1" s="904"/>
      <c r="C1" s="904"/>
      <c r="W1" s="805" t="s">
        <v>1217</v>
      </c>
    </row>
    <row r="2" spans="1:24" ht="11.1" customHeight="1" x14ac:dyDescent="0.25">
      <c r="A2" s="904" t="s">
        <v>707</v>
      </c>
      <c r="B2" s="904"/>
      <c r="C2" s="904"/>
    </row>
    <row r="3" spans="1:24" ht="11.85" customHeight="1" x14ac:dyDescent="0.25">
      <c r="A3" s="905" t="s">
        <v>1218</v>
      </c>
      <c r="B3" s="905"/>
      <c r="C3" s="905"/>
      <c r="D3" s="905"/>
      <c r="E3" s="905"/>
      <c r="F3" s="905"/>
      <c r="G3" s="905"/>
      <c r="H3" s="905"/>
      <c r="I3" s="905"/>
      <c r="J3" s="905"/>
      <c r="K3" s="905"/>
      <c r="L3" s="905"/>
      <c r="M3" s="905"/>
      <c r="N3" s="905"/>
      <c r="O3" s="905"/>
      <c r="P3" s="905"/>
    </row>
    <row r="4" spans="1:24" ht="11.85" customHeight="1" x14ac:dyDescent="0.25">
      <c r="A4" s="904" t="s">
        <v>922</v>
      </c>
      <c r="B4" s="904"/>
      <c r="C4" s="904"/>
    </row>
    <row r="5" spans="1:24" ht="11.85" customHeight="1" x14ac:dyDescent="0.25">
      <c r="A5" s="904" t="s">
        <v>1852</v>
      </c>
      <c r="B5" s="904"/>
      <c r="C5" s="904"/>
    </row>
    <row r="6" spans="1:24" ht="5.85" customHeight="1" x14ac:dyDescent="0.25"/>
    <row r="7" spans="1:24" ht="11.1" customHeight="1" x14ac:dyDescent="0.25">
      <c r="A7" s="906" t="s">
        <v>1219</v>
      </c>
      <c r="B7" s="906"/>
      <c r="C7" s="906"/>
      <c r="D7" s="425"/>
      <c r="E7" s="425"/>
      <c r="F7" s="425"/>
      <c r="G7" s="425"/>
      <c r="H7" s="425"/>
      <c r="I7" s="425"/>
      <c r="J7" s="425"/>
      <c r="K7" s="425"/>
      <c r="L7" s="425"/>
      <c r="M7" s="425"/>
      <c r="N7" s="425"/>
      <c r="O7" s="425"/>
      <c r="P7" s="981" t="s">
        <v>471</v>
      </c>
      <c r="Q7" s="981"/>
      <c r="R7" s="981"/>
      <c r="S7" s="981"/>
      <c r="T7" s="981"/>
      <c r="U7" s="981"/>
      <c r="V7" s="981"/>
      <c r="W7" s="981"/>
    </row>
    <row r="8" spans="1:24" ht="11.85" customHeight="1" x14ac:dyDescent="0.25">
      <c r="A8" s="1025" t="s">
        <v>1220</v>
      </c>
      <c r="B8" s="1026"/>
      <c r="C8" s="1026"/>
      <c r="D8" s="1026"/>
      <c r="E8" s="1026"/>
      <c r="F8" s="1026"/>
      <c r="G8" s="1026"/>
      <c r="H8" s="1026"/>
      <c r="I8" s="1026"/>
      <c r="J8" s="1026"/>
      <c r="K8" s="1026"/>
      <c r="L8" s="1026"/>
      <c r="M8" s="1026"/>
      <c r="N8" s="1026"/>
      <c r="O8" s="1026"/>
      <c r="P8" s="1026"/>
      <c r="Q8" s="1026"/>
      <c r="R8" s="1026"/>
      <c r="S8" s="1026"/>
      <c r="T8" s="1026"/>
      <c r="U8" s="1026"/>
      <c r="V8" s="1026"/>
      <c r="W8" s="1027"/>
      <c r="X8" s="426"/>
    </row>
    <row r="9" spans="1:24" ht="28.9" customHeight="1" x14ac:dyDescent="0.25">
      <c r="A9" s="786" t="s">
        <v>1221</v>
      </c>
      <c r="B9" s="892" t="s">
        <v>927</v>
      </c>
      <c r="C9" s="902"/>
      <c r="D9" s="902"/>
      <c r="E9" s="902"/>
      <c r="F9" s="902"/>
      <c r="G9" s="902"/>
      <c r="H9" s="903"/>
      <c r="I9" s="892" t="s">
        <v>928</v>
      </c>
      <c r="J9" s="902"/>
      <c r="K9" s="902"/>
      <c r="L9" s="902"/>
      <c r="M9" s="902"/>
      <c r="N9" s="902"/>
      <c r="O9" s="902"/>
      <c r="P9" s="902"/>
      <c r="Q9" s="902"/>
      <c r="R9" s="902"/>
      <c r="S9" s="902"/>
      <c r="T9" s="902"/>
      <c r="U9" s="902"/>
      <c r="V9" s="902"/>
      <c r="W9" s="903"/>
      <c r="X9" s="426"/>
    </row>
    <row r="10" spans="1:24" ht="14.85" customHeight="1" x14ac:dyDescent="0.25">
      <c r="A10" s="824" t="s">
        <v>1222</v>
      </c>
      <c r="B10" s="886" t="s">
        <v>829</v>
      </c>
      <c r="C10" s="888"/>
      <c r="D10" s="888"/>
      <c r="E10" s="888"/>
      <c r="F10" s="888"/>
      <c r="G10" s="888"/>
      <c r="H10" s="887"/>
      <c r="I10" s="886" t="s">
        <v>1874</v>
      </c>
      <c r="J10" s="888"/>
      <c r="K10" s="888"/>
      <c r="L10" s="888"/>
      <c r="M10" s="888"/>
      <c r="N10" s="888"/>
      <c r="O10" s="888"/>
      <c r="P10" s="888"/>
      <c r="Q10" s="888"/>
      <c r="R10" s="888"/>
      <c r="S10" s="888"/>
      <c r="T10" s="888"/>
      <c r="U10" s="888"/>
      <c r="V10" s="888"/>
      <c r="W10" s="887"/>
      <c r="X10" s="426"/>
    </row>
    <row r="11" spans="1:24" ht="14.85" customHeight="1" x14ac:dyDescent="0.25">
      <c r="A11" s="822" t="s">
        <v>1223</v>
      </c>
      <c r="B11" s="881" t="s">
        <v>1037</v>
      </c>
      <c r="C11" s="882"/>
      <c r="D11" s="882"/>
      <c r="E11" s="882"/>
      <c r="F11" s="882"/>
      <c r="G11" s="882"/>
      <c r="H11" s="883"/>
      <c r="I11" s="881" t="s">
        <v>2101</v>
      </c>
      <c r="J11" s="882"/>
      <c r="K11" s="882"/>
      <c r="L11" s="882"/>
      <c r="M11" s="882"/>
      <c r="N11" s="882"/>
      <c r="O11" s="882"/>
      <c r="P11" s="882"/>
      <c r="Q11" s="882"/>
      <c r="R11" s="882"/>
      <c r="S11" s="882"/>
      <c r="T11" s="882"/>
      <c r="U11" s="882"/>
      <c r="V11" s="882"/>
      <c r="W11" s="883"/>
      <c r="X11" s="426"/>
    </row>
    <row r="12" spans="1:24" ht="14.85" customHeight="1" x14ac:dyDescent="0.25">
      <c r="A12" s="822" t="s">
        <v>1224</v>
      </c>
      <c r="B12" s="881" t="s">
        <v>1040</v>
      </c>
      <c r="C12" s="882"/>
      <c r="D12" s="882"/>
      <c r="E12" s="882"/>
      <c r="F12" s="882"/>
      <c r="G12" s="882"/>
      <c r="H12" s="883"/>
      <c r="I12" s="881" t="s">
        <v>2103</v>
      </c>
      <c r="J12" s="882"/>
      <c r="K12" s="882"/>
      <c r="L12" s="882"/>
      <c r="M12" s="882"/>
      <c r="N12" s="882"/>
      <c r="O12" s="882"/>
      <c r="P12" s="882"/>
      <c r="Q12" s="882"/>
      <c r="R12" s="882"/>
      <c r="S12" s="882"/>
      <c r="T12" s="882"/>
      <c r="U12" s="882"/>
      <c r="V12" s="882"/>
      <c r="W12" s="883"/>
      <c r="X12" s="426"/>
    </row>
    <row r="13" spans="1:24" ht="14.1" customHeight="1" x14ac:dyDescent="0.25">
      <c r="A13" s="822" t="s">
        <v>1225</v>
      </c>
      <c r="B13" s="881" t="s">
        <v>1039</v>
      </c>
      <c r="C13" s="882"/>
      <c r="D13" s="882"/>
      <c r="E13" s="882"/>
      <c r="F13" s="882"/>
      <c r="G13" s="882"/>
      <c r="H13" s="883"/>
      <c r="I13" s="881" t="s">
        <v>2102</v>
      </c>
      <c r="J13" s="882"/>
      <c r="K13" s="882"/>
      <c r="L13" s="882"/>
      <c r="M13" s="882"/>
      <c r="N13" s="882"/>
      <c r="O13" s="882"/>
      <c r="P13" s="882"/>
      <c r="Q13" s="882"/>
      <c r="R13" s="882"/>
      <c r="S13" s="882"/>
      <c r="T13" s="882"/>
      <c r="U13" s="882"/>
      <c r="V13" s="882"/>
      <c r="W13" s="883"/>
      <c r="X13" s="426"/>
    </row>
    <row r="14" spans="1:24" ht="14.85" customHeight="1" x14ac:dyDescent="0.25">
      <c r="A14" s="822" t="s">
        <v>1226</v>
      </c>
      <c r="B14" s="881" t="s">
        <v>1041</v>
      </c>
      <c r="C14" s="882"/>
      <c r="D14" s="882"/>
      <c r="E14" s="882"/>
      <c r="F14" s="882"/>
      <c r="G14" s="882"/>
      <c r="H14" s="883"/>
      <c r="I14" s="881" t="s">
        <v>2104</v>
      </c>
      <c r="J14" s="882"/>
      <c r="K14" s="882"/>
      <c r="L14" s="882"/>
      <c r="M14" s="882"/>
      <c r="N14" s="882"/>
      <c r="O14" s="882"/>
      <c r="P14" s="882"/>
      <c r="Q14" s="882"/>
      <c r="R14" s="882"/>
      <c r="S14" s="882"/>
      <c r="T14" s="882"/>
      <c r="U14" s="882"/>
      <c r="V14" s="882"/>
      <c r="W14" s="883"/>
      <c r="X14" s="426"/>
    </row>
    <row r="15" spans="1:24" ht="14.85" customHeight="1" x14ac:dyDescent="0.25">
      <c r="A15" s="822" t="s">
        <v>1227</v>
      </c>
      <c r="B15" s="881" t="s">
        <v>1228</v>
      </c>
      <c r="C15" s="882"/>
      <c r="D15" s="882"/>
      <c r="E15" s="882"/>
      <c r="F15" s="882"/>
      <c r="G15" s="882"/>
      <c r="H15" s="883"/>
      <c r="I15" s="881" t="s">
        <v>2240</v>
      </c>
      <c r="J15" s="882"/>
      <c r="K15" s="882"/>
      <c r="L15" s="882"/>
      <c r="M15" s="882"/>
      <c r="N15" s="882"/>
      <c r="O15" s="882"/>
      <c r="P15" s="882"/>
      <c r="Q15" s="882"/>
      <c r="R15" s="882"/>
      <c r="S15" s="882"/>
      <c r="T15" s="882"/>
      <c r="U15" s="882"/>
      <c r="V15" s="882"/>
      <c r="W15" s="883"/>
      <c r="X15" s="426"/>
    </row>
    <row r="16" spans="1:24" ht="14.1" customHeight="1" x14ac:dyDescent="0.25">
      <c r="A16" s="822" t="s">
        <v>1229</v>
      </c>
      <c r="B16" s="881" t="s">
        <v>1230</v>
      </c>
      <c r="C16" s="882"/>
      <c r="D16" s="882"/>
      <c r="E16" s="882"/>
      <c r="F16" s="882"/>
      <c r="G16" s="882"/>
      <c r="H16" s="883"/>
      <c r="I16" s="881" t="s">
        <v>2241</v>
      </c>
      <c r="J16" s="882"/>
      <c r="K16" s="882"/>
      <c r="L16" s="882"/>
      <c r="M16" s="882"/>
      <c r="N16" s="882"/>
      <c r="O16" s="882"/>
      <c r="P16" s="882"/>
      <c r="Q16" s="882"/>
      <c r="R16" s="882"/>
      <c r="S16" s="882"/>
      <c r="T16" s="882"/>
      <c r="U16" s="882"/>
      <c r="V16" s="882"/>
      <c r="W16" s="883"/>
      <c r="X16" s="426"/>
    </row>
    <row r="17" spans="1:24" ht="14.85" customHeight="1" x14ac:dyDescent="0.25">
      <c r="A17" s="822" t="s">
        <v>1231</v>
      </c>
      <c r="B17" s="881" t="s">
        <v>1232</v>
      </c>
      <c r="C17" s="882"/>
      <c r="D17" s="882"/>
      <c r="E17" s="882"/>
      <c r="F17" s="882"/>
      <c r="G17" s="882"/>
      <c r="H17" s="883"/>
      <c r="I17" s="881" t="s">
        <v>2241</v>
      </c>
      <c r="J17" s="882"/>
      <c r="K17" s="882"/>
      <c r="L17" s="882"/>
      <c r="M17" s="882"/>
      <c r="N17" s="882"/>
      <c r="O17" s="882"/>
      <c r="P17" s="882"/>
      <c r="Q17" s="882"/>
      <c r="R17" s="882"/>
      <c r="S17" s="882"/>
      <c r="T17" s="882"/>
      <c r="U17" s="882"/>
      <c r="V17" s="882"/>
      <c r="W17" s="883"/>
      <c r="X17" s="426"/>
    </row>
    <row r="18" spans="1:24" ht="14.85" customHeight="1" x14ac:dyDescent="0.25">
      <c r="A18" s="822" t="s">
        <v>1233</v>
      </c>
      <c r="B18" s="881" t="s">
        <v>1234</v>
      </c>
      <c r="C18" s="882"/>
      <c r="D18" s="882"/>
      <c r="E18" s="882"/>
      <c r="F18" s="882"/>
      <c r="G18" s="882"/>
      <c r="H18" s="883"/>
      <c r="I18" s="881" t="s">
        <v>479</v>
      </c>
      <c r="J18" s="882"/>
      <c r="K18" s="882"/>
      <c r="L18" s="882"/>
      <c r="M18" s="882"/>
      <c r="N18" s="882"/>
      <c r="O18" s="882"/>
      <c r="P18" s="882"/>
      <c r="Q18" s="882"/>
      <c r="R18" s="882"/>
      <c r="S18" s="882"/>
      <c r="T18" s="882"/>
      <c r="U18" s="882"/>
      <c r="V18" s="882"/>
      <c r="W18" s="883"/>
      <c r="X18" s="426"/>
    </row>
    <row r="19" spans="1:24" ht="14.1" customHeight="1" x14ac:dyDescent="0.25">
      <c r="A19" s="822" t="s">
        <v>1235</v>
      </c>
      <c r="B19" s="881" t="s">
        <v>1236</v>
      </c>
      <c r="C19" s="882"/>
      <c r="D19" s="882"/>
      <c r="E19" s="882"/>
      <c r="F19" s="882"/>
      <c r="G19" s="882"/>
      <c r="H19" s="883"/>
      <c r="I19" s="881" t="s">
        <v>2242</v>
      </c>
      <c r="J19" s="882"/>
      <c r="K19" s="882"/>
      <c r="L19" s="882"/>
      <c r="M19" s="882"/>
      <c r="N19" s="882"/>
      <c r="O19" s="882"/>
      <c r="P19" s="882"/>
      <c r="Q19" s="882"/>
      <c r="R19" s="882"/>
      <c r="S19" s="882"/>
      <c r="T19" s="882"/>
      <c r="U19" s="882"/>
      <c r="V19" s="882"/>
      <c r="W19" s="883"/>
      <c r="X19" s="426"/>
    </row>
    <row r="20" spans="1:24" ht="14.85" customHeight="1" x14ac:dyDescent="0.25">
      <c r="A20" s="822" t="s">
        <v>1237</v>
      </c>
      <c r="B20" s="881" t="s">
        <v>1238</v>
      </c>
      <c r="C20" s="882"/>
      <c r="D20" s="882"/>
      <c r="E20" s="882"/>
      <c r="F20" s="882"/>
      <c r="G20" s="882"/>
      <c r="H20" s="883"/>
      <c r="I20" s="881" t="s">
        <v>2243</v>
      </c>
      <c r="J20" s="882"/>
      <c r="K20" s="882"/>
      <c r="L20" s="882"/>
      <c r="M20" s="882"/>
      <c r="N20" s="882"/>
      <c r="O20" s="882"/>
      <c r="P20" s="882"/>
      <c r="Q20" s="882"/>
      <c r="R20" s="882"/>
      <c r="S20" s="882"/>
      <c r="T20" s="882"/>
      <c r="U20" s="882"/>
      <c r="V20" s="882"/>
      <c r="W20" s="883"/>
      <c r="X20" s="426"/>
    </row>
    <row r="21" spans="1:24" ht="14.85" customHeight="1" x14ac:dyDescent="0.25">
      <c r="A21" s="822" t="s">
        <v>1239</v>
      </c>
      <c r="B21" s="881" t="s">
        <v>1240</v>
      </c>
      <c r="C21" s="882"/>
      <c r="D21" s="882"/>
      <c r="E21" s="882"/>
      <c r="F21" s="882"/>
      <c r="G21" s="882"/>
      <c r="H21" s="883"/>
      <c r="I21" s="881" t="s">
        <v>2244</v>
      </c>
      <c r="J21" s="882"/>
      <c r="K21" s="882"/>
      <c r="L21" s="882"/>
      <c r="M21" s="882"/>
      <c r="N21" s="882"/>
      <c r="O21" s="882"/>
      <c r="P21" s="882"/>
      <c r="Q21" s="882"/>
      <c r="R21" s="882"/>
      <c r="S21" s="882"/>
      <c r="T21" s="882"/>
      <c r="U21" s="882"/>
      <c r="V21" s="882"/>
      <c r="W21" s="883"/>
      <c r="X21" s="426"/>
    </row>
    <row r="22" spans="1:24" ht="14.1" customHeight="1" x14ac:dyDescent="0.25">
      <c r="A22" s="822" t="s">
        <v>1241</v>
      </c>
      <c r="B22" s="881" t="s">
        <v>1242</v>
      </c>
      <c r="C22" s="882"/>
      <c r="D22" s="882"/>
      <c r="E22" s="882"/>
      <c r="F22" s="882"/>
      <c r="G22" s="882"/>
      <c r="H22" s="883"/>
      <c r="I22" s="881" t="s">
        <v>2245</v>
      </c>
      <c r="J22" s="882"/>
      <c r="K22" s="882"/>
      <c r="L22" s="882"/>
      <c r="M22" s="882"/>
      <c r="N22" s="882"/>
      <c r="O22" s="882"/>
      <c r="P22" s="882"/>
      <c r="Q22" s="882"/>
      <c r="R22" s="882"/>
      <c r="S22" s="882"/>
      <c r="T22" s="882"/>
      <c r="U22" s="882"/>
      <c r="V22" s="882"/>
      <c r="W22" s="883"/>
      <c r="X22" s="426"/>
    </row>
    <row r="23" spans="1:24" ht="14.85" customHeight="1" x14ac:dyDescent="0.25">
      <c r="A23" s="822" t="s">
        <v>1243</v>
      </c>
      <c r="B23" s="881" t="s">
        <v>479</v>
      </c>
      <c r="C23" s="882"/>
      <c r="D23" s="882"/>
      <c r="E23" s="882"/>
      <c r="F23" s="882"/>
      <c r="G23" s="882"/>
      <c r="H23" s="883"/>
      <c r="I23" s="881" t="s">
        <v>479</v>
      </c>
      <c r="J23" s="882"/>
      <c r="K23" s="882"/>
      <c r="L23" s="882"/>
      <c r="M23" s="882"/>
      <c r="N23" s="882"/>
      <c r="O23" s="882"/>
      <c r="P23" s="882"/>
      <c r="Q23" s="882"/>
      <c r="R23" s="882"/>
      <c r="S23" s="882"/>
      <c r="T23" s="882"/>
      <c r="U23" s="882"/>
      <c r="V23" s="882"/>
      <c r="W23" s="883"/>
      <c r="X23" s="426"/>
    </row>
    <row r="24" spans="1:24" ht="14.85" customHeight="1" x14ac:dyDescent="0.25">
      <c r="A24" s="822" t="s">
        <v>1244</v>
      </c>
      <c r="B24" s="881" t="s">
        <v>479</v>
      </c>
      <c r="C24" s="882"/>
      <c r="D24" s="882"/>
      <c r="E24" s="882"/>
      <c r="F24" s="882"/>
      <c r="G24" s="882"/>
      <c r="H24" s="883"/>
      <c r="I24" s="881" t="s">
        <v>479</v>
      </c>
      <c r="J24" s="882"/>
      <c r="K24" s="882"/>
      <c r="L24" s="882"/>
      <c r="M24" s="882"/>
      <c r="N24" s="882"/>
      <c r="O24" s="882"/>
      <c r="P24" s="882"/>
      <c r="Q24" s="882"/>
      <c r="R24" s="882"/>
      <c r="S24" s="882"/>
      <c r="T24" s="882"/>
      <c r="U24" s="882"/>
      <c r="V24" s="882"/>
      <c r="W24" s="883"/>
      <c r="X24" s="426"/>
    </row>
    <row r="25" spans="1:24" ht="14.1" customHeight="1" x14ac:dyDescent="0.25">
      <c r="A25" s="697" t="s">
        <v>1245</v>
      </c>
      <c r="B25" s="1014" t="s">
        <v>1246</v>
      </c>
      <c r="C25" s="1015"/>
      <c r="D25" s="1015"/>
      <c r="E25" s="1015"/>
      <c r="F25" s="1015"/>
      <c r="G25" s="1015"/>
      <c r="H25" s="1016"/>
      <c r="I25" s="1014" t="s">
        <v>2246</v>
      </c>
      <c r="J25" s="1015"/>
      <c r="K25" s="1015"/>
      <c r="L25" s="1015"/>
      <c r="M25" s="1015"/>
      <c r="N25" s="1015"/>
      <c r="O25" s="1015"/>
      <c r="P25" s="1015"/>
      <c r="Q25" s="1015"/>
      <c r="R25" s="1015"/>
      <c r="S25" s="1015"/>
      <c r="T25" s="1015"/>
      <c r="U25" s="1015"/>
      <c r="V25" s="1015"/>
      <c r="W25" s="1016"/>
      <c r="X25" s="426"/>
    </row>
    <row r="26" spans="1:24" ht="14.85" customHeight="1" x14ac:dyDescent="0.25">
      <c r="A26" s="697" t="s">
        <v>1247</v>
      </c>
      <c r="B26" s="1014" t="s">
        <v>1248</v>
      </c>
      <c r="C26" s="1015"/>
      <c r="D26" s="1015"/>
      <c r="E26" s="1015"/>
      <c r="F26" s="1015"/>
      <c r="G26" s="1015"/>
      <c r="H26" s="1016"/>
      <c r="I26" s="1014" t="s">
        <v>2247</v>
      </c>
      <c r="J26" s="1015"/>
      <c r="K26" s="1015"/>
      <c r="L26" s="1015"/>
      <c r="M26" s="1015"/>
      <c r="N26" s="1015"/>
      <c r="O26" s="1015"/>
      <c r="P26" s="1015"/>
      <c r="Q26" s="1015"/>
      <c r="R26" s="1015"/>
      <c r="S26" s="1015"/>
      <c r="T26" s="1015"/>
      <c r="U26" s="1015"/>
      <c r="V26" s="1015"/>
      <c r="W26" s="1016"/>
      <c r="X26" s="426"/>
    </row>
    <row r="27" spans="1:24" ht="15.75" customHeight="1" x14ac:dyDescent="0.25">
      <c r="A27" s="698" t="s">
        <v>1249</v>
      </c>
      <c r="B27" s="1056" t="s">
        <v>1250</v>
      </c>
      <c r="C27" s="1057"/>
      <c r="D27" s="1057"/>
      <c r="E27" s="1057"/>
      <c r="F27" s="1057"/>
      <c r="G27" s="1057"/>
      <c r="H27" s="1058"/>
      <c r="I27" s="1056" t="s">
        <v>2248</v>
      </c>
      <c r="J27" s="1057"/>
      <c r="K27" s="1057"/>
      <c r="L27" s="1057"/>
      <c r="M27" s="1057"/>
      <c r="N27" s="1057"/>
      <c r="O27" s="1057"/>
      <c r="P27" s="1057"/>
      <c r="Q27" s="1057"/>
      <c r="R27" s="1057"/>
      <c r="S27" s="1057"/>
      <c r="T27" s="1057"/>
      <c r="U27" s="1057"/>
      <c r="V27" s="1057"/>
      <c r="W27" s="1058"/>
      <c r="X27" s="426"/>
    </row>
    <row r="28" spans="1:24" ht="11.85" customHeight="1" x14ac:dyDescent="0.25">
      <c r="A28" s="427"/>
      <c r="B28" s="427"/>
      <c r="C28" s="427"/>
      <c r="D28" s="427"/>
      <c r="E28" s="427"/>
      <c r="F28" s="427"/>
      <c r="G28" s="427"/>
      <c r="H28" s="427"/>
      <c r="I28" s="427"/>
      <c r="J28" s="427"/>
      <c r="K28" s="427"/>
      <c r="L28" s="427"/>
      <c r="M28" s="427"/>
      <c r="N28" s="427"/>
      <c r="O28" s="427"/>
      <c r="P28" s="427"/>
      <c r="Q28" s="427"/>
      <c r="R28" s="427"/>
      <c r="S28" s="427"/>
      <c r="T28" s="427"/>
      <c r="U28" s="427"/>
      <c r="V28" s="427"/>
      <c r="W28" s="427"/>
    </row>
    <row r="29" spans="1:24" ht="11.1" customHeight="1" x14ac:dyDescent="0.25">
      <c r="A29" s="1025" t="s">
        <v>132</v>
      </c>
      <c r="B29" s="1026"/>
      <c r="C29" s="1026"/>
      <c r="D29" s="1026"/>
      <c r="E29" s="1026"/>
      <c r="F29" s="1026"/>
      <c r="G29" s="1026"/>
      <c r="H29" s="1026"/>
      <c r="I29" s="1026"/>
      <c r="J29" s="1026"/>
      <c r="K29" s="1026"/>
      <c r="L29" s="1026"/>
      <c r="M29" s="1026"/>
      <c r="N29" s="1026"/>
      <c r="O29" s="1026"/>
      <c r="P29" s="1026"/>
      <c r="Q29" s="1026"/>
      <c r="R29" s="1026"/>
      <c r="S29" s="1026"/>
      <c r="T29" s="1026"/>
      <c r="U29" s="1026"/>
      <c r="V29" s="1026"/>
      <c r="W29" s="1027"/>
      <c r="X29" s="426"/>
    </row>
    <row r="30" spans="1:24" ht="29.65" customHeight="1" x14ac:dyDescent="0.25">
      <c r="A30" s="786" t="s">
        <v>1251</v>
      </c>
      <c r="B30" s="892" t="s">
        <v>927</v>
      </c>
      <c r="C30" s="902"/>
      <c r="D30" s="902"/>
      <c r="E30" s="902"/>
      <c r="F30" s="902"/>
      <c r="G30" s="902"/>
      <c r="H30" s="903"/>
      <c r="I30" s="892" t="s">
        <v>928</v>
      </c>
      <c r="J30" s="902"/>
      <c r="K30" s="902"/>
      <c r="L30" s="902"/>
      <c r="M30" s="902"/>
      <c r="N30" s="902"/>
      <c r="O30" s="902"/>
      <c r="P30" s="902"/>
      <c r="Q30" s="902"/>
      <c r="R30" s="902"/>
      <c r="S30" s="902"/>
      <c r="T30" s="902"/>
      <c r="U30" s="902"/>
      <c r="V30" s="902"/>
      <c r="W30" s="903"/>
      <c r="X30" s="426"/>
    </row>
    <row r="31" spans="1:24" ht="11.1" customHeight="1" x14ac:dyDescent="0.25">
      <c r="A31" s="824" t="s">
        <v>1252</v>
      </c>
      <c r="B31" s="886" t="s">
        <v>1253</v>
      </c>
      <c r="C31" s="888"/>
      <c r="D31" s="888"/>
      <c r="E31" s="888"/>
      <c r="F31" s="888"/>
      <c r="G31" s="888"/>
      <c r="H31" s="887"/>
      <c r="I31" s="886" t="s">
        <v>2249</v>
      </c>
      <c r="J31" s="888"/>
      <c r="K31" s="888"/>
      <c r="L31" s="888"/>
      <c r="M31" s="888"/>
      <c r="N31" s="888"/>
      <c r="O31" s="888"/>
      <c r="P31" s="888"/>
      <c r="Q31" s="888"/>
      <c r="R31" s="888"/>
      <c r="S31" s="888"/>
      <c r="T31" s="888"/>
      <c r="U31" s="888"/>
      <c r="V31" s="888"/>
      <c r="W31" s="887"/>
      <c r="X31" s="426"/>
    </row>
    <row r="32" spans="1:24" ht="11.85" customHeight="1" x14ac:dyDescent="0.25">
      <c r="A32" s="822" t="s">
        <v>1254</v>
      </c>
      <c r="B32" s="881" t="s">
        <v>1253</v>
      </c>
      <c r="C32" s="882"/>
      <c r="D32" s="882"/>
      <c r="E32" s="882"/>
      <c r="F32" s="882"/>
      <c r="G32" s="882"/>
      <c r="H32" s="883"/>
      <c r="I32" s="881" t="s">
        <v>2249</v>
      </c>
      <c r="J32" s="882"/>
      <c r="K32" s="882"/>
      <c r="L32" s="882"/>
      <c r="M32" s="882"/>
      <c r="N32" s="882"/>
      <c r="O32" s="882"/>
      <c r="P32" s="882"/>
      <c r="Q32" s="882"/>
      <c r="R32" s="882"/>
      <c r="S32" s="882"/>
      <c r="T32" s="882"/>
      <c r="U32" s="882"/>
      <c r="V32" s="882"/>
      <c r="W32" s="883"/>
      <c r="X32" s="426"/>
    </row>
    <row r="33" spans="1:24" ht="11.85" customHeight="1" x14ac:dyDescent="0.25">
      <c r="A33" s="822" t="s">
        <v>1255</v>
      </c>
      <c r="B33" s="881" t="s">
        <v>863</v>
      </c>
      <c r="C33" s="882"/>
      <c r="D33" s="882"/>
      <c r="E33" s="882"/>
      <c r="F33" s="882"/>
      <c r="G33" s="882"/>
      <c r="H33" s="883"/>
      <c r="I33" s="881" t="s">
        <v>1947</v>
      </c>
      <c r="J33" s="882"/>
      <c r="K33" s="882"/>
      <c r="L33" s="882"/>
      <c r="M33" s="882"/>
      <c r="N33" s="882"/>
      <c r="O33" s="882"/>
      <c r="P33" s="882"/>
      <c r="Q33" s="882"/>
      <c r="R33" s="882"/>
      <c r="S33" s="882"/>
      <c r="T33" s="882"/>
      <c r="U33" s="882"/>
      <c r="V33" s="882"/>
      <c r="W33" s="883"/>
      <c r="X33" s="426"/>
    </row>
    <row r="34" spans="1:24" ht="11.85" customHeight="1" x14ac:dyDescent="0.25">
      <c r="A34" s="822" t="s">
        <v>1256</v>
      </c>
      <c r="B34" s="881" t="s">
        <v>1257</v>
      </c>
      <c r="C34" s="882"/>
      <c r="D34" s="882"/>
      <c r="E34" s="882"/>
      <c r="F34" s="882"/>
      <c r="G34" s="882"/>
      <c r="H34" s="883"/>
      <c r="I34" s="881" t="s">
        <v>2250</v>
      </c>
      <c r="J34" s="882"/>
      <c r="K34" s="882"/>
      <c r="L34" s="882"/>
      <c r="M34" s="882"/>
      <c r="N34" s="882"/>
      <c r="O34" s="882"/>
      <c r="P34" s="882"/>
      <c r="Q34" s="882"/>
      <c r="R34" s="882"/>
      <c r="S34" s="882"/>
      <c r="T34" s="882"/>
      <c r="U34" s="882"/>
      <c r="V34" s="882"/>
      <c r="W34" s="883"/>
      <c r="X34" s="426"/>
    </row>
    <row r="35" spans="1:24" ht="11.1" customHeight="1" x14ac:dyDescent="0.25">
      <c r="A35" s="822" t="s">
        <v>1258</v>
      </c>
      <c r="B35" s="881" t="s">
        <v>479</v>
      </c>
      <c r="C35" s="882"/>
      <c r="D35" s="882"/>
      <c r="E35" s="882"/>
      <c r="F35" s="882"/>
      <c r="G35" s="882"/>
      <c r="H35" s="883"/>
      <c r="I35" s="881" t="s">
        <v>479</v>
      </c>
      <c r="J35" s="882"/>
      <c r="K35" s="882"/>
      <c r="L35" s="882"/>
      <c r="M35" s="882"/>
      <c r="N35" s="882"/>
      <c r="O35" s="882"/>
      <c r="P35" s="882"/>
      <c r="Q35" s="882"/>
      <c r="R35" s="882"/>
      <c r="S35" s="882"/>
      <c r="T35" s="882"/>
      <c r="U35" s="882"/>
      <c r="V35" s="882"/>
      <c r="W35" s="883"/>
      <c r="X35" s="426"/>
    </row>
    <row r="36" spans="1:24" ht="11.85" customHeight="1" x14ac:dyDescent="0.25">
      <c r="A36" s="822" t="s">
        <v>1259</v>
      </c>
      <c r="B36" s="881" t="s">
        <v>479</v>
      </c>
      <c r="C36" s="882"/>
      <c r="D36" s="882"/>
      <c r="E36" s="882"/>
      <c r="F36" s="882"/>
      <c r="G36" s="882"/>
      <c r="H36" s="883"/>
      <c r="I36" s="881" t="s">
        <v>479</v>
      </c>
      <c r="J36" s="882"/>
      <c r="K36" s="882"/>
      <c r="L36" s="882"/>
      <c r="M36" s="882"/>
      <c r="N36" s="882"/>
      <c r="O36" s="882"/>
      <c r="P36" s="882"/>
      <c r="Q36" s="882"/>
      <c r="R36" s="882"/>
      <c r="S36" s="882"/>
      <c r="T36" s="882"/>
      <c r="U36" s="882"/>
      <c r="V36" s="882"/>
      <c r="W36" s="883"/>
      <c r="X36" s="426"/>
    </row>
    <row r="37" spans="1:24" ht="11.85" customHeight="1" x14ac:dyDescent="0.25">
      <c r="A37" s="822" t="s">
        <v>1260</v>
      </c>
      <c r="B37" s="881" t="s">
        <v>479</v>
      </c>
      <c r="C37" s="882"/>
      <c r="D37" s="882"/>
      <c r="E37" s="882"/>
      <c r="F37" s="882"/>
      <c r="G37" s="882"/>
      <c r="H37" s="883"/>
      <c r="I37" s="881" t="s">
        <v>479</v>
      </c>
      <c r="J37" s="882"/>
      <c r="K37" s="882"/>
      <c r="L37" s="882"/>
      <c r="M37" s="882"/>
      <c r="N37" s="882"/>
      <c r="O37" s="882"/>
      <c r="P37" s="882"/>
      <c r="Q37" s="882"/>
      <c r="R37" s="882"/>
      <c r="S37" s="882"/>
      <c r="T37" s="882"/>
      <c r="U37" s="882"/>
      <c r="V37" s="882"/>
      <c r="W37" s="883"/>
      <c r="X37" s="426"/>
    </row>
    <row r="38" spans="1:24" ht="11.85" customHeight="1" x14ac:dyDescent="0.25">
      <c r="A38" s="822" t="s">
        <v>1261</v>
      </c>
      <c r="B38" s="881" t="s">
        <v>479</v>
      </c>
      <c r="C38" s="882"/>
      <c r="D38" s="882"/>
      <c r="E38" s="882"/>
      <c r="F38" s="882"/>
      <c r="G38" s="882"/>
      <c r="H38" s="883"/>
      <c r="I38" s="881" t="s">
        <v>479</v>
      </c>
      <c r="J38" s="882"/>
      <c r="K38" s="882"/>
      <c r="L38" s="882"/>
      <c r="M38" s="882"/>
      <c r="N38" s="882"/>
      <c r="O38" s="882"/>
      <c r="P38" s="882"/>
      <c r="Q38" s="882"/>
      <c r="R38" s="882"/>
      <c r="S38" s="882"/>
      <c r="T38" s="882"/>
      <c r="U38" s="882"/>
      <c r="V38" s="882"/>
      <c r="W38" s="883"/>
      <c r="X38" s="426"/>
    </row>
    <row r="39" spans="1:24" ht="11.1" customHeight="1" x14ac:dyDescent="0.25">
      <c r="A39" s="822" t="s">
        <v>1262</v>
      </c>
      <c r="B39" s="881" t="s">
        <v>479</v>
      </c>
      <c r="C39" s="882"/>
      <c r="D39" s="882"/>
      <c r="E39" s="882"/>
      <c r="F39" s="882"/>
      <c r="G39" s="882"/>
      <c r="H39" s="883"/>
      <c r="I39" s="881" t="s">
        <v>479</v>
      </c>
      <c r="J39" s="882"/>
      <c r="K39" s="882"/>
      <c r="L39" s="882"/>
      <c r="M39" s="882"/>
      <c r="N39" s="882"/>
      <c r="O39" s="882"/>
      <c r="P39" s="882"/>
      <c r="Q39" s="882"/>
      <c r="R39" s="882"/>
      <c r="S39" s="882"/>
      <c r="T39" s="882"/>
      <c r="U39" s="882"/>
      <c r="V39" s="882"/>
      <c r="W39" s="883"/>
      <c r="X39" s="426"/>
    </row>
    <row r="40" spans="1:24" ht="11.85" customHeight="1" x14ac:dyDescent="0.25">
      <c r="A40" s="822" t="s">
        <v>1263</v>
      </c>
      <c r="B40" s="881" t="s">
        <v>479</v>
      </c>
      <c r="C40" s="882"/>
      <c r="D40" s="882"/>
      <c r="E40" s="882"/>
      <c r="F40" s="882"/>
      <c r="G40" s="882"/>
      <c r="H40" s="883"/>
      <c r="I40" s="881" t="s">
        <v>479</v>
      </c>
      <c r="J40" s="882"/>
      <c r="K40" s="882"/>
      <c r="L40" s="882"/>
      <c r="M40" s="882"/>
      <c r="N40" s="882"/>
      <c r="O40" s="882"/>
      <c r="P40" s="882"/>
      <c r="Q40" s="882"/>
      <c r="R40" s="882"/>
      <c r="S40" s="882"/>
      <c r="T40" s="882"/>
      <c r="U40" s="882"/>
      <c r="V40" s="882"/>
      <c r="W40" s="883"/>
      <c r="X40" s="426"/>
    </row>
    <row r="41" spans="1:24" ht="11.85" customHeight="1" x14ac:dyDescent="0.25">
      <c r="A41" s="822" t="s">
        <v>1264</v>
      </c>
      <c r="B41" s="881" t="s">
        <v>479</v>
      </c>
      <c r="C41" s="882"/>
      <c r="D41" s="882"/>
      <c r="E41" s="882"/>
      <c r="F41" s="882"/>
      <c r="G41" s="882"/>
      <c r="H41" s="883"/>
      <c r="I41" s="881" t="s">
        <v>479</v>
      </c>
      <c r="J41" s="882"/>
      <c r="K41" s="882"/>
      <c r="L41" s="882"/>
      <c r="M41" s="882"/>
      <c r="N41" s="882"/>
      <c r="O41" s="882"/>
      <c r="P41" s="882"/>
      <c r="Q41" s="882"/>
      <c r="R41" s="882"/>
      <c r="S41" s="882"/>
      <c r="T41" s="882"/>
      <c r="U41" s="882"/>
      <c r="V41" s="882"/>
      <c r="W41" s="883"/>
      <c r="X41" s="426"/>
    </row>
    <row r="42" spans="1:24" ht="11.85" customHeight="1" x14ac:dyDescent="0.25">
      <c r="A42" s="822" t="s">
        <v>1265</v>
      </c>
      <c r="B42" s="881" t="s">
        <v>479</v>
      </c>
      <c r="C42" s="882"/>
      <c r="D42" s="882"/>
      <c r="E42" s="882"/>
      <c r="F42" s="882"/>
      <c r="G42" s="882"/>
      <c r="H42" s="883"/>
      <c r="I42" s="881" t="s">
        <v>479</v>
      </c>
      <c r="J42" s="882"/>
      <c r="K42" s="882"/>
      <c r="L42" s="882"/>
      <c r="M42" s="882"/>
      <c r="N42" s="882"/>
      <c r="O42" s="882"/>
      <c r="P42" s="882"/>
      <c r="Q42" s="882"/>
      <c r="R42" s="882"/>
      <c r="S42" s="882"/>
      <c r="T42" s="882"/>
      <c r="U42" s="882"/>
      <c r="V42" s="882"/>
      <c r="W42" s="883"/>
      <c r="X42" s="426"/>
    </row>
    <row r="43" spans="1:24" ht="11.1" customHeight="1" x14ac:dyDescent="0.25">
      <c r="A43" s="822" t="s">
        <v>1266</v>
      </c>
      <c r="B43" s="881" t="s">
        <v>479</v>
      </c>
      <c r="C43" s="882"/>
      <c r="D43" s="882"/>
      <c r="E43" s="882"/>
      <c r="F43" s="882"/>
      <c r="G43" s="882"/>
      <c r="H43" s="883"/>
      <c r="I43" s="881" t="s">
        <v>479</v>
      </c>
      <c r="J43" s="882"/>
      <c r="K43" s="882"/>
      <c r="L43" s="882"/>
      <c r="M43" s="882"/>
      <c r="N43" s="882"/>
      <c r="O43" s="882"/>
      <c r="P43" s="882"/>
      <c r="Q43" s="882"/>
      <c r="R43" s="882"/>
      <c r="S43" s="882"/>
      <c r="T43" s="882"/>
      <c r="U43" s="882"/>
      <c r="V43" s="882"/>
      <c r="W43" s="883"/>
      <c r="X43" s="426"/>
    </row>
    <row r="44" spans="1:24" ht="8.85" customHeight="1" x14ac:dyDescent="0.25"/>
    <row r="45" spans="1:24" ht="11.85" customHeight="1" x14ac:dyDescent="0.25">
      <c r="A45" s="975" t="s">
        <v>2251</v>
      </c>
      <c r="B45" s="975"/>
      <c r="C45" s="975"/>
      <c r="D45" s="975"/>
      <c r="E45" s="975"/>
      <c r="F45" s="975"/>
      <c r="G45" s="975"/>
      <c r="H45" s="975"/>
      <c r="I45" s="975"/>
      <c r="J45" s="975"/>
      <c r="K45" s="975"/>
      <c r="L45" s="975"/>
      <c r="M45" s="975"/>
      <c r="N45" s="975"/>
      <c r="O45" s="975"/>
      <c r="P45" s="975"/>
      <c r="Q45" s="975"/>
      <c r="R45" s="975"/>
      <c r="S45" s="975"/>
      <c r="T45" s="975"/>
      <c r="U45" s="975"/>
      <c r="V45" s="975"/>
      <c r="W45" s="975"/>
    </row>
    <row r="46" spans="1:24" ht="11.85" customHeight="1" x14ac:dyDescent="0.25">
      <c r="A46" s="904" t="s">
        <v>539</v>
      </c>
      <c r="B46" s="904"/>
      <c r="C46" s="904"/>
      <c r="W46" s="805" t="s">
        <v>1267</v>
      </c>
    </row>
    <row r="47" spans="1:24" ht="11.1" customHeight="1" x14ac:dyDescent="0.25">
      <c r="A47" s="904" t="s">
        <v>707</v>
      </c>
      <c r="B47" s="904"/>
      <c r="C47" s="904"/>
    </row>
    <row r="48" spans="1:24" ht="11.85" customHeight="1" x14ac:dyDescent="0.25">
      <c r="A48" s="905" t="s">
        <v>1218</v>
      </c>
      <c r="B48" s="905"/>
      <c r="C48" s="905"/>
      <c r="D48" s="905"/>
      <c r="E48" s="905"/>
      <c r="F48" s="905"/>
      <c r="G48" s="905"/>
      <c r="H48" s="905"/>
      <c r="I48" s="905"/>
      <c r="J48" s="905"/>
      <c r="K48" s="905"/>
      <c r="L48" s="905"/>
      <c r="M48" s="905"/>
      <c r="N48" s="905"/>
      <c r="O48" s="905"/>
      <c r="P48" s="905"/>
    </row>
    <row r="49" spans="1:24" ht="11.85" customHeight="1" x14ac:dyDescent="0.25">
      <c r="A49" s="904" t="s">
        <v>922</v>
      </c>
      <c r="B49" s="904"/>
      <c r="C49" s="904"/>
    </row>
    <row r="50" spans="1:24" ht="11.85" customHeight="1" x14ac:dyDescent="0.25">
      <c r="A50" s="904" t="s">
        <v>1852</v>
      </c>
      <c r="B50" s="904"/>
      <c r="C50" s="904"/>
    </row>
    <row r="51" spans="1:24" ht="5.85" customHeight="1" x14ac:dyDescent="0.25"/>
    <row r="52" spans="1:24" ht="11.1" customHeight="1" x14ac:dyDescent="0.25">
      <c r="A52" s="906" t="s">
        <v>1219</v>
      </c>
      <c r="B52" s="906"/>
      <c r="C52" s="906"/>
      <c r="D52" s="425"/>
      <c r="E52" s="425"/>
      <c r="F52" s="425"/>
      <c r="G52" s="425"/>
      <c r="H52" s="425"/>
      <c r="I52" s="425"/>
      <c r="J52" s="425"/>
      <c r="K52" s="425"/>
      <c r="L52" s="425"/>
      <c r="M52" s="425"/>
      <c r="N52" s="425"/>
      <c r="O52" s="425"/>
      <c r="P52" s="981" t="s">
        <v>471</v>
      </c>
      <c r="Q52" s="981"/>
      <c r="R52" s="981"/>
      <c r="S52" s="981"/>
      <c r="T52" s="981"/>
      <c r="U52" s="981"/>
      <c r="V52" s="981"/>
      <c r="W52" s="981"/>
    </row>
    <row r="53" spans="1:24" ht="11.85" customHeight="1" x14ac:dyDescent="0.25">
      <c r="A53" s="1025" t="s">
        <v>132</v>
      </c>
      <c r="B53" s="1026"/>
      <c r="C53" s="1026"/>
      <c r="D53" s="1026"/>
      <c r="E53" s="1026"/>
      <c r="F53" s="1026"/>
      <c r="G53" s="1026"/>
      <c r="H53" s="1026"/>
      <c r="I53" s="1026"/>
      <c r="J53" s="1026"/>
      <c r="K53" s="1026"/>
      <c r="L53" s="1026"/>
      <c r="M53" s="1026"/>
      <c r="N53" s="1026"/>
      <c r="O53" s="1026"/>
      <c r="P53" s="1026"/>
      <c r="Q53" s="1026"/>
      <c r="R53" s="1026"/>
      <c r="S53" s="1026"/>
      <c r="T53" s="1026"/>
      <c r="U53" s="1026"/>
      <c r="V53" s="1026"/>
      <c r="W53" s="1027"/>
      <c r="X53" s="426"/>
    </row>
    <row r="54" spans="1:24" ht="28.9" customHeight="1" x14ac:dyDescent="0.25">
      <c r="A54" s="786" t="s">
        <v>1251</v>
      </c>
      <c r="B54" s="892" t="s">
        <v>927</v>
      </c>
      <c r="C54" s="902"/>
      <c r="D54" s="902"/>
      <c r="E54" s="902"/>
      <c r="F54" s="902"/>
      <c r="G54" s="902"/>
      <c r="H54" s="903"/>
      <c r="I54" s="892" t="s">
        <v>928</v>
      </c>
      <c r="J54" s="902"/>
      <c r="K54" s="902"/>
      <c r="L54" s="902"/>
      <c r="M54" s="902"/>
      <c r="N54" s="902"/>
      <c r="O54" s="902"/>
      <c r="P54" s="902"/>
      <c r="Q54" s="902"/>
      <c r="R54" s="902"/>
      <c r="S54" s="902"/>
      <c r="T54" s="902"/>
      <c r="U54" s="902"/>
      <c r="V54" s="902"/>
      <c r="W54" s="903"/>
      <c r="X54" s="426"/>
    </row>
    <row r="55" spans="1:24" ht="11.85" customHeight="1" x14ac:dyDescent="0.25">
      <c r="A55" s="824" t="s">
        <v>1268</v>
      </c>
      <c r="B55" s="886" t="s">
        <v>479</v>
      </c>
      <c r="C55" s="888"/>
      <c r="D55" s="888"/>
      <c r="E55" s="888"/>
      <c r="F55" s="888"/>
      <c r="G55" s="888"/>
      <c r="H55" s="887"/>
      <c r="I55" s="886" t="s">
        <v>479</v>
      </c>
      <c r="J55" s="888"/>
      <c r="K55" s="888"/>
      <c r="L55" s="888"/>
      <c r="M55" s="888"/>
      <c r="N55" s="888"/>
      <c r="O55" s="888"/>
      <c r="P55" s="888"/>
      <c r="Q55" s="888"/>
      <c r="R55" s="888"/>
      <c r="S55" s="888"/>
      <c r="T55" s="888"/>
      <c r="U55" s="888"/>
      <c r="V55" s="888"/>
      <c r="W55" s="887"/>
      <c r="X55" s="426"/>
    </row>
    <row r="56" spans="1:24" ht="11.85" customHeight="1" x14ac:dyDescent="0.25">
      <c r="A56" s="822" t="s">
        <v>1269</v>
      </c>
      <c r="B56" s="881" t="s">
        <v>479</v>
      </c>
      <c r="C56" s="882"/>
      <c r="D56" s="882"/>
      <c r="E56" s="882"/>
      <c r="F56" s="882"/>
      <c r="G56" s="882"/>
      <c r="H56" s="883"/>
      <c r="I56" s="881" t="s">
        <v>479</v>
      </c>
      <c r="J56" s="882"/>
      <c r="K56" s="882"/>
      <c r="L56" s="882"/>
      <c r="M56" s="882"/>
      <c r="N56" s="882"/>
      <c r="O56" s="882"/>
      <c r="P56" s="882"/>
      <c r="Q56" s="882"/>
      <c r="R56" s="882"/>
      <c r="S56" s="882"/>
      <c r="T56" s="882"/>
      <c r="U56" s="882"/>
      <c r="V56" s="882"/>
      <c r="W56" s="883"/>
      <c r="X56" s="426"/>
    </row>
    <row r="57" spans="1:24" ht="11.85" customHeight="1" x14ac:dyDescent="0.25">
      <c r="A57" s="822" t="s">
        <v>1270</v>
      </c>
      <c r="B57" s="881" t="s">
        <v>479</v>
      </c>
      <c r="C57" s="882"/>
      <c r="D57" s="882"/>
      <c r="E57" s="882"/>
      <c r="F57" s="882"/>
      <c r="G57" s="882"/>
      <c r="H57" s="883"/>
      <c r="I57" s="881" t="s">
        <v>479</v>
      </c>
      <c r="J57" s="882"/>
      <c r="K57" s="882"/>
      <c r="L57" s="882"/>
      <c r="M57" s="882"/>
      <c r="N57" s="882"/>
      <c r="O57" s="882"/>
      <c r="P57" s="882"/>
      <c r="Q57" s="882"/>
      <c r="R57" s="882"/>
      <c r="S57" s="882"/>
      <c r="T57" s="882"/>
      <c r="U57" s="882"/>
      <c r="V57" s="882"/>
      <c r="W57" s="883"/>
      <c r="X57" s="426"/>
    </row>
    <row r="58" spans="1:24" ht="11.1" customHeight="1" x14ac:dyDescent="0.25">
      <c r="A58" s="821" t="s">
        <v>1271</v>
      </c>
      <c r="B58" s="917" t="s">
        <v>479</v>
      </c>
      <c r="C58" s="919"/>
      <c r="D58" s="919"/>
      <c r="E58" s="919"/>
      <c r="F58" s="919"/>
      <c r="G58" s="919"/>
      <c r="H58" s="918"/>
      <c r="I58" s="917" t="s">
        <v>479</v>
      </c>
      <c r="J58" s="919"/>
      <c r="K58" s="919"/>
      <c r="L58" s="919"/>
      <c r="M58" s="919"/>
      <c r="N58" s="919"/>
      <c r="O58" s="919"/>
      <c r="P58" s="919"/>
      <c r="Q58" s="919"/>
      <c r="R58" s="919"/>
      <c r="S58" s="919"/>
      <c r="T58" s="919"/>
      <c r="U58" s="919"/>
      <c r="V58" s="919"/>
      <c r="W58" s="918"/>
      <c r="X58" s="426"/>
    </row>
    <row r="59" spans="1:24" ht="11.85" customHeight="1" x14ac:dyDescent="0.25">
      <c r="A59" s="699" t="s">
        <v>1272</v>
      </c>
      <c r="B59" s="1031" t="s">
        <v>1273</v>
      </c>
      <c r="C59" s="1032"/>
      <c r="D59" s="1032"/>
      <c r="E59" s="1032"/>
      <c r="F59" s="1032"/>
      <c r="G59" s="1032"/>
      <c r="H59" s="1033"/>
      <c r="I59" s="1031" t="s">
        <v>2252</v>
      </c>
      <c r="J59" s="1032"/>
      <c r="K59" s="1032"/>
      <c r="L59" s="1032"/>
      <c r="M59" s="1032"/>
      <c r="N59" s="1032"/>
      <c r="O59" s="1032"/>
      <c r="P59" s="1032"/>
      <c r="Q59" s="1032"/>
      <c r="R59" s="1032"/>
      <c r="S59" s="1032"/>
      <c r="T59" s="1032"/>
      <c r="U59" s="1032"/>
      <c r="V59" s="1032"/>
      <c r="W59" s="1033"/>
      <c r="X59" s="426"/>
    </row>
    <row r="60" spans="1:24" ht="11.85" customHeight="1" x14ac:dyDescent="0.25">
      <c r="A60" s="427"/>
      <c r="B60" s="427"/>
      <c r="C60" s="427"/>
      <c r="D60" s="427"/>
      <c r="E60" s="427"/>
      <c r="F60" s="427"/>
      <c r="G60" s="427"/>
      <c r="H60" s="427"/>
      <c r="I60" s="427"/>
      <c r="J60" s="427"/>
      <c r="K60" s="427"/>
      <c r="L60" s="427"/>
      <c r="M60" s="427"/>
      <c r="N60" s="427"/>
      <c r="O60" s="427"/>
      <c r="P60" s="427"/>
      <c r="Q60" s="427"/>
      <c r="R60" s="427"/>
      <c r="S60" s="427"/>
      <c r="T60" s="427"/>
      <c r="U60" s="427"/>
      <c r="V60" s="427"/>
      <c r="W60" s="427"/>
    </row>
    <row r="61" spans="1:24" ht="17.850000000000001" customHeight="1" x14ac:dyDescent="0.25">
      <c r="A61" s="786" t="s">
        <v>1274</v>
      </c>
      <c r="B61" s="892" t="s">
        <v>779</v>
      </c>
      <c r="C61" s="902"/>
      <c r="D61" s="902"/>
      <c r="E61" s="902"/>
      <c r="F61" s="902"/>
      <c r="G61" s="902"/>
      <c r="H61" s="902"/>
      <c r="I61" s="902"/>
      <c r="J61" s="902"/>
      <c r="K61" s="902"/>
      <c r="L61" s="902"/>
      <c r="M61" s="902"/>
      <c r="N61" s="902"/>
      <c r="O61" s="902"/>
      <c r="P61" s="902"/>
      <c r="Q61" s="902"/>
      <c r="R61" s="902"/>
      <c r="S61" s="902"/>
      <c r="T61" s="902"/>
      <c r="U61" s="902"/>
      <c r="V61" s="902"/>
      <c r="W61" s="903"/>
      <c r="X61" s="426"/>
    </row>
    <row r="62" spans="1:24" ht="11.1" customHeight="1" x14ac:dyDescent="0.25">
      <c r="A62" s="824" t="s">
        <v>1275</v>
      </c>
      <c r="B62" s="886" t="s">
        <v>479</v>
      </c>
      <c r="C62" s="888"/>
      <c r="D62" s="888"/>
      <c r="E62" s="888"/>
      <c r="F62" s="888"/>
      <c r="G62" s="888"/>
      <c r="H62" s="888"/>
      <c r="I62" s="888"/>
      <c r="J62" s="888"/>
      <c r="K62" s="888"/>
      <c r="L62" s="888"/>
      <c r="M62" s="888"/>
      <c r="N62" s="888"/>
      <c r="O62" s="888"/>
      <c r="P62" s="888"/>
      <c r="Q62" s="888"/>
      <c r="R62" s="888"/>
      <c r="S62" s="888"/>
      <c r="T62" s="888"/>
      <c r="U62" s="888"/>
      <c r="V62" s="888"/>
      <c r="W62" s="887"/>
      <c r="X62" s="426"/>
    </row>
    <row r="63" spans="1:24" ht="11.85" customHeight="1" x14ac:dyDescent="0.25">
      <c r="A63" s="822" t="s">
        <v>1276</v>
      </c>
      <c r="B63" s="881" t="s">
        <v>479</v>
      </c>
      <c r="C63" s="882"/>
      <c r="D63" s="882"/>
      <c r="E63" s="882"/>
      <c r="F63" s="882"/>
      <c r="G63" s="882"/>
      <c r="H63" s="882"/>
      <c r="I63" s="882"/>
      <c r="J63" s="882"/>
      <c r="K63" s="882"/>
      <c r="L63" s="882"/>
      <c r="M63" s="882"/>
      <c r="N63" s="882"/>
      <c r="O63" s="882"/>
      <c r="P63" s="882"/>
      <c r="Q63" s="882"/>
      <c r="R63" s="882"/>
      <c r="S63" s="882"/>
      <c r="T63" s="882"/>
      <c r="U63" s="882"/>
      <c r="V63" s="882"/>
      <c r="W63" s="883"/>
      <c r="X63" s="426"/>
    </row>
    <row r="64" spans="1:24" ht="11.85" customHeight="1" x14ac:dyDescent="0.25">
      <c r="A64" s="821" t="s">
        <v>1277</v>
      </c>
      <c r="B64" s="917" t="s">
        <v>479</v>
      </c>
      <c r="C64" s="919"/>
      <c r="D64" s="919"/>
      <c r="E64" s="919"/>
      <c r="F64" s="919"/>
      <c r="G64" s="919"/>
      <c r="H64" s="919"/>
      <c r="I64" s="919"/>
      <c r="J64" s="919"/>
      <c r="K64" s="919"/>
      <c r="L64" s="919"/>
      <c r="M64" s="919"/>
      <c r="N64" s="919"/>
      <c r="O64" s="919"/>
      <c r="P64" s="919"/>
      <c r="Q64" s="919"/>
      <c r="R64" s="919"/>
      <c r="S64" s="919"/>
      <c r="T64" s="919"/>
      <c r="U64" s="919"/>
      <c r="V64" s="919"/>
      <c r="W64" s="918"/>
      <c r="X64" s="426"/>
    </row>
    <row r="65" spans="1:24" ht="11.85" customHeight="1" x14ac:dyDescent="0.25">
      <c r="A65" s="699" t="s">
        <v>1278</v>
      </c>
      <c r="B65" s="1031" t="s">
        <v>2249</v>
      </c>
      <c r="C65" s="1032"/>
      <c r="D65" s="1032"/>
      <c r="E65" s="1032"/>
      <c r="F65" s="1032"/>
      <c r="G65" s="1032"/>
      <c r="H65" s="1032"/>
      <c r="I65" s="1032"/>
      <c r="J65" s="1032"/>
      <c r="K65" s="1032"/>
      <c r="L65" s="1032"/>
      <c r="M65" s="1032"/>
      <c r="N65" s="1032"/>
      <c r="O65" s="1032"/>
      <c r="P65" s="1032"/>
      <c r="Q65" s="1032"/>
      <c r="R65" s="1032"/>
      <c r="S65" s="1032"/>
      <c r="T65" s="1032"/>
      <c r="U65" s="1032"/>
      <c r="V65" s="1032"/>
      <c r="W65" s="1033"/>
      <c r="X65" s="426"/>
    </row>
    <row r="66" spans="1:24" ht="11.1" customHeight="1" x14ac:dyDescent="0.25">
      <c r="A66" s="427"/>
      <c r="B66" s="427"/>
      <c r="C66" s="427"/>
      <c r="D66" s="427"/>
      <c r="E66" s="427"/>
      <c r="F66" s="427"/>
      <c r="G66" s="427"/>
      <c r="H66" s="427"/>
      <c r="I66" s="427"/>
      <c r="J66" s="427"/>
      <c r="K66" s="427"/>
      <c r="L66" s="427"/>
      <c r="M66" s="427"/>
      <c r="N66" s="427"/>
      <c r="O66" s="427"/>
      <c r="P66" s="427"/>
      <c r="Q66" s="427"/>
      <c r="R66" s="427"/>
      <c r="S66" s="427"/>
      <c r="T66" s="427"/>
      <c r="U66" s="427"/>
      <c r="V66" s="427"/>
      <c r="W66" s="427"/>
    </row>
    <row r="67" spans="1:24" ht="35.450000000000003" customHeight="1" x14ac:dyDescent="0.25">
      <c r="A67" s="787" t="s">
        <v>1279</v>
      </c>
      <c r="B67" s="892" t="s">
        <v>962</v>
      </c>
      <c r="C67" s="902"/>
      <c r="D67" s="902"/>
      <c r="E67" s="903"/>
      <c r="F67" s="892" t="s">
        <v>963</v>
      </c>
      <c r="G67" s="902"/>
      <c r="H67" s="903"/>
      <c r="I67" s="892" t="s">
        <v>964</v>
      </c>
      <c r="J67" s="902"/>
      <c r="K67" s="903"/>
      <c r="L67" s="892" t="s">
        <v>965</v>
      </c>
      <c r="M67" s="902"/>
      <c r="N67" s="902"/>
      <c r="O67" s="902"/>
      <c r="P67" s="902"/>
      <c r="Q67" s="903"/>
      <c r="R67" s="892" t="s">
        <v>1280</v>
      </c>
      <c r="S67" s="902"/>
      <c r="T67" s="902"/>
      <c r="U67" s="902"/>
      <c r="V67" s="902"/>
      <c r="W67" s="903"/>
      <c r="X67" s="426"/>
    </row>
    <row r="68" spans="1:24" ht="11.1" customHeight="1" x14ac:dyDescent="0.25">
      <c r="A68" s="807" t="s">
        <v>1281</v>
      </c>
      <c r="B68" s="914" t="s">
        <v>2253</v>
      </c>
      <c r="C68" s="916"/>
      <c r="D68" s="916"/>
      <c r="E68" s="915"/>
      <c r="F68" s="914" t="s">
        <v>2254</v>
      </c>
      <c r="G68" s="916"/>
      <c r="H68" s="915"/>
      <c r="I68" s="914" t="s">
        <v>2255</v>
      </c>
      <c r="J68" s="916"/>
      <c r="K68" s="915"/>
      <c r="L68" s="914" t="s">
        <v>2256</v>
      </c>
      <c r="M68" s="916"/>
      <c r="N68" s="916"/>
      <c r="O68" s="916"/>
      <c r="P68" s="916"/>
      <c r="Q68" s="915"/>
      <c r="R68" s="914" t="s">
        <v>479</v>
      </c>
      <c r="S68" s="916"/>
      <c r="T68" s="916"/>
      <c r="U68" s="916"/>
      <c r="V68" s="916"/>
      <c r="W68" s="915"/>
      <c r="X68" s="796"/>
    </row>
    <row r="69" spans="1:24" ht="11.85" customHeight="1" x14ac:dyDescent="0.25">
      <c r="A69" s="808" t="s">
        <v>1282</v>
      </c>
      <c r="B69" s="884" t="s">
        <v>2257</v>
      </c>
      <c r="C69" s="913"/>
      <c r="D69" s="913"/>
      <c r="E69" s="885"/>
      <c r="F69" s="884" t="s">
        <v>2258</v>
      </c>
      <c r="G69" s="913"/>
      <c r="H69" s="885"/>
      <c r="I69" s="884" t="s">
        <v>2259</v>
      </c>
      <c r="J69" s="913"/>
      <c r="K69" s="885"/>
      <c r="L69" s="884" t="s">
        <v>2260</v>
      </c>
      <c r="M69" s="913"/>
      <c r="N69" s="913"/>
      <c r="O69" s="913"/>
      <c r="P69" s="913"/>
      <c r="Q69" s="885"/>
      <c r="R69" s="884" t="s">
        <v>479</v>
      </c>
      <c r="S69" s="913"/>
      <c r="T69" s="913"/>
      <c r="U69" s="913"/>
      <c r="V69" s="913"/>
      <c r="W69" s="885"/>
      <c r="X69" s="796"/>
    </row>
    <row r="70" spans="1:24" ht="11.85" customHeight="1" x14ac:dyDescent="0.25">
      <c r="A70" s="808" t="s">
        <v>1283</v>
      </c>
      <c r="B70" s="884" t="s">
        <v>2261</v>
      </c>
      <c r="C70" s="913"/>
      <c r="D70" s="913"/>
      <c r="E70" s="885"/>
      <c r="F70" s="884" t="s">
        <v>2262</v>
      </c>
      <c r="G70" s="913"/>
      <c r="H70" s="885"/>
      <c r="I70" s="884" t="s">
        <v>2262</v>
      </c>
      <c r="J70" s="913"/>
      <c r="K70" s="885"/>
      <c r="L70" s="884" t="s">
        <v>2263</v>
      </c>
      <c r="M70" s="913"/>
      <c r="N70" s="913"/>
      <c r="O70" s="913"/>
      <c r="P70" s="913"/>
      <c r="Q70" s="885"/>
      <c r="R70" s="884" t="s">
        <v>479</v>
      </c>
      <c r="S70" s="913"/>
      <c r="T70" s="913"/>
      <c r="U70" s="913"/>
      <c r="V70" s="913"/>
      <c r="W70" s="885"/>
      <c r="X70" s="796"/>
    </row>
    <row r="71" spans="1:24" ht="11.85" customHeight="1" x14ac:dyDescent="0.25">
      <c r="A71" s="808" t="s">
        <v>1284</v>
      </c>
      <c r="B71" s="884" t="s">
        <v>2264</v>
      </c>
      <c r="C71" s="913"/>
      <c r="D71" s="913"/>
      <c r="E71" s="885"/>
      <c r="F71" s="884" t="s">
        <v>2265</v>
      </c>
      <c r="G71" s="913"/>
      <c r="H71" s="885"/>
      <c r="I71" s="884" t="s">
        <v>2266</v>
      </c>
      <c r="J71" s="913"/>
      <c r="K71" s="885"/>
      <c r="L71" s="884" t="s">
        <v>2267</v>
      </c>
      <c r="M71" s="913"/>
      <c r="N71" s="913"/>
      <c r="O71" s="913"/>
      <c r="P71" s="913"/>
      <c r="Q71" s="885"/>
      <c r="R71" s="884" t="s">
        <v>479</v>
      </c>
      <c r="S71" s="913"/>
      <c r="T71" s="913"/>
      <c r="U71" s="913"/>
      <c r="V71" s="913"/>
      <c r="W71" s="885"/>
      <c r="X71" s="796"/>
    </row>
    <row r="72" spans="1:24" ht="11.1" customHeight="1" x14ac:dyDescent="0.25">
      <c r="A72" s="808" t="s">
        <v>1285</v>
      </c>
      <c r="B72" s="884" t="s">
        <v>1286</v>
      </c>
      <c r="C72" s="913"/>
      <c r="D72" s="913"/>
      <c r="E72" s="885"/>
      <c r="F72" s="884" t="s">
        <v>2268</v>
      </c>
      <c r="G72" s="913"/>
      <c r="H72" s="885"/>
      <c r="I72" s="884" t="s">
        <v>2268</v>
      </c>
      <c r="J72" s="913"/>
      <c r="K72" s="885"/>
      <c r="L72" s="884" t="s">
        <v>2268</v>
      </c>
      <c r="M72" s="913"/>
      <c r="N72" s="913"/>
      <c r="O72" s="913"/>
      <c r="P72" s="913"/>
      <c r="Q72" s="885"/>
      <c r="R72" s="884" t="s">
        <v>479</v>
      </c>
      <c r="S72" s="913"/>
      <c r="T72" s="913"/>
      <c r="U72" s="913"/>
      <c r="V72" s="913"/>
      <c r="W72" s="885"/>
      <c r="X72" s="796"/>
    </row>
    <row r="73" spans="1:24" ht="11.85" customHeight="1" x14ac:dyDescent="0.25">
      <c r="A73" s="808" t="s">
        <v>1287</v>
      </c>
      <c r="B73" s="884" t="s">
        <v>1288</v>
      </c>
      <c r="C73" s="913"/>
      <c r="D73" s="913"/>
      <c r="E73" s="885"/>
      <c r="F73" s="884" t="s">
        <v>2269</v>
      </c>
      <c r="G73" s="913"/>
      <c r="H73" s="885"/>
      <c r="I73" s="884" t="s">
        <v>2269</v>
      </c>
      <c r="J73" s="913"/>
      <c r="K73" s="885"/>
      <c r="L73" s="884" t="s">
        <v>2269</v>
      </c>
      <c r="M73" s="913"/>
      <c r="N73" s="913"/>
      <c r="O73" s="913"/>
      <c r="P73" s="913"/>
      <c r="Q73" s="885"/>
      <c r="R73" s="884" t="s">
        <v>479</v>
      </c>
      <c r="S73" s="913"/>
      <c r="T73" s="913"/>
      <c r="U73" s="913"/>
      <c r="V73" s="913"/>
      <c r="W73" s="885"/>
      <c r="X73" s="796"/>
    </row>
    <row r="74" spans="1:24" ht="11.85" customHeight="1" x14ac:dyDescent="0.25">
      <c r="A74" s="808" t="s">
        <v>1289</v>
      </c>
      <c r="B74" s="884" t="s">
        <v>479</v>
      </c>
      <c r="C74" s="913"/>
      <c r="D74" s="913"/>
      <c r="E74" s="885"/>
      <c r="F74" s="884" t="s">
        <v>479</v>
      </c>
      <c r="G74" s="913"/>
      <c r="H74" s="885"/>
      <c r="I74" s="884" t="s">
        <v>479</v>
      </c>
      <c r="J74" s="913"/>
      <c r="K74" s="885"/>
      <c r="L74" s="884" t="s">
        <v>479</v>
      </c>
      <c r="M74" s="913"/>
      <c r="N74" s="913"/>
      <c r="O74" s="913"/>
      <c r="P74" s="913"/>
      <c r="Q74" s="885"/>
      <c r="R74" s="884" t="s">
        <v>479</v>
      </c>
      <c r="S74" s="913"/>
      <c r="T74" s="913"/>
      <c r="U74" s="913"/>
      <c r="V74" s="913"/>
      <c r="W74" s="885"/>
      <c r="X74" s="796"/>
    </row>
    <row r="75" spans="1:24" ht="11.85" customHeight="1" x14ac:dyDescent="0.25">
      <c r="A75" s="808" t="s">
        <v>1290</v>
      </c>
      <c r="B75" s="884" t="s">
        <v>2270</v>
      </c>
      <c r="C75" s="913"/>
      <c r="D75" s="913"/>
      <c r="E75" s="885"/>
      <c r="F75" s="884" t="s">
        <v>2271</v>
      </c>
      <c r="G75" s="913"/>
      <c r="H75" s="885"/>
      <c r="I75" s="884" t="s">
        <v>2271</v>
      </c>
      <c r="J75" s="913"/>
      <c r="K75" s="885"/>
      <c r="L75" s="884" t="s">
        <v>2272</v>
      </c>
      <c r="M75" s="913"/>
      <c r="N75" s="913"/>
      <c r="O75" s="913"/>
      <c r="P75" s="913"/>
      <c r="Q75" s="885"/>
      <c r="R75" s="884" t="s">
        <v>479</v>
      </c>
      <c r="S75" s="913"/>
      <c r="T75" s="913"/>
      <c r="U75" s="913"/>
      <c r="V75" s="913"/>
      <c r="W75" s="885"/>
      <c r="X75" s="796"/>
    </row>
    <row r="76" spans="1:24" ht="11.1" customHeight="1" x14ac:dyDescent="0.25">
      <c r="A76" s="808" t="s">
        <v>1291</v>
      </c>
      <c r="B76" s="884" t="s">
        <v>1292</v>
      </c>
      <c r="C76" s="913"/>
      <c r="D76" s="913"/>
      <c r="E76" s="885"/>
      <c r="F76" s="884" t="s">
        <v>479</v>
      </c>
      <c r="G76" s="913"/>
      <c r="H76" s="885"/>
      <c r="I76" s="884" t="s">
        <v>479</v>
      </c>
      <c r="J76" s="913"/>
      <c r="K76" s="885"/>
      <c r="L76" s="884" t="s">
        <v>479</v>
      </c>
      <c r="M76" s="913"/>
      <c r="N76" s="913"/>
      <c r="O76" s="913"/>
      <c r="P76" s="913"/>
      <c r="Q76" s="885"/>
      <c r="R76" s="884" t="s">
        <v>479</v>
      </c>
      <c r="S76" s="913"/>
      <c r="T76" s="913"/>
      <c r="U76" s="913"/>
      <c r="V76" s="913"/>
      <c r="W76" s="885"/>
      <c r="X76" s="796"/>
    </row>
    <row r="77" spans="1:24" ht="11.85" customHeight="1" x14ac:dyDescent="0.25">
      <c r="A77" s="808" t="s">
        <v>1293</v>
      </c>
      <c r="B77" s="884" t="s">
        <v>2273</v>
      </c>
      <c r="C77" s="913"/>
      <c r="D77" s="913"/>
      <c r="E77" s="885"/>
      <c r="F77" s="884" t="s">
        <v>2274</v>
      </c>
      <c r="G77" s="913"/>
      <c r="H77" s="885"/>
      <c r="I77" s="884" t="s">
        <v>2274</v>
      </c>
      <c r="J77" s="913"/>
      <c r="K77" s="885"/>
      <c r="L77" s="884" t="s">
        <v>2272</v>
      </c>
      <c r="M77" s="913"/>
      <c r="N77" s="913"/>
      <c r="O77" s="913"/>
      <c r="P77" s="913"/>
      <c r="Q77" s="885"/>
      <c r="R77" s="884" t="s">
        <v>479</v>
      </c>
      <c r="S77" s="913"/>
      <c r="T77" s="913"/>
      <c r="U77" s="913"/>
      <c r="V77" s="913"/>
      <c r="W77" s="885"/>
      <c r="X77" s="796"/>
    </row>
    <row r="78" spans="1:24" ht="11.85" customHeight="1" x14ac:dyDescent="0.25">
      <c r="A78" s="808" t="s">
        <v>1294</v>
      </c>
      <c r="B78" s="884" t="s">
        <v>1295</v>
      </c>
      <c r="C78" s="913"/>
      <c r="D78" s="913"/>
      <c r="E78" s="885"/>
      <c r="F78" s="884" t="s">
        <v>479</v>
      </c>
      <c r="G78" s="913"/>
      <c r="H78" s="885"/>
      <c r="I78" s="884" t="s">
        <v>479</v>
      </c>
      <c r="J78" s="913"/>
      <c r="K78" s="885"/>
      <c r="L78" s="884" t="s">
        <v>479</v>
      </c>
      <c r="M78" s="913"/>
      <c r="N78" s="913"/>
      <c r="O78" s="913"/>
      <c r="P78" s="913"/>
      <c r="Q78" s="885"/>
      <c r="R78" s="884" t="s">
        <v>479</v>
      </c>
      <c r="S78" s="913"/>
      <c r="T78" s="913"/>
      <c r="U78" s="913"/>
      <c r="V78" s="913"/>
      <c r="W78" s="885"/>
      <c r="X78" s="796"/>
    </row>
    <row r="79" spans="1:24" ht="11.85" customHeight="1" x14ac:dyDescent="0.25">
      <c r="A79" s="808" t="s">
        <v>1296</v>
      </c>
      <c r="B79" s="884" t="s">
        <v>1297</v>
      </c>
      <c r="C79" s="913"/>
      <c r="D79" s="913"/>
      <c r="E79" s="885"/>
      <c r="F79" s="884" t="s">
        <v>479</v>
      </c>
      <c r="G79" s="913"/>
      <c r="H79" s="885"/>
      <c r="I79" s="884" t="s">
        <v>479</v>
      </c>
      <c r="J79" s="913"/>
      <c r="K79" s="885"/>
      <c r="L79" s="884" t="s">
        <v>479</v>
      </c>
      <c r="M79" s="913"/>
      <c r="N79" s="913"/>
      <c r="O79" s="913"/>
      <c r="P79" s="913"/>
      <c r="Q79" s="885"/>
      <c r="R79" s="884" t="s">
        <v>479</v>
      </c>
      <c r="S79" s="913"/>
      <c r="T79" s="913"/>
      <c r="U79" s="913"/>
      <c r="V79" s="913"/>
      <c r="W79" s="885"/>
      <c r="X79" s="796"/>
    </row>
    <row r="80" spans="1:24" ht="11.1" customHeight="1" x14ac:dyDescent="0.25">
      <c r="A80" s="808" t="s">
        <v>1298</v>
      </c>
      <c r="B80" s="884">
        <v>60</v>
      </c>
      <c r="C80" s="913"/>
      <c r="D80" s="913"/>
      <c r="E80" s="885"/>
      <c r="F80" s="884" t="s">
        <v>479</v>
      </c>
      <c r="G80" s="913"/>
      <c r="H80" s="885"/>
      <c r="I80" s="884" t="s">
        <v>479</v>
      </c>
      <c r="J80" s="913"/>
      <c r="K80" s="885"/>
      <c r="L80" s="884" t="s">
        <v>479</v>
      </c>
      <c r="M80" s="913"/>
      <c r="N80" s="913"/>
      <c r="O80" s="913"/>
      <c r="P80" s="913"/>
      <c r="Q80" s="885"/>
      <c r="R80" s="884" t="s">
        <v>479</v>
      </c>
      <c r="S80" s="913"/>
      <c r="T80" s="913"/>
      <c r="U80" s="913"/>
      <c r="V80" s="913"/>
      <c r="W80" s="885"/>
      <c r="X80" s="796"/>
    </row>
    <row r="81" spans="1:24" ht="11.85" customHeight="1" x14ac:dyDescent="0.25">
      <c r="A81" s="808" t="s">
        <v>1299</v>
      </c>
      <c r="B81" s="884" t="s">
        <v>479</v>
      </c>
      <c r="C81" s="913"/>
      <c r="D81" s="913"/>
      <c r="E81" s="885"/>
      <c r="F81" s="884" t="s">
        <v>479</v>
      </c>
      <c r="G81" s="913"/>
      <c r="H81" s="885"/>
      <c r="I81" s="884" t="s">
        <v>479</v>
      </c>
      <c r="J81" s="913"/>
      <c r="K81" s="885"/>
      <c r="L81" s="884" t="s">
        <v>479</v>
      </c>
      <c r="M81" s="913"/>
      <c r="N81" s="913"/>
      <c r="O81" s="913"/>
      <c r="P81" s="913"/>
      <c r="Q81" s="885"/>
      <c r="R81" s="884" t="s">
        <v>479</v>
      </c>
      <c r="S81" s="913"/>
      <c r="T81" s="913"/>
      <c r="U81" s="913"/>
      <c r="V81" s="913"/>
      <c r="W81" s="885"/>
      <c r="X81" s="796"/>
    </row>
    <row r="82" spans="1:24" ht="11.85" customHeight="1" x14ac:dyDescent="0.25">
      <c r="A82" s="810" t="s">
        <v>1300</v>
      </c>
      <c r="B82" s="910" t="s">
        <v>2275</v>
      </c>
      <c r="C82" s="912"/>
      <c r="D82" s="912"/>
      <c r="E82" s="911"/>
      <c r="F82" s="910" t="s">
        <v>2276</v>
      </c>
      <c r="G82" s="912"/>
      <c r="H82" s="911"/>
      <c r="I82" s="910" t="s">
        <v>2276</v>
      </c>
      <c r="J82" s="912"/>
      <c r="K82" s="911"/>
      <c r="L82" s="910" t="s">
        <v>479</v>
      </c>
      <c r="M82" s="912"/>
      <c r="N82" s="912"/>
      <c r="O82" s="912"/>
      <c r="P82" s="912"/>
      <c r="Q82" s="911"/>
      <c r="R82" s="910" t="s">
        <v>479</v>
      </c>
      <c r="S82" s="912"/>
      <c r="T82" s="912"/>
      <c r="U82" s="912"/>
      <c r="V82" s="912"/>
      <c r="W82" s="911"/>
      <c r="X82" s="796"/>
    </row>
    <row r="83" spans="1:24" ht="11.85" customHeight="1" x14ac:dyDescent="0.25">
      <c r="A83" s="1023"/>
      <c r="B83" s="941"/>
      <c r="C83" s="941"/>
      <c r="D83" s="941"/>
      <c r="E83" s="941"/>
      <c r="F83" s="941"/>
      <c r="G83" s="941"/>
      <c r="H83" s="941"/>
      <c r="I83" s="941"/>
      <c r="J83" s="941"/>
      <c r="K83" s="941"/>
      <c r="L83" s="941"/>
      <c r="M83" s="941"/>
      <c r="N83" s="941"/>
      <c r="O83" s="941"/>
      <c r="P83" s="941"/>
      <c r="Q83" s="941"/>
      <c r="R83" s="941"/>
      <c r="S83" s="941"/>
      <c r="T83" s="941"/>
      <c r="U83" s="941"/>
      <c r="V83" s="941"/>
      <c r="W83" s="941"/>
      <c r="X83" s="1023"/>
    </row>
    <row r="84" spans="1:24" ht="11.1" customHeight="1" x14ac:dyDescent="0.25">
      <c r="A84" s="1025" t="s">
        <v>1301</v>
      </c>
      <c r="B84" s="1026"/>
      <c r="C84" s="1026"/>
      <c r="D84" s="1026"/>
      <c r="E84" s="1026"/>
      <c r="F84" s="1026"/>
      <c r="G84" s="1026"/>
      <c r="H84" s="1026"/>
      <c r="I84" s="1026"/>
      <c r="J84" s="1026"/>
      <c r="K84" s="1026"/>
      <c r="L84" s="1026"/>
      <c r="M84" s="1026"/>
      <c r="N84" s="1026"/>
      <c r="O84" s="1026"/>
      <c r="P84" s="1026"/>
      <c r="Q84" s="1026"/>
      <c r="R84" s="1026"/>
      <c r="S84" s="1026"/>
      <c r="T84" s="1026"/>
      <c r="U84" s="1026"/>
      <c r="V84" s="1026"/>
      <c r="W84" s="1027"/>
      <c r="X84" s="426"/>
    </row>
    <row r="85" spans="1:24" ht="46.7" customHeight="1" x14ac:dyDescent="0.25">
      <c r="A85" s="786" t="s">
        <v>1302</v>
      </c>
      <c r="B85" s="892" t="s">
        <v>963</v>
      </c>
      <c r="C85" s="903"/>
      <c r="D85" s="892" t="s">
        <v>964</v>
      </c>
      <c r="E85" s="902"/>
      <c r="F85" s="902"/>
      <c r="G85" s="903"/>
      <c r="H85" s="892" t="s">
        <v>965</v>
      </c>
      <c r="I85" s="903"/>
      <c r="J85" s="892" t="s">
        <v>1303</v>
      </c>
      <c r="K85" s="902"/>
      <c r="L85" s="902"/>
      <c r="M85" s="903"/>
      <c r="N85" s="892" t="s">
        <v>1304</v>
      </c>
      <c r="O85" s="902"/>
      <c r="P85" s="902"/>
      <c r="Q85" s="902"/>
      <c r="R85" s="902"/>
      <c r="S85" s="902"/>
      <c r="T85" s="903"/>
      <c r="U85" s="1053" t="s">
        <v>2277</v>
      </c>
      <c r="V85" s="1054"/>
      <c r="W85" s="1055"/>
      <c r="X85" s="426"/>
    </row>
    <row r="86" spans="1:24" ht="11.85" customHeight="1" x14ac:dyDescent="0.25">
      <c r="A86" s="807" t="s">
        <v>1305</v>
      </c>
      <c r="B86" s="914" t="s">
        <v>2278</v>
      </c>
      <c r="C86" s="915"/>
      <c r="D86" s="914" t="s">
        <v>2279</v>
      </c>
      <c r="E86" s="916"/>
      <c r="F86" s="916"/>
      <c r="G86" s="915"/>
      <c r="H86" s="914" t="s">
        <v>2280</v>
      </c>
      <c r="I86" s="915"/>
      <c r="J86" s="914" t="s">
        <v>479</v>
      </c>
      <c r="K86" s="916"/>
      <c r="L86" s="916"/>
      <c r="M86" s="915"/>
      <c r="N86" s="914" t="s">
        <v>479</v>
      </c>
      <c r="O86" s="916"/>
      <c r="P86" s="916"/>
      <c r="Q86" s="916"/>
      <c r="R86" s="916"/>
      <c r="S86" s="916"/>
      <c r="T86" s="915"/>
      <c r="U86" s="914" t="s">
        <v>2281</v>
      </c>
      <c r="V86" s="916"/>
      <c r="W86" s="915"/>
      <c r="X86" s="796"/>
    </row>
    <row r="87" spans="1:24" ht="11.85" customHeight="1" x14ac:dyDescent="0.25">
      <c r="A87" s="808" t="s">
        <v>1306</v>
      </c>
      <c r="B87" s="884" t="s">
        <v>2278</v>
      </c>
      <c r="C87" s="885"/>
      <c r="D87" s="884" t="s">
        <v>2279</v>
      </c>
      <c r="E87" s="913"/>
      <c r="F87" s="913"/>
      <c r="G87" s="885"/>
      <c r="H87" s="884" t="s">
        <v>2280</v>
      </c>
      <c r="I87" s="885"/>
      <c r="J87" s="884" t="s">
        <v>479</v>
      </c>
      <c r="K87" s="913"/>
      <c r="L87" s="913"/>
      <c r="M87" s="885"/>
      <c r="N87" s="884" t="s">
        <v>479</v>
      </c>
      <c r="O87" s="913"/>
      <c r="P87" s="913"/>
      <c r="Q87" s="913"/>
      <c r="R87" s="913"/>
      <c r="S87" s="913"/>
      <c r="T87" s="885"/>
      <c r="U87" s="884" t="s">
        <v>2281</v>
      </c>
      <c r="V87" s="913"/>
      <c r="W87" s="885"/>
      <c r="X87" s="796"/>
    </row>
    <row r="88" spans="1:24" ht="11.85" customHeight="1" x14ac:dyDescent="0.25">
      <c r="A88" s="808" t="s">
        <v>1307</v>
      </c>
      <c r="B88" s="884" t="s">
        <v>479</v>
      </c>
      <c r="C88" s="885"/>
      <c r="D88" s="884" t="s">
        <v>479</v>
      </c>
      <c r="E88" s="913"/>
      <c r="F88" s="913"/>
      <c r="G88" s="885"/>
      <c r="H88" s="884" t="s">
        <v>479</v>
      </c>
      <c r="I88" s="885"/>
      <c r="J88" s="884" t="s">
        <v>479</v>
      </c>
      <c r="K88" s="913"/>
      <c r="L88" s="913"/>
      <c r="M88" s="885"/>
      <c r="N88" s="884" t="s">
        <v>479</v>
      </c>
      <c r="O88" s="913"/>
      <c r="P88" s="913"/>
      <c r="Q88" s="913"/>
      <c r="R88" s="913"/>
      <c r="S88" s="913"/>
      <c r="T88" s="885"/>
      <c r="U88" s="884" t="s">
        <v>479</v>
      </c>
      <c r="V88" s="913"/>
      <c r="W88" s="885"/>
      <c r="X88" s="796"/>
    </row>
    <row r="89" spans="1:24" ht="11.1" customHeight="1" x14ac:dyDescent="0.25">
      <c r="A89" s="808" t="s">
        <v>1308</v>
      </c>
      <c r="B89" s="884" t="s">
        <v>479</v>
      </c>
      <c r="C89" s="885"/>
      <c r="D89" s="884" t="s">
        <v>479</v>
      </c>
      <c r="E89" s="913"/>
      <c r="F89" s="913"/>
      <c r="G89" s="885"/>
      <c r="H89" s="884" t="s">
        <v>479</v>
      </c>
      <c r="I89" s="885"/>
      <c r="J89" s="884" t="s">
        <v>479</v>
      </c>
      <c r="K89" s="913"/>
      <c r="L89" s="913"/>
      <c r="M89" s="885"/>
      <c r="N89" s="884" t="s">
        <v>479</v>
      </c>
      <c r="O89" s="913"/>
      <c r="P89" s="913"/>
      <c r="Q89" s="913"/>
      <c r="R89" s="913"/>
      <c r="S89" s="913"/>
      <c r="T89" s="885"/>
      <c r="U89" s="884" t="s">
        <v>479</v>
      </c>
      <c r="V89" s="913"/>
      <c r="W89" s="885"/>
      <c r="X89" s="796"/>
    </row>
    <row r="90" spans="1:24" ht="3" customHeight="1" x14ac:dyDescent="0.25"/>
    <row r="91" spans="1:24" ht="11.85" customHeight="1" x14ac:dyDescent="0.25">
      <c r="A91" s="975" t="s">
        <v>2251</v>
      </c>
      <c r="B91" s="975"/>
      <c r="C91" s="975"/>
      <c r="D91" s="975"/>
      <c r="E91" s="975"/>
      <c r="F91" s="975"/>
      <c r="G91" s="975"/>
      <c r="H91" s="975"/>
      <c r="I91" s="975"/>
      <c r="J91" s="975"/>
      <c r="K91" s="975"/>
      <c r="L91" s="975"/>
      <c r="M91" s="975"/>
      <c r="N91" s="975"/>
      <c r="O91" s="975"/>
      <c r="P91" s="975"/>
      <c r="Q91" s="975"/>
      <c r="R91" s="975"/>
      <c r="S91" s="975"/>
      <c r="T91" s="975"/>
      <c r="U91" s="975"/>
      <c r="V91" s="975"/>
      <c r="W91" s="975"/>
    </row>
    <row r="92" spans="1:24" ht="11.85" customHeight="1" x14ac:dyDescent="0.25">
      <c r="A92" s="904" t="s">
        <v>539</v>
      </c>
      <c r="B92" s="904"/>
      <c r="C92" s="904"/>
      <c r="W92" s="805" t="s">
        <v>1309</v>
      </c>
    </row>
    <row r="93" spans="1:24" ht="11.1" customHeight="1" x14ac:dyDescent="0.25">
      <c r="A93" s="904" t="s">
        <v>707</v>
      </c>
      <c r="B93" s="904"/>
      <c r="C93" s="904"/>
    </row>
    <row r="94" spans="1:24" ht="11.85" customHeight="1" x14ac:dyDescent="0.25">
      <c r="A94" s="905" t="s">
        <v>1218</v>
      </c>
      <c r="B94" s="905"/>
      <c r="C94" s="905"/>
      <c r="D94" s="905"/>
      <c r="E94" s="905"/>
      <c r="F94" s="905"/>
      <c r="G94" s="905"/>
      <c r="H94" s="905"/>
      <c r="I94" s="905"/>
      <c r="J94" s="905"/>
      <c r="K94" s="905"/>
      <c r="L94" s="905"/>
      <c r="M94" s="905"/>
      <c r="N94" s="905"/>
      <c r="O94" s="905"/>
      <c r="P94" s="905"/>
    </row>
    <row r="95" spans="1:24" ht="11.85" customHeight="1" x14ac:dyDescent="0.25">
      <c r="A95" s="904" t="s">
        <v>922</v>
      </c>
      <c r="B95" s="904"/>
      <c r="C95" s="904"/>
    </row>
    <row r="96" spans="1:24" ht="11.85" customHeight="1" x14ac:dyDescent="0.25">
      <c r="A96" s="904" t="s">
        <v>1852</v>
      </c>
      <c r="B96" s="904"/>
      <c r="C96" s="904"/>
    </row>
    <row r="97" spans="1:24" ht="5.85" customHeight="1" x14ac:dyDescent="0.25"/>
    <row r="98" spans="1:24" ht="11.1" customHeight="1" x14ac:dyDescent="0.25">
      <c r="A98" s="906" t="s">
        <v>1219</v>
      </c>
      <c r="B98" s="906"/>
      <c r="C98" s="906"/>
      <c r="D98" s="425"/>
      <c r="E98" s="425"/>
      <c r="F98" s="425"/>
      <c r="G98" s="425"/>
      <c r="H98" s="425"/>
      <c r="I98" s="425"/>
      <c r="J98" s="425"/>
      <c r="K98" s="425"/>
      <c r="L98" s="425"/>
      <c r="M98" s="425"/>
      <c r="N98" s="425"/>
      <c r="O98" s="425"/>
      <c r="P98" s="981" t="s">
        <v>471</v>
      </c>
      <c r="Q98" s="981"/>
      <c r="R98" s="981"/>
      <c r="S98" s="981"/>
      <c r="T98" s="981"/>
      <c r="U98" s="981"/>
      <c r="V98" s="981"/>
      <c r="W98" s="981"/>
    </row>
    <row r="99" spans="1:24" ht="11.85" customHeight="1" x14ac:dyDescent="0.25">
      <c r="A99" s="1025" t="s">
        <v>1301</v>
      </c>
      <c r="B99" s="1026"/>
      <c r="C99" s="1026"/>
      <c r="D99" s="1026"/>
      <c r="E99" s="1026"/>
      <c r="F99" s="1026"/>
      <c r="G99" s="1026"/>
      <c r="H99" s="1026"/>
      <c r="I99" s="1026"/>
      <c r="J99" s="1026"/>
      <c r="K99" s="1026"/>
      <c r="L99" s="1026"/>
      <c r="M99" s="1026"/>
      <c r="N99" s="1026"/>
      <c r="O99" s="1026"/>
      <c r="P99" s="1026"/>
      <c r="Q99" s="1026"/>
      <c r="R99" s="1026"/>
      <c r="S99" s="1026"/>
      <c r="T99" s="1026"/>
      <c r="U99" s="1026"/>
      <c r="V99" s="1026"/>
      <c r="W99" s="1027"/>
      <c r="X99" s="426"/>
    </row>
    <row r="100" spans="1:24" ht="46.7" customHeight="1" x14ac:dyDescent="0.25">
      <c r="A100" s="786" t="s">
        <v>1302</v>
      </c>
      <c r="B100" s="892" t="s">
        <v>963</v>
      </c>
      <c r="C100" s="903"/>
      <c r="D100" s="892" t="s">
        <v>964</v>
      </c>
      <c r="E100" s="902"/>
      <c r="F100" s="902"/>
      <c r="G100" s="903"/>
      <c r="H100" s="892" t="s">
        <v>965</v>
      </c>
      <c r="I100" s="903"/>
      <c r="J100" s="892" t="s">
        <v>1303</v>
      </c>
      <c r="K100" s="902"/>
      <c r="L100" s="902"/>
      <c r="M100" s="903"/>
      <c r="N100" s="892" t="s">
        <v>1304</v>
      </c>
      <c r="O100" s="902"/>
      <c r="P100" s="902"/>
      <c r="Q100" s="902"/>
      <c r="R100" s="902"/>
      <c r="S100" s="902"/>
      <c r="T100" s="903"/>
      <c r="U100" s="1053" t="s">
        <v>2277</v>
      </c>
      <c r="V100" s="1054"/>
      <c r="W100" s="1055"/>
      <c r="X100" s="426"/>
    </row>
    <row r="101" spans="1:24" ht="11.85" customHeight="1" x14ac:dyDescent="0.25">
      <c r="A101" s="807" t="s">
        <v>1310</v>
      </c>
      <c r="B101" s="914" t="s">
        <v>479</v>
      </c>
      <c r="C101" s="915"/>
      <c r="D101" s="914" t="s">
        <v>479</v>
      </c>
      <c r="E101" s="916"/>
      <c r="F101" s="916"/>
      <c r="G101" s="915"/>
      <c r="H101" s="914" t="s">
        <v>479</v>
      </c>
      <c r="I101" s="915"/>
      <c r="J101" s="914" t="s">
        <v>479</v>
      </c>
      <c r="K101" s="916"/>
      <c r="L101" s="916"/>
      <c r="M101" s="915"/>
      <c r="N101" s="914" t="s">
        <v>479</v>
      </c>
      <c r="O101" s="916"/>
      <c r="P101" s="916"/>
      <c r="Q101" s="916"/>
      <c r="R101" s="916"/>
      <c r="S101" s="916"/>
      <c r="T101" s="915"/>
      <c r="U101" s="914" t="s">
        <v>479</v>
      </c>
      <c r="V101" s="916"/>
      <c r="W101" s="915"/>
      <c r="X101" s="796"/>
    </row>
    <row r="102" spans="1:24" ht="11.85" customHeight="1" x14ac:dyDescent="0.25">
      <c r="A102" s="808" t="s">
        <v>1311</v>
      </c>
      <c r="B102" s="884" t="s">
        <v>2282</v>
      </c>
      <c r="C102" s="885"/>
      <c r="D102" s="884" t="s">
        <v>2283</v>
      </c>
      <c r="E102" s="913"/>
      <c r="F102" s="913"/>
      <c r="G102" s="885"/>
      <c r="H102" s="884" t="s">
        <v>2284</v>
      </c>
      <c r="I102" s="885"/>
      <c r="J102" s="884" t="s">
        <v>479</v>
      </c>
      <c r="K102" s="913"/>
      <c r="L102" s="913"/>
      <c r="M102" s="885"/>
      <c r="N102" s="884" t="s">
        <v>479</v>
      </c>
      <c r="O102" s="913"/>
      <c r="P102" s="913"/>
      <c r="Q102" s="913"/>
      <c r="R102" s="913"/>
      <c r="S102" s="913"/>
      <c r="T102" s="885"/>
      <c r="U102" s="1051" t="s">
        <v>479</v>
      </c>
      <c r="V102" s="1052"/>
      <c r="W102" s="1052"/>
      <c r="X102" s="795"/>
    </row>
    <row r="103" spans="1:24" ht="11.1" customHeight="1" x14ac:dyDescent="0.25">
      <c r="A103" s="823" t="s">
        <v>1312</v>
      </c>
      <c r="B103" s="884" t="s">
        <v>479</v>
      </c>
      <c r="C103" s="885"/>
      <c r="D103" s="884" t="s">
        <v>479</v>
      </c>
      <c r="E103" s="913"/>
      <c r="F103" s="913"/>
      <c r="G103" s="885"/>
      <c r="H103" s="884" t="s">
        <v>479</v>
      </c>
      <c r="I103" s="885"/>
      <c r="J103" s="884" t="s">
        <v>479</v>
      </c>
      <c r="K103" s="913"/>
      <c r="L103" s="913"/>
      <c r="M103" s="885"/>
      <c r="N103" s="884" t="s">
        <v>479</v>
      </c>
      <c r="O103" s="913"/>
      <c r="P103" s="913"/>
      <c r="Q103" s="913"/>
      <c r="R103" s="913"/>
      <c r="S103" s="913"/>
      <c r="T103" s="885"/>
      <c r="U103" s="1051" t="s">
        <v>479</v>
      </c>
      <c r="V103" s="1052"/>
      <c r="W103" s="1052"/>
      <c r="X103" s="795"/>
    </row>
    <row r="104" spans="1:24" ht="11.85" customHeight="1" x14ac:dyDescent="0.25">
      <c r="A104" s="700" t="s">
        <v>1313</v>
      </c>
      <c r="B104" s="910" t="s">
        <v>479</v>
      </c>
      <c r="C104" s="911"/>
      <c r="D104" s="910" t="s">
        <v>479</v>
      </c>
      <c r="E104" s="912"/>
      <c r="F104" s="912"/>
      <c r="G104" s="911"/>
      <c r="H104" s="910" t="s">
        <v>479</v>
      </c>
      <c r="I104" s="911"/>
      <c r="J104" s="910" t="s">
        <v>479</v>
      </c>
      <c r="K104" s="912"/>
      <c r="L104" s="912"/>
      <c r="M104" s="911"/>
      <c r="N104" s="910" t="s">
        <v>479</v>
      </c>
      <c r="O104" s="912"/>
      <c r="P104" s="912"/>
      <c r="Q104" s="912"/>
      <c r="R104" s="912"/>
      <c r="S104" s="912"/>
      <c r="T104" s="911"/>
      <c r="U104" s="1051" t="s">
        <v>479</v>
      </c>
      <c r="V104" s="1052"/>
      <c r="W104" s="1052"/>
      <c r="X104" s="795"/>
    </row>
    <row r="105" spans="1:24" ht="11.85" customHeight="1" x14ac:dyDescent="0.25">
      <c r="A105" s="427"/>
      <c r="B105" s="427"/>
      <c r="C105" s="427"/>
      <c r="D105" s="427"/>
      <c r="E105" s="427"/>
      <c r="F105" s="427"/>
      <c r="G105" s="427"/>
      <c r="H105" s="427"/>
      <c r="I105" s="427"/>
      <c r="J105" s="427"/>
      <c r="K105" s="427"/>
      <c r="L105" s="427"/>
      <c r="M105" s="427"/>
      <c r="N105" s="427"/>
      <c r="O105" s="427"/>
      <c r="P105" s="427"/>
      <c r="Q105" s="427"/>
      <c r="R105" s="427"/>
      <c r="S105" s="427"/>
      <c r="T105" s="427"/>
      <c r="U105" s="425"/>
      <c r="V105" s="425"/>
      <c r="W105" s="425"/>
    </row>
    <row r="106" spans="1:24" ht="28.9" customHeight="1" x14ac:dyDescent="0.25">
      <c r="A106" s="786" t="s">
        <v>1314</v>
      </c>
      <c r="B106" s="892" t="s">
        <v>1315</v>
      </c>
      <c r="C106" s="902"/>
      <c r="D106" s="902"/>
      <c r="E106" s="902"/>
      <c r="F106" s="903"/>
      <c r="G106" s="892" t="s">
        <v>1316</v>
      </c>
      <c r="H106" s="902"/>
      <c r="I106" s="902"/>
      <c r="J106" s="903"/>
      <c r="K106" s="892" t="s">
        <v>1317</v>
      </c>
      <c r="L106" s="902"/>
      <c r="M106" s="902"/>
      <c r="N106" s="902"/>
      <c r="O106" s="902"/>
      <c r="P106" s="902"/>
      <c r="Q106" s="902"/>
      <c r="R106" s="903"/>
      <c r="S106" s="892" t="s">
        <v>1318</v>
      </c>
      <c r="T106" s="902"/>
      <c r="U106" s="902"/>
      <c r="V106" s="902"/>
      <c r="W106" s="903"/>
      <c r="X106" s="426"/>
    </row>
    <row r="107" spans="1:24" ht="11.85" customHeight="1" x14ac:dyDescent="0.25">
      <c r="A107" s="807" t="s">
        <v>1319</v>
      </c>
      <c r="B107" s="914" t="s">
        <v>2285</v>
      </c>
      <c r="C107" s="916"/>
      <c r="D107" s="916"/>
      <c r="E107" s="916"/>
      <c r="F107" s="915"/>
      <c r="G107" s="914" t="s">
        <v>2283</v>
      </c>
      <c r="H107" s="916"/>
      <c r="I107" s="916"/>
      <c r="J107" s="915"/>
      <c r="K107" s="914" t="s">
        <v>2283</v>
      </c>
      <c r="L107" s="916"/>
      <c r="M107" s="916"/>
      <c r="N107" s="916"/>
      <c r="O107" s="916"/>
      <c r="P107" s="916"/>
      <c r="Q107" s="916"/>
      <c r="R107" s="915"/>
      <c r="S107" s="914">
        <v>98.88</v>
      </c>
      <c r="T107" s="916"/>
      <c r="U107" s="916"/>
      <c r="V107" s="916"/>
      <c r="W107" s="915"/>
      <c r="X107" s="796"/>
    </row>
    <row r="108" spans="1:24" ht="11.85" customHeight="1" x14ac:dyDescent="0.25">
      <c r="A108" s="808" t="s">
        <v>1320</v>
      </c>
      <c r="B108" s="884" t="s">
        <v>479</v>
      </c>
      <c r="C108" s="913"/>
      <c r="D108" s="913"/>
      <c r="E108" s="913"/>
      <c r="F108" s="885"/>
      <c r="G108" s="884" t="s">
        <v>479</v>
      </c>
      <c r="H108" s="913"/>
      <c r="I108" s="913"/>
      <c r="J108" s="885"/>
      <c r="K108" s="884" t="s">
        <v>479</v>
      </c>
      <c r="L108" s="913"/>
      <c r="M108" s="913"/>
      <c r="N108" s="913"/>
      <c r="O108" s="913"/>
      <c r="P108" s="913"/>
      <c r="Q108" s="913"/>
      <c r="R108" s="885"/>
      <c r="S108" s="884" t="s">
        <v>479</v>
      </c>
      <c r="T108" s="913"/>
      <c r="U108" s="913"/>
      <c r="V108" s="913"/>
      <c r="W108" s="885"/>
      <c r="X108" s="796"/>
    </row>
    <row r="109" spans="1:24" ht="11.1" customHeight="1" x14ac:dyDescent="0.25">
      <c r="A109" s="802" t="s">
        <v>1321</v>
      </c>
      <c r="B109" s="910" t="s">
        <v>479</v>
      </c>
      <c r="C109" s="912"/>
      <c r="D109" s="912"/>
      <c r="E109" s="912"/>
      <c r="F109" s="911"/>
      <c r="G109" s="910" t="s">
        <v>479</v>
      </c>
      <c r="H109" s="912"/>
      <c r="I109" s="912"/>
      <c r="J109" s="911"/>
      <c r="K109" s="910" t="s">
        <v>479</v>
      </c>
      <c r="L109" s="912"/>
      <c r="M109" s="912"/>
      <c r="N109" s="912"/>
      <c r="O109" s="912"/>
      <c r="P109" s="912"/>
      <c r="Q109" s="912"/>
      <c r="R109" s="911"/>
      <c r="S109" s="910" t="s">
        <v>479</v>
      </c>
      <c r="T109" s="912"/>
      <c r="U109" s="912"/>
      <c r="V109" s="912"/>
      <c r="W109" s="911"/>
      <c r="X109" s="796"/>
    </row>
    <row r="110" spans="1:24" ht="11.85" customHeight="1" x14ac:dyDescent="0.25">
      <c r="A110" s="427"/>
      <c r="B110" s="427"/>
      <c r="C110" s="427"/>
      <c r="D110" s="427"/>
      <c r="E110" s="427"/>
      <c r="F110" s="427"/>
      <c r="G110" s="427"/>
      <c r="H110" s="427"/>
      <c r="I110" s="427"/>
      <c r="J110" s="427"/>
      <c r="K110" s="427"/>
      <c r="L110" s="427"/>
      <c r="M110" s="427"/>
      <c r="N110" s="427"/>
      <c r="O110" s="427"/>
      <c r="P110" s="427"/>
      <c r="Q110" s="427"/>
      <c r="R110" s="427"/>
      <c r="S110" s="427"/>
      <c r="T110" s="427"/>
      <c r="U110" s="427"/>
      <c r="V110" s="427"/>
      <c r="W110" s="427"/>
    </row>
    <row r="111" spans="1:24" ht="29.65" customHeight="1" x14ac:dyDescent="0.25">
      <c r="A111" s="786" t="s">
        <v>1322</v>
      </c>
      <c r="B111" s="892" t="s">
        <v>1323</v>
      </c>
      <c r="C111" s="902"/>
      <c r="D111" s="903"/>
      <c r="E111" s="892" t="s">
        <v>1324</v>
      </c>
      <c r="F111" s="902"/>
      <c r="G111" s="902"/>
      <c r="H111" s="903"/>
      <c r="I111" s="892" t="s">
        <v>1325</v>
      </c>
      <c r="J111" s="902"/>
      <c r="K111" s="902"/>
      <c r="L111" s="903"/>
      <c r="M111" s="892" t="s">
        <v>1326</v>
      </c>
      <c r="N111" s="902"/>
      <c r="O111" s="902"/>
      <c r="P111" s="902"/>
      <c r="Q111" s="902"/>
      <c r="R111" s="902"/>
      <c r="S111" s="903"/>
      <c r="T111" s="892" t="s">
        <v>1327</v>
      </c>
      <c r="U111" s="902"/>
      <c r="V111" s="902"/>
      <c r="W111" s="903"/>
      <c r="X111" s="426"/>
    </row>
    <row r="112" spans="1:24" ht="11.1" customHeight="1" x14ac:dyDescent="0.25">
      <c r="A112" s="624" t="s">
        <v>1328</v>
      </c>
      <c r="B112" s="907" t="s">
        <v>2286</v>
      </c>
      <c r="C112" s="909"/>
      <c r="D112" s="908"/>
      <c r="E112" s="907" t="s">
        <v>479</v>
      </c>
      <c r="F112" s="909"/>
      <c r="G112" s="909"/>
      <c r="H112" s="908"/>
      <c r="I112" s="907" t="s">
        <v>479</v>
      </c>
      <c r="J112" s="909"/>
      <c r="K112" s="909"/>
      <c r="L112" s="908"/>
      <c r="M112" s="907" t="s">
        <v>479</v>
      </c>
      <c r="N112" s="909"/>
      <c r="O112" s="909"/>
      <c r="P112" s="909"/>
      <c r="Q112" s="909"/>
      <c r="R112" s="909"/>
      <c r="S112" s="908"/>
      <c r="T112" s="907" t="s">
        <v>479</v>
      </c>
      <c r="U112" s="909"/>
      <c r="V112" s="909"/>
      <c r="W112" s="908"/>
      <c r="X112" s="796"/>
    </row>
    <row r="113" spans="1:24" ht="11.85" customHeight="1" x14ac:dyDescent="0.25">
      <c r="A113" s="427"/>
      <c r="B113" s="427"/>
      <c r="C113" s="427"/>
      <c r="D113" s="427"/>
      <c r="E113" s="427"/>
      <c r="F113" s="427"/>
      <c r="G113" s="427"/>
      <c r="H113" s="427"/>
      <c r="I113" s="427"/>
      <c r="J113" s="427"/>
      <c r="K113" s="427"/>
      <c r="L113" s="427"/>
      <c r="M113" s="427"/>
      <c r="N113" s="427"/>
      <c r="O113" s="427"/>
      <c r="P113" s="427"/>
      <c r="Q113" s="427"/>
      <c r="R113" s="427"/>
      <c r="S113" s="427"/>
      <c r="T113" s="427"/>
      <c r="U113" s="427"/>
      <c r="V113" s="427"/>
      <c r="W113" s="427"/>
    </row>
    <row r="114" spans="1:24" ht="52.5" customHeight="1" x14ac:dyDescent="0.25">
      <c r="A114" s="786" t="s">
        <v>1329</v>
      </c>
      <c r="B114" s="787" t="s">
        <v>1330</v>
      </c>
      <c r="C114" s="892" t="s">
        <v>1331</v>
      </c>
      <c r="D114" s="902"/>
      <c r="E114" s="902"/>
      <c r="F114" s="902"/>
      <c r="G114" s="903"/>
      <c r="H114" s="892" t="s">
        <v>1332</v>
      </c>
      <c r="I114" s="902"/>
      <c r="J114" s="903"/>
      <c r="K114" s="892" t="s">
        <v>1333</v>
      </c>
      <c r="L114" s="902"/>
      <c r="M114" s="902"/>
      <c r="N114" s="903"/>
      <c r="O114" s="892" t="s">
        <v>1334</v>
      </c>
      <c r="P114" s="902"/>
      <c r="Q114" s="902"/>
      <c r="R114" s="902"/>
      <c r="S114" s="902"/>
      <c r="T114" s="902"/>
      <c r="U114" s="903"/>
      <c r="V114" s="892" t="s">
        <v>2287</v>
      </c>
      <c r="W114" s="903"/>
      <c r="X114" s="426"/>
    </row>
    <row r="115" spans="1:24" ht="11.85" customHeight="1" x14ac:dyDescent="0.25">
      <c r="A115" s="807" t="s">
        <v>1335</v>
      </c>
      <c r="B115" s="790" t="s">
        <v>479</v>
      </c>
      <c r="C115" s="914" t="s">
        <v>479</v>
      </c>
      <c r="D115" s="916"/>
      <c r="E115" s="916"/>
      <c r="F115" s="916"/>
      <c r="G115" s="915"/>
      <c r="H115" s="914" t="s">
        <v>479</v>
      </c>
      <c r="I115" s="916"/>
      <c r="J115" s="915"/>
      <c r="K115" s="914" t="s">
        <v>479</v>
      </c>
      <c r="L115" s="916"/>
      <c r="M115" s="916"/>
      <c r="N115" s="915"/>
      <c r="O115" s="914" t="s">
        <v>479</v>
      </c>
      <c r="P115" s="916"/>
      <c r="Q115" s="916"/>
      <c r="R115" s="916"/>
      <c r="S115" s="916"/>
      <c r="T115" s="916"/>
      <c r="U115" s="915"/>
      <c r="V115" s="914" t="s">
        <v>479</v>
      </c>
      <c r="W115" s="915"/>
      <c r="X115" s="796"/>
    </row>
    <row r="116" spans="1:24" ht="11.1" customHeight="1" x14ac:dyDescent="0.25">
      <c r="A116" s="808" t="s">
        <v>1336</v>
      </c>
      <c r="B116" s="791" t="s">
        <v>479</v>
      </c>
      <c r="C116" s="884" t="s">
        <v>479</v>
      </c>
      <c r="D116" s="913"/>
      <c r="E116" s="913"/>
      <c r="F116" s="913"/>
      <c r="G116" s="885"/>
      <c r="H116" s="884" t="s">
        <v>479</v>
      </c>
      <c r="I116" s="913"/>
      <c r="J116" s="885"/>
      <c r="K116" s="884" t="s">
        <v>479</v>
      </c>
      <c r="L116" s="913"/>
      <c r="M116" s="913"/>
      <c r="N116" s="885"/>
      <c r="O116" s="884" t="s">
        <v>479</v>
      </c>
      <c r="P116" s="913"/>
      <c r="Q116" s="913"/>
      <c r="R116" s="913"/>
      <c r="S116" s="913"/>
      <c r="T116" s="913"/>
      <c r="U116" s="885"/>
      <c r="V116" s="884" t="s">
        <v>479</v>
      </c>
      <c r="W116" s="885"/>
      <c r="X116" s="796"/>
    </row>
    <row r="117" spans="1:24" ht="11.85" customHeight="1" x14ac:dyDescent="0.25">
      <c r="A117" s="802" t="s">
        <v>1337</v>
      </c>
      <c r="B117" s="792" t="s">
        <v>479</v>
      </c>
      <c r="C117" s="910" t="s">
        <v>479</v>
      </c>
      <c r="D117" s="912"/>
      <c r="E117" s="912"/>
      <c r="F117" s="912"/>
      <c r="G117" s="911"/>
      <c r="H117" s="910" t="s">
        <v>479</v>
      </c>
      <c r="I117" s="912"/>
      <c r="J117" s="911"/>
      <c r="K117" s="910" t="s">
        <v>479</v>
      </c>
      <c r="L117" s="912"/>
      <c r="M117" s="912"/>
      <c r="N117" s="911"/>
      <c r="O117" s="910" t="s">
        <v>479</v>
      </c>
      <c r="P117" s="912"/>
      <c r="Q117" s="912"/>
      <c r="R117" s="912"/>
      <c r="S117" s="912"/>
      <c r="T117" s="912"/>
      <c r="U117" s="911"/>
      <c r="V117" s="910" t="s">
        <v>479</v>
      </c>
      <c r="W117" s="911"/>
      <c r="X117" s="796"/>
    </row>
    <row r="118" spans="1:24" ht="11.85" customHeight="1" x14ac:dyDescent="0.25">
      <c r="A118" s="427"/>
      <c r="B118" s="427"/>
      <c r="C118" s="427"/>
      <c r="D118" s="427"/>
      <c r="E118" s="427"/>
      <c r="F118" s="427"/>
      <c r="G118" s="427"/>
      <c r="H118" s="427"/>
      <c r="I118" s="427"/>
      <c r="J118" s="427"/>
      <c r="K118" s="427"/>
      <c r="L118" s="427"/>
      <c r="M118" s="427"/>
      <c r="N118" s="427"/>
      <c r="O118" s="427"/>
      <c r="P118" s="427"/>
      <c r="Q118" s="427"/>
      <c r="R118" s="427"/>
      <c r="S118" s="427"/>
      <c r="T118" s="427"/>
      <c r="U118" s="427"/>
      <c r="V118" s="427"/>
      <c r="W118" s="427"/>
    </row>
    <row r="119" spans="1:24" ht="11.85" customHeight="1" x14ac:dyDescent="0.25">
      <c r="A119" s="1025" t="s">
        <v>1338</v>
      </c>
      <c r="B119" s="1026"/>
      <c r="C119" s="1026"/>
      <c r="D119" s="1026"/>
      <c r="E119" s="1026"/>
      <c r="F119" s="1026"/>
      <c r="G119" s="1026"/>
      <c r="H119" s="1026"/>
      <c r="I119" s="1026"/>
      <c r="J119" s="1026"/>
      <c r="K119" s="1026"/>
      <c r="L119" s="1026"/>
      <c r="M119" s="1026"/>
      <c r="N119" s="1026"/>
      <c r="O119" s="1026"/>
      <c r="P119" s="1026"/>
      <c r="Q119" s="1026"/>
      <c r="R119" s="1026"/>
      <c r="S119" s="1026"/>
      <c r="T119" s="1026"/>
      <c r="U119" s="1026"/>
      <c r="V119" s="1026"/>
      <c r="W119" s="1027"/>
      <c r="X119" s="426"/>
    </row>
    <row r="120" spans="1:24" ht="34.700000000000003" customHeight="1" x14ac:dyDescent="0.25">
      <c r="A120" s="787" t="s">
        <v>1339</v>
      </c>
      <c r="B120" s="892" t="s">
        <v>962</v>
      </c>
      <c r="C120" s="902"/>
      <c r="D120" s="902"/>
      <c r="E120" s="903"/>
      <c r="F120" s="892" t="s">
        <v>963</v>
      </c>
      <c r="G120" s="902"/>
      <c r="H120" s="903"/>
      <c r="I120" s="892" t="s">
        <v>964</v>
      </c>
      <c r="J120" s="902"/>
      <c r="K120" s="903"/>
      <c r="L120" s="892" t="s">
        <v>965</v>
      </c>
      <c r="M120" s="902"/>
      <c r="N120" s="902"/>
      <c r="O120" s="902"/>
      <c r="P120" s="902"/>
      <c r="Q120" s="903"/>
      <c r="R120" s="892" t="s">
        <v>1280</v>
      </c>
      <c r="S120" s="902"/>
      <c r="T120" s="902"/>
      <c r="U120" s="902"/>
      <c r="V120" s="902"/>
      <c r="W120" s="903"/>
      <c r="X120" s="426"/>
    </row>
    <row r="121" spans="1:24" ht="11.85" customHeight="1" x14ac:dyDescent="0.25">
      <c r="A121" s="807" t="s">
        <v>1340</v>
      </c>
      <c r="B121" s="914" t="s">
        <v>1341</v>
      </c>
      <c r="C121" s="916"/>
      <c r="D121" s="916"/>
      <c r="E121" s="915"/>
      <c r="F121" s="914" t="s">
        <v>2288</v>
      </c>
      <c r="G121" s="916"/>
      <c r="H121" s="915"/>
      <c r="I121" s="914" t="s">
        <v>2289</v>
      </c>
      <c r="J121" s="916"/>
      <c r="K121" s="915"/>
      <c r="L121" s="914" t="s">
        <v>2290</v>
      </c>
      <c r="M121" s="916"/>
      <c r="N121" s="916"/>
      <c r="O121" s="916"/>
      <c r="P121" s="916"/>
      <c r="Q121" s="915"/>
      <c r="R121" s="914" t="s">
        <v>479</v>
      </c>
      <c r="S121" s="916"/>
      <c r="T121" s="916"/>
      <c r="U121" s="916"/>
      <c r="V121" s="916"/>
      <c r="W121" s="915"/>
      <c r="X121" s="796"/>
    </row>
    <row r="122" spans="1:24" ht="11.1" customHeight="1" x14ac:dyDescent="0.25">
      <c r="A122" s="808" t="s">
        <v>1342</v>
      </c>
      <c r="B122" s="884" t="s">
        <v>2291</v>
      </c>
      <c r="C122" s="913"/>
      <c r="D122" s="913"/>
      <c r="E122" s="885"/>
      <c r="F122" s="884" t="s">
        <v>2292</v>
      </c>
      <c r="G122" s="913"/>
      <c r="H122" s="885"/>
      <c r="I122" s="884" t="s">
        <v>2293</v>
      </c>
      <c r="J122" s="913"/>
      <c r="K122" s="885"/>
      <c r="L122" s="884" t="s">
        <v>2294</v>
      </c>
      <c r="M122" s="913"/>
      <c r="N122" s="913"/>
      <c r="O122" s="913"/>
      <c r="P122" s="913"/>
      <c r="Q122" s="885"/>
      <c r="R122" s="884" t="s">
        <v>479</v>
      </c>
      <c r="S122" s="913"/>
      <c r="T122" s="913"/>
      <c r="U122" s="913"/>
      <c r="V122" s="913"/>
      <c r="W122" s="885"/>
      <c r="X122" s="796"/>
    </row>
    <row r="123" spans="1:24" ht="11.85" customHeight="1" x14ac:dyDescent="0.25">
      <c r="A123" s="808" t="s">
        <v>1343</v>
      </c>
      <c r="B123" s="884" t="s">
        <v>2295</v>
      </c>
      <c r="C123" s="913"/>
      <c r="D123" s="913"/>
      <c r="E123" s="885"/>
      <c r="F123" s="884" t="s">
        <v>2296</v>
      </c>
      <c r="G123" s="913"/>
      <c r="H123" s="885"/>
      <c r="I123" s="884" t="s">
        <v>2297</v>
      </c>
      <c r="J123" s="913"/>
      <c r="K123" s="885"/>
      <c r="L123" s="884" t="s">
        <v>2298</v>
      </c>
      <c r="M123" s="913"/>
      <c r="N123" s="913"/>
      <c r="O123" s="913"/>
      <c r="P123" s="913"/>
      <c r="Q123" s="885"/>
      <c r="R123" s="884" t="s">
        <v>479</v>
      </c>
      <c r="S123" s="913"/>
      <c r="T123" s="913"/>
      <c r="U123" s="913"/>
      <c r="V123" s="913"/>
      <c r="W123" s="885"/>
      <c r="X123" s="796"/>
    </row>
    <row r="124" spans="1:24" ht="11.85" customHeight="1" x14ac:dyDescent="0.25">
      <c r="A124" s="808" t="s">
        <v>1344</v>
      </c>
      <c r="B124" s="884" t="s">
        <v>2299</v>
      </c>
      <c r="C124" s="913"/>
      <c r="D124" s="913"/>
      <c r="E124" s="885"/>
      <c r="F124" s="884" t="s">
        <v>2300</v>
      </c>
      <c r="G124" s="913"/>
      <c r="H124" s="885"/>
      <c r="I124" s="884" t="s">
        <v>2300</v>
      </c>
      <c r="J124" s="913"/>
      <c r="K124" s="885"/>
      <c r="L124" s="884" t="s">
        <v>2301</v>
      </c>
      <c r="M124" s="913"/>
      <c r="N124" s="913"/>
      <c r="O124" s="913"/>
      <c r="P124" s="913"/>
      <c r="Q124" s="885"/>
      <c r="R124" s="884" t="s">
        <v>479</v>
      </c>
      <c r="S124" s="913"/>
      <c r="T124" s="913"/>
      <c r="U124" s="913"/>
      <c r="V124" s="913"/>
      <c r="W124" s="885"/>
      <c r="X124" s="796"/>
    </row>
    <row r="125" spans="1:24" ht="11.85" customHeight="1" x14ac:dyDescent="0.25">
      <c r="A125" s="808" t="s">
        <v>1345</v>
      </c>
      <c r="B125" s="884" t="s">
        <v>1346</v>
      </c>
      <c r="C125" s="913"/>
      <c r="D125" s="913"/>
      <c r="E125" s="885"/>
      <c r="F125" s="884" t="s">
        <v>2302</v>
      </c>
      <c r="G125" s="913"/>
      <c r="H125" s="885"/>
      <c r="I125" s="884" t="s">
        <v>2303</v>
      </c>
      <c r="J125" s="913"/>
      <c r="K125" s="885"/>
      <c r="L125" s="884" t="s">
        <v>2304</v>
      </c>
      <c r="M125" s="913"/>
      <c r="N125" s="913"/>
      <c r="O125" s="913"/>
      <c r="P125" s="913"/>
      <c r="Q125" s="885"/>
      <c r="R125" s="884" t="s">
        <v>479</v>
      </c>
      <c r="S125" s="913"/>
      <c r="T125" s="913"/>
      <c r="U125" s="913"/>
      <c r="V125" s="913"/>
      <c r="W125" s="885"/>
      <c r="X125" s="796"/>
    </row>
    <row r="126" spans="1:24" ht="11.1" customHeight="1" x14ac:dyDescent="0.25">
      <c r="A126" s="808" t="s">
        <v>1347</v>
      </c>
      <c r="B126" s="884" t="s">
        <v>1348</v>
      </c>
      <c r="C126" s="913"/>
      <c r="D126" s="913"/>
      <c r="E126" s="885"/>
      <c r="F126" s="884" t="s">
        <v>2305</v>
      </c>
      <c r="G126" s="913"/>
      <c r="H126" s="885"/>
      <c r="I126" s="884" t="s">
        <v>2306</v>
      </c>
      <c r="J126" s="913"/>
      <c r="K126" s="885"/>
      <c r="L126" s="884" t="s">
        <v>2307</v>
      </c>
      <c r="M126" s="913"/>
      <c r="N126" s="913"/>
      <c r="O126" s="913"/>
      <c r="P126" s="913"/>
      <c r="Q126" s="885"/>
      <c r="R126" s="884" t="s">
        <v>479</v>
      </c>
      <c r="S126" s="913"/>
      <c r="T126" s="913"/>
      <c r="U126" s="913"/>
      <c r="V126" s="913"/>
      <c r="W126" s="885"/>
      <c r="X126" s="796"/>
    </row>
    <row r="127" spans="1:24" ht="11.85" customHeight="1" x14ac:dyDescent="0.25">
      <c r="A127" s="808" t="s">
        <v>1349</v>
      </c>
      <c r="B127" s="884" t="s">
        <v>479</v>
      </c>
      <c r="C127" s="913"/>
      <c r="D127" s="913"/>
      <c r="E127" s="885"/>
      <c r="F127" s="884" t="s">
        <v>479</v>
      </c>
      <c r="G127" s="913"/>
      <c r="H127" s="885"/>
      <c r="I127" s="884" t="s">
        <v>479</v>
      </c>
      <c r="J127" s="913"/>
      <c r="K127" s="885"/>
      <c r="L127" s="884" t="s">
        <v>479</v>
      </c>
      <c r="M127" s="913"/>
      <c r="N127" s="913"/>
      <c r="O127" s="913"/>
      <c r="P127" s="913"/>
      <c r="Q127" s="885"/>
      <c r="R127" s="884" t="s">
        <v>479</v>
      </c>
      <c r="S127" s="913"/>
      <c r="T127" s="913"/>
      <c r="U127" s="913"/>
      <c r="V127" s="913"/>
      <c r="W127" s="885"/>
      <c r="X127" s="796"/>
    </row>
    <row r="128" spans="1:24" ht="11.85" customHeight="1" x14ac:dyDescent="0.25">
      <c r="A128" s="810" t="s">
        <v>1350</v>
      </c>
      <c r="B128" s="910" t="s">
        <v>2308</v>
      </c>
      <c r="C128" s="912"/>
      <c r="D128" s="912"/>
      <c r="E128" s="911"/>
      <c r="F128" s="910" t="s">
        <v>2309</v>
      </c>
      <c r="G128" s="912"/>
      <c r="H128" s="911"/>
      <c r="I128" s="910" t="s">
        <v>2310</v>
      </c>
      <c r="J128" s="912"/>
      <c r="K128" s="911"/>
      <c r="L128" s="910" t="s">
        <v>2311</v>
      </c>
      <c r="M128" s="912"/>
      <c r="N128" s="912"/>
      <c r="O128" s="912"/>
      <c r="P128" s="912"/>
      <c r="Q128" s="911"/>
      <c r="R128" s="910" t="s">
        <v>479</v>
      </c>
      <c r="S128" s="912"/>
      <c r="T128" s="912"/>
      <c r="U128" s="912"/>
      <c r="V128" s="912"/>
      <c r="W128" s="911"/>
      <c r="X128" s="796"/>
    </row>
    <row r="129" spans="1:24" ht="5.85" customHeight="1" x14ac:dyDescent="0.25">
      <c r="A129" s="428"/>
      <c r="B129" s="428"/>
      <c r="C129" s="428"/>
      <c r="D129" s="428"/>
      <c r="E129" s="428"/>
      <c r="F129" s="428"/>
      <c r="G129" s="428"/>
      <c r="H129" s="428"/>
      <c r="I129" s="428"/>
      <c r="J129" s="428"/>
      <c r="K129" s="428"/>
      <c r="L129" s="428"/>
      <c r="M129" s="428"/>
      <c r="N129" s="428"/>
      <c r="O129" s="428"/>
      <c r="P129" s="428"/>
      <c r="Q129" s="428"/>
      <c r="R129" s="428"/>
      <c r="S129" s="428"/>
      <c r="T129" s="428"/>
      <c r="U129" s="428"/>
      <c r="V129" s="428"/>
      <c r="W129" s="428"/>
    </row>
    <row r="130" spans="1:24" ht="25.9" customHeight="1" x14ac:dyDescent="0.25"/>
    <row r="131" spans="1:24" ht="11.85" customHeight="1" x14ac:dyDescent="0.25">
      <c r="A131" s="975" t="s">
        <v>2251</v>
      </c>
      <c r="B131" s="975"/>
      <c r="C131" s="975"/>
      <c r="D131" s="975"/>
      <c r="E131" s="975"/>
      <c r="F131" s="975"/>
      <c r="G131" s="975"/>
      <c r="H131" s="975"/>
      <c r="I131" s="975"/>
      <c r="J131" s="975"/>
      <c r="K131" s="975"/>
      <c r="L131" s="975"/>
      <c r="M131" s="975"/>
      <c r="N131" s="975"/>
      <c r="O131" s="975"/>
      <c r="P131" s="975"/>
      <c r="Q131" s="975"/>
      <c r="R131" s="975"/>
      <c r="S131" s="975"/>
      <c r="T131" s="975"/>
      <c r="U131" s="975"/>
      <c r="V131" s="975"/>
      <c r="W131" s="975"/>
    </row>
    <row r="132" spans="1:24" ht="11.85" customHeight="1" x14ac:dyDescent="0.25">
      <c r="A132" s="904" t="s">
        <v>539</v>
      </c>
      <c r="B132" s="904"/>
      <c r="C132" s="904"/>
      <c r="W132" s="805" t="s">
        <v>1351</v>
      </c>
    </row>
    <row r="133" spans="1:24" ht="11.1" customHeight="1" x14ac:dyDescent="0.25">
      <c r="A133" s="904" t="s">
        <v>707</v>
      </c>
      <c r="B133" s="904"/>
      <c r="C133" s="904"/>
    </row>
    <row r="134" spans="1:24" ht="11.85" customHeight="1" x14ac:dyDescent="0.25">
      <c r="A134" s="905" t="s">
        <v>1218</v>
      </c>
      <c r="B134" s="905"/>
      <c r="C134" s="905"/>
      <c r="D134" s="905"/>
      <c r="E134" s="905"/>
      <c r="F134" s="905"/>
      <c r="G134" s="905"/>
      <c r="H134" s="905"/>
      <c r="I134" s="905"/>
      <c r="J134" s="905"/>
      <c r="K134" s="905"/>
      <c r="L134" s="905"/>
      <c r="M134" s="905"/>
      <c r="N134" s="905"/>
      <c r="O134" s="905"/>
      <c r="P134" s="905"/>
    </row>
    <row r="135" spans="1:24" ht="11.85" customHeight="1" x14ac:dyDescent="0.25">
      <c r="A135" s="904" t="s">
        <v>922</v>
      </c>
      <c r="B135" s="904"/>
      <c r="C135" s="904"/>
    </row>
    <row r="136" spans="1:24" ht="11.85" customHeight="1" x14ac:dyDescent="0.25">
      <c r="A136" s="904" t="s">
        <v>1852</v>
      </c>
      <c r="B136" s="904"/>
      <c r="C136" s="904"/>
    </row>
    <row r="137" spans="1:24" ht="5.85" customHeight="1" x14ac:dyDescent="0.25"/>
    <row r="138" spans="1:24" ht="11.1" customHeight="1" x14ac:dyDescent="0.25">
      <c r="A138" s="906" t="s">
        <v>1219</v>
      </c>
      <c r="B138" s="906"/>
      <c r="C138" s="906"/>
      <c r="D138" s="425"/>
      <c r="E138" s="425"/>
      <c r="F138" s="425"/>
      <c r="G138" s="425"/>
      <c r="H138" s="425"/>
      <c r="I138" s="425"/>
      <c r="J138" s="425"/>
      <c r="K138" s="425"/>
      <c r="L138" s="425"/>
      <c r="M138" s="425"/>
      <c r="N138" s="425"/>
      <c r="O138" s="425"/>
      <c r="P138" s="981" t="s">
        <v>471</v>
      </c>
      <c r="Q138" s="981"/>
      <c r="R138" s="981"/>
      <c r="S138" s="981"/>
      <c r="T138" s="981"/>
      <c r="U138" s="981"/>
      <c r="V138" s="981"/>
      <c r="W138" s="981"/>
    </row>
    <row r="139" spans="1:24" ht="11.85" customHeight="1" x14ac:dyDescent="0.25">
      <c r="A139" s="1025" t="s">
        <v>1352</v>
      </c>
      <c r="B139" s="1026"/>
      <c r="C139" s="1026"/>
      <c r="D139" s="1026"/>
      <c r="E139" s="1026"/>
      <c r="F139" s="1026"/>
      <c r="G139" s="1026"/>
      <c r="H139" s="1026"/>
      <c r="I139" s="1026"/>
      <c r="J139" s="1026"/>
      <c r="K139" s="1026"/>
      <c r="L139" s="1026"/>
      <c r="M139" s="1026"/>
      <c r="N139" s="1026"/>
      <c r="O139" s="1026"/>
      <c r="P139" s="1026"/>
      <c r="Q139" s="1026"/>
      <c r="R139" s="1026"/>
      <c r="S139" s="1026"/>
      <c r="T139" s="1026"/>
      <c r="U139" s="1026"/>
      <c r="V139" s="1026"/>
      <c r="W139" s="1027"/>
      <c r="X139" s="426"/>
    </row>
    <row r="140" spans="1:24" ht="34.700000000000003" customHeight="1" x14ac:dyDescent="0.25">
      <c r="A140" s="787" t="s">
        <v>1353</v>
      </c>
      <c r="B140" s="892" t="s">
        <v>962</v>
      </c>
      <c r="C140" s="902"/>
      <c r="D140" s="902"/>
      <c r="E140" s="903"/>
      <c r="F140" s="892" t="s">
        <v>963</v>
      </c>
      <c r="G140" s="902"/>
      <c r="H140" s="903"/>
      <c r="I140" s="892" t="s">
        <v>964</v>
      </c>
      <c r="J140" s="902"/>
      <c r="K140" s="903"/>
      <c r="L140" s="892" t="s">
        <v>965</v>
      </c>
      <c r="M140" s="902"/>
      <c r="N140" s="902"/>
      <c r="O140" s="902"/>
      <c r="P140" s="902"/>
      <c r="Q140" s="903"/>
      <c r="R140" s="892" t="s">
        <v>1280</v>
      </c>
      <c r="S140" s="902"/>
      <c r="T140" s="902"/>
      <c r="U140" s="902"/>
      <c r="V140" s="902"/>
      <c r="W140" s="903"/>
      <c r="X140" s="426"/>
    </row>
    <row r="141" spans="1:24" ht="11.85" customHeight="1" x14ac:dyDescent="0.25">
      <c r="A141" s="807" t="s">
        <v>1354</v>
      </c>
      <c r="B141" s="914" t="s">
        <v>1355</v>
      </c>
      <c r="C141" s="916"/>
      <c r="D141" s="916"/>
      <c r="E141" s="915"/>
      <c r="F141" s="914" t="s">
        <v>2312</v>
      </c>
      <c r="G141" s="916"/>
      <c r="H141" s="915"/>
      <c r="I141" s="914" t="s">
        <v>2313</v>
      </c>
      <c r="J141" s="916"/>
      <c r="K141" s="915"/>
      <c r="L141" s="914" t="s">
        <v>2314</v>
      </c>
      <c r="M141" s="916"/>
      <c r="N141" s="916"/>
      <c r="O141" s="916"/>
      <c r="P141" s="916"/>
      <c r="Q141" s="915"/>
      <c r="R141" s="914" t="s">
        <v>479</v>
      </c>
      <c r="S141" s="916"/>
      <c r="T141" s="916"/>
      <c r="U141" s="916"/>
      <c r="V141" s="916"/>
      <c r="W141" s="915"/>
      <c r="X141" s="796"/>
    </row>
    <row r="142" spans="1:24" ht="11.85" customHeight="1" x14ac:dyDescent="0.25">
      <c r="A142" s="808" t="s">
        <v>1356</v>
      </c>
      <c r="B142" s="884" t="s">
        <v>2315</v>
      </c>
      <c r="C142" s="913"/>
      <c r="D142" s="913"/>
      <c r="E142" s="885"/>
      <c r="F142" s="884" t="s">
        <v>2316</v>
      </c>
      <c r="G142" s="913"/>
      <c r="H142" s="885"/>
      <c r="I142" s="884" t="s">
        <v>2317</v>
      </c>
      <c r="J142" s="913"/>
      <c r="K142" s="885"/>
      <c r="L142" s="884" t="s">
        <v>2318</v>
      </c>
      <c r="M142" s="913"/>
      <c r="N142" s="913"/>
      <c r="O142" s="913"/>
      <c r="P142" s="913"/>
      <c r="Q142" s="885"/>
      <c r="R142" s="884" t="s">
        <v>479</v>
      </c>
      <c r="S142" s="913"/>
      <c r="T142" s="913"/>
      <c r="U142" s="913"/>
      <c r="V142" s="913"/>
      <c r="W142" s="885"/>
      <c r="X142" s="796"/>
    </row>
    <row r="143" spans="1:24" ht="11.85" customHeight="1" x14ac:dyDescent="0.25">
      <c r="A143" s="808" t="s">
        <v>1357</v>
      </c>
      <c r="B143" s="884" t="s">
        <v>2319</v>
      </c>
      <c r="C143" s="913"/>
      <c r="D143" s="913"/>
      <c r="E143" s="885"/>
      <c r="F143" s="884" t="s">
        <v>2320</v>
      </c>
      <c r="G143" s="913"/>
      <c r="H143" s="885"/>
      <c r="I143" s="884" t="s">
        <v>2321</v>
      </c>
      <c r="J143" s="913"/>
      <c r="K143" s="885"/>
      <c r="L143" s="884" t="s">
        <v>2322</v>
      </c>
      <c r="M143" s="913"/>
      <c r="N143" s="913"/>
      <c r="O143" s="913"/>
      <c r="P143" s="913"/>
      <c r="Q143" s="885"/>
      <c r="R143" s="884" t="s">
        <v>479</v>
      </c>
      <c r="S143" s="913"/>
      <c r="T143" s="913"/>
      <c r="U143" s="913"/>
      <c r="V143" s="913"/>
      <c r="W143" s="885"/>
      <c r="X143" s="796"/>
    </row>
    <row r="144" spans="1:24" ht="11.1" customHeight="1" x14ac:dyDescent="0.25">
      <c r="A144" s="808" t="s">
        <v>1358</v>
      </c>
      <c r="B144" s="884" t="s">
        <v>2323</v>
      </c>
      <c r="C144" s="913"/>
      <c r="D144" s="913"/>
      <c r="E144" s="885"/>
      <c r="F144" s="884" t="s">
        <v>2324</v>
      </c>
      <c r="G144" s="913"/>
      <c r="H144" s="885"/>
      <c r="I144" s="884" t="s">
        <v>2324</v>
      </c>
      <c r="J144" s="913"/>
      <c r="K144" s="885"/>
      <c r="L144" s="884" t="s">
        <v>2325</v>
      </c>
      <c r="M144" s="913"/>
      <c r="N144" s="913"/>
      <c r="O144" s="913"/>
      <c r="P144" s="913"/>
      <c r="Q144" s="885"/>
      <c r="R144" s="884" t="s">
        <v>479</v>
      </c>
      <c r="S144" s="913"/>
      <c r="T144" s="913"/>
      <c r="U144" s="913"/>
      <c r="V144" s="913"/>
      <c r="W144" s="885"/>
      <c r="X144" s="796"/>
    </row>
    <row r="145" spans="1:24" ht="11.85" customHeight="1" x14ac:dyDescent="0.25">
      <c r="A145" s="810" t="s">
        <v>1359</v>
      </c>
      <c r="B145" s="910" t="s">
        <v>2326</v>
      </c>
      <c r="C145" s="912"/>
      <c r="D145" s="912"/>
      <c r="E145" s="911"/>
      <c r="F145" s="910" t="s">
        <v>2327</v>
      </c>
      <c r="G145" s="912"/>
      <c r="H145" s="911"/>
      <c r="I145" s="910" t="s">
        <v>2328</v>
      </c>
      <c r="J145" s="912"/>
      <c r="K145" s="911"/>
      <c r="L145" s="910" t="s">
        <v>2329</v>
      </c>
      <c r="M145" s="912"/>
      <c r="N145" s="912"/>
      <c r="O145" s="912"/>
      <c r="P145" s="912"/>
      <c r="Q145" s="911"/>
      <c r="R145" s="910" t="s">
        <v>479</v>
      </c>
      <c r="S145" s="912"/>
      <c r="T145" s="912"/>
      <c r="U145" s="912"/>
      <c r="V145" s="912"/>
      <c r="W145" s="911"/>
      <c r="X145" s="796"/>
    </row>
    <row r="146" spans="1:24" ht="17.850000000000001" customHeight="1" x14ac:dyDescent="0.25">
      <c r="A146" s="1025" t="s">
        <v>1360</v>
      </c>
      <c r="B146" s="1026"/>
      <c r="C146" s="1026"/>
      <c r="D146" s="1026"/>
      <c r="E146" s="1026"/>
      <c r="F146" s="1026"/>
      <c r="G146" s="1026"/>
      <c r="H146" s="1026"/>
      <c r="I146" s="1026"/>
      <c r="J146" s="1026"/>
      <c r="K146" s="1026"/>
      <c r="L146" s="1026"/>
      <c r="M146" s="1026"/>
      <c r="N146" s="1026"/>
      <c r="O146" s="1026"/>
      <c r="P146" s="1026"/>
      <c r="Q146" s="1027"/>
      <c r="R146" s="1025" t="s">
        <v>779</v>
      </c>
      <c r="S146" s="1026"/>
      <c r="T146" s="1026"/>
      <c r="U146" s="1026"/>
      <c r="V146" s="1026"/>
      <c r="W146" s="1027"/>
      <c r="X146" s="426"/>
    </row>
    <row r="147" spans="1:24" ht="11.1" customHeight="1" x14ac:dyDescent="0.25">
      <c r="A147" s="1048" t="s">
        <v>1361</v>
      </c>
      <c r="B147" s="1049"/>
      <c r="C147" s="1049"/>
      <c r="D147" s="1049"/>
      <c r="E147" s="1049"/>
      <c r="F147" s="1049"/>
      <c r="G147" s="1049"/>
      <c r="H147" s="1049"/>
      <c r="I147" s="1049"/>
      <c r="J147" s="1049"/>
      <c r="K147" s="1049"/>
      <c r="L147" s="1049"/>
      <c r="M147" s="1049"/>
      <c r="N147" s="1049"/>
      <c r="O147" s="1049"/>
      <c r="P147" s="1049"/>
      <c r="Q147" s="1050"/>
      <c r="R147" s="914" t="s">
        <v>2289</v>
      </c>
      <c r="S147" s="916"/>
      <c r="T147" s="916"/>
      <c r="U147" s="916"/>
      <c r="V147" s="916"/>
      <c r="W147" s="915"/>
      <c r="X147" s="796"/>
    </row>
    <row r="148" spans="1:24" ht="11.85" customHeight="1" x14ac:dyDescent="0.25">
      <c r="A148" s="1042" t="s">
        <v>1362</v>
      </c>
      <c r="B148" s="1043"/>
      <c r="C148" s="1043"/>
      <c r="D148" s="1043"/>
      <c r="E148" s="1043"/>
      <c r="F148" s="1043"/>
      <c r="G148" s="1043"/>
      <c r="H148" s="1043"/>
      <c r="I148" s="1043"/>
      <c r="J148" s="1043"/>
      <c r="K148" s="1043"/>
      <c r="L148" s="1043"/>
      <c r="M148" s="1043"/>
      <c r="N148" s="1043"/>
      <c r="O148" s="1043"/>
      <c r="P148" s="1043"/>
      <c r="Q148" s="1044"/>
      <c r="R148" s="884" t="s">
        <v>2247</v>
      </c>
      <c r="S148" s="913"/>
      <c r="T148" s="913"/>
      <c r="U148" s="913"/>
      <c r="V148" s="913"/>
      <c r="W148" s="885"/>
      <c r="X148" s="796"/>
    </row>
    <row r="149" spans="1:24" ht="11.85" customHeight="1" x14ac:dyDescent="0.25">
      <c r="A149" s="1042" t="s">
        <v>1363</v>
      </c>
      <c r="B149" s="1043"/>
      <c r="C149" s="1043"/>
      <c r="D149" s="1043"/>
      <c r="E149" s="1043"/>
      <c r="F149" s="1043"/>
      <c r="G149" s="1043"/>
      <c r="H149" s="1043"/>
      <c r="I149" s="1043"/>
      <c r="J149" s="1043"/>
      <c r="K149" s="1043"/>
      <c r="L149" s="1043"/>
      <c r="M149" s="1043"/>
      <c r="N149" s="1043"/>
      <c r="O149" s="1043"/>
      <c r="P149" s="1043"/>
      <c r="Q149" s="1044"/>
      <c r="R149" s="884" t="s">
        <v>479</v>
      </c>
      <c r="S149" s="913"/>
      <c r="T149" s="913"/>
      <c r="U149" s="913"/>
      <c r="V149" s="913"/>
      <c r="W149" s="885"/>
      <c r="X149" s="796"/>
    </row>
    <row r="150" spans="1:24" ht="11.85" customHeight="1" x14ac:dyDescent="0.25">
      <c r="A150" s="1042" t="s">
        <v>2330</v>
      </c>
      <c r="B150" s="1043"/>
      <c r="C150" s="1043"/>
      <c r="D150" s="1043"/>
      <c r="E150" s="1043"/>
      <c r="F150" s="1043"/>
      <c r="G150" s="1043"/>
      <c r="H150" s="1043"/>
      <c r="I150" s="1043"/>
      <c r="J150" s="1043"/>
      <c r="K150" s="1043"/>
      <c r="L150" s="1043"/>
      <c r="M150" s="1043"/>
      <c r="N150" s="1043"/>
      <c r="O150" s="1043"/>
      <c r="P150" s="1043"/>
      <c r="Q150" s="1044"/>
      <c r="R150" s="884" t="s">
        <v>479</v>
      </c>
      <c r="S150" s="913"/>
      <c r="T150" s="913"/>
      <c r="U150" s="913"/>
      <c r="V150" s="913"/>
      <c r="W150" s="885"/>
      <c r="X150" s="796"/>
    </row>
    <row r="151" spans="1:24" ht="11.1" customHeight="1" x14ac:dyDescent="0.25">
      <c r="A151" s="1042" t="s">
        <v>1364</v>
      </c>
      <c r="B151" s="1043"/>
      <c r="C151" s="1043"/>
      <c r="D151" s="1043"/>
      <c r="E151" s="1043"/>
      <c r="F151" s="1043"/>
      <c r="G151" s="1043"/>
      <c r="H151" s="1043"/>
      <c r="I151" s="1043"/>
      <c r="J151" s="1043"/>
      <c r="K151" s="1043"/>
      <c r="L151" s="1043"/>
      <c r="M151" s="1043"/>
      <c r="N151" s="1043"/>
      <c r="O151" s="1043"/>
      <c r="P151" s="1043"/>
      <c r="Q151" s="1044"/>
      <c r="R151" s="884" t="s">
        <v>479</v>
      </c>
      <c r="S151" s="913"/>
      <c r="T151" s="913"/>
      <c r="U151" s="913"/>
      <c r="V151" s="913"/>
      <c r="W151" s="885"/>
      <c r="X151" s="796"/>
    </row>
    <row r="152" spans="1:24" ht="11.85" customHeight="1" x14ac:dyDescent="0.25">
      <c r="A152" s="1045" t="s">
        <v>1365</v>
      </c>
      <c r="B152" s="1046"/>
      <c r="C152" s="1046"/>
      <c r="D152" s="1046"/>
      <c r="E152" s="1046"/>
      <c r="F152" s="1046"/>
      <c r="G152" s="1046"/>
      <c r="H152" s="1046"/>
      <c r="I152" s="1046"/>
      <c r="J152" s="1046"/>
      <c r="K152" s="1046"/>
      <c r="L152" s="1046"/>
      <c r="M152" s="1046"/>
      <c r="N152" s="1046"/>
      <c r="O152" s="1046"/>
      <c r="P152" s="1046"/>
      <c r="Q152" s="1047"/>
      <c r="R152" s="910">
        <v>57.84</v>
      </c>
      <c r="S152" s="912"/>
      <c r="T152" s="912"/>
      <c r="U152" s="912"/>
      <c r="V152" s="912"/>
      <c r="W152" s="911"/>
      <c r="X152" s="796"/>
    </row>
    <row r="153" spans="1:24" ht="11.85" customHeight="1" x14ac:dyDescent="0.25">
      <c r="A153" s="1039" t="s">
        <v>2331</v>
      </c>
      <c r="B153" s="1040"/>
      <c r="C153" s="1040"/>
      <c r="D153" s="1040"/>
      <c r="E153" s="1040"/>
      <c r="F153" s="1040"/>
      <c r="G153" s="1040"/>
      <c r="H153" s="1040"/>
      <c r="I153" s="1040"/>
      <c r="J153" s="1040"/>
      <c r="K153" s="1040"/>
      <c r="L153" s="1040"/>
      <c r="M153" s="1040"/>
      <c r="N153" s="1040"/>
      <c r="O153" s="1040"/>
      <c r="P153" s="1040"/>
      <c r="Q153" s="1041"/>
      <c r="R153" s="1017" t="s">
        <v>2332</v>
      </c>
      <c r="S153" s="1019"/>
      <c r="T153" s="1019"/>
      <c r="U153" s="1019"/>
      <c r="V153" s="1019"/>
      <c r="W153" s="1018"/>
      <c r="X153" s="796"/>
    </row>
    <row r="154" spans="1:24" ht="11.85" customHeight="1" x14ac:dyDescent="0.25">
      <c r="A154" s="427"/>
      <c r="B154" s="427"/>
      <c r="C154" s="427"/>
      <c r="D154" s="427"/>
      <c r="E154" s="427"/>
      <c r="F154" s="427"/>
      <c r="G154" s="427"/>
      <c r="H154" s="427"/>
      <c r="I154" s="427"/>
      <c r="J154" s="427"/>
      <c r="K154" s="427"/>
      <c r="L154" s="427"/>
      <c r="M154" s="427"/>
      <c r="N154" s="427"/>
      <c r="O154" s="427"/>
      <c r="P154" s="427"/>
      <c r="Q154" s="427"/>
      <c r="R154" s="427"/>
      <c r="S154" s="427"/>
      <c r="T154" s="427"/>
      <c r="U154" s="427"/>
      <c r="V154" s="427"/>
      <c r="W154" s="427"/>
    </row>
    <row r="155" spans="1:24" ht="17.100000000000001" customHeight="1" x14ac:dyDescent="0.25">
      <c r="A155" s="786" t="s">
        <v>1366</v>
      </c>
      <c r="B155" s="892" t="s">
        <v>1367</v>
      </c>
      <c r="C155" s="902"/>
      <c r="D155" s="902"/>
      <c r="E155" s="902"/>
      <c r="F155" s="902"/>
      <c r="G155" s="902"/>
      <c r="H155" s="903"/>
      <c r="I155" s="892" t="s">
        <v>1368</v>
      </c>
      <c r="J155" s="902"/>
      <c r="K155" s="902"/>
      <c r="L155" s="902"/>
      <c r="M155" s="902"/>
      <c r="N155" s="902"/>
      <c r="O155" s="902"/>
      <c r="P155" s="902"/>
      <c r="Q155" s="903"/>
      <c r="R155" s="892" t="s">
        <v>1369</v>
      </c>
      <c r="S155" s="902"/>
      <c r="T155" s="902"/>
      <c r="U155" s="902"/>
      <c r="V155" s="902"/>
      <c r="W155" s="903"/>
      <c r="X155" s="426"/>
    </row>
    <row r="156" spans="1:24" ht="11.85" customHeight="1" x14ac:dyDescent="0.25">
      <c r="A156" s="624" t="s">
        <v>1370</v>
      </c>
      <c r="B156" s="907" t="s">
        <v>2333</v>
      </c>
      <c r="C156" s="909"/>
      <c r="D156" s="909"/>
      <c r="E156" s="909"/>
      <c r="F156" s="909"/>
      <c r="G156" s="909"/>
      <c r="H156" s="908"/>
      <c r="I156" s="907" t="s">
        <v>2332</v>
      </c>
      <c r="J156" s="909"/>
      <c r="K156" s="909"/>
      <c r="L156" s="909"/>
      <c r="M156" s="909"/>
      <c r="N156" s="909"/>
      <c r="O156" s="909"/>
      <c r="P156" s="909"/>
      <c r="Q156" s="908"/>
      <c r="R156" s="907">
        <v>35.700000000000003</v>
      </c>
      <c r="S156" s="909"/>
      <c r="T156" s="909"/>
      <c r="U156" s="909"/>
      <c r="V156" s="909"/>
      <c r="W156" s="908"/>
      <c r="X156" s="796"/>
    </row>
    <row r="157" spans="1:24" ht="11.85" customHeight="1" x14ac:dyDescent="0.25">
      <c r="A157" s="427"/>
      <c r="B157" s="427"/>
      <c r="C157" s="427"/>
      <c r="D157" s="427"/>
      <c r="E157" s="427"/>
      <c r="F157" s="427"/>
      <c r="G157" s="427"/>
      <c r="H157" s="427"/>
      <c r="I157" s="427"/>
      <c r="J157" s="427"/>
      <c r="K157" s="427"/>
      <c r="L157" s="427"/>
      <c r="M157" s="427"/>
      <c r="N157" s="427"/>
      <c r="O157" s="427"/>
      <c r="P157" s="427"/>
      <c r="Q157" s="427"/>
      <c r="R157" s="427"/>
      <c r="S157" s="427"/>
      <c r="T157" s="427"/>
      <c r="U157" s="427"/>
      <c r="V157" s="427"/>
      <c r="W157" s="427"/>
    </row>
    <row r="158" spans="1:24" ht="28.9" customHeight="1" x14ac:dyDescent="0.25">
      <c r="A158" s="787" t="s">
        <v>1371</v>
      </c>
      <c r="B158" s="892" t="s">
        <v>1372</v>
      </c>
      <c r="C158" s="902"/>
      <c r="D158" s="902"/>
      <c r="E158" s="903"/>
      <c r="F158" s="892" t="s">
        <v>1373</v>
      </c>
      <c r="G158" s="902"/>
      <c r="H158" s="903"/>
      <c r="I158" s="892" t="s">
        <v>1374</v>
      </c>
      <c r="J158" s="902"/>
      <c r="K158" s="903"/>
      <c r="L158" s="892" t="s">
        <v>1375</v>
      </c>
      <c r="M158" s="902"/>
      <c r="N158" s="902"/>
      <c r="O158" s="902"/>
      <c r="P158" s="902"/>
      <c r="Q158" s="903"/>
      <c r="R158" s="892" t="s">
        <v>1376</v>
      </c>
      <c r="S158" s="902"/>
      <c r="T158" s="902"/>
      <c r="U158" s="902"/>
      <c r="V158" s="902"/>
      <c r="W158" s="903"/>
      <c r="X158" s="426"/>
    </row>
    <row r="159" spans="1:24" ht="11.85" customHeight="1" x14ac:dyDescent="0.25">
      <c r="A159" s="807" t="s">
        <v>1377</v>
      </c>
      <c r="B159" s="914" t="s">
        <v>1378</v>
      </c>
      <c r="C159" s="916"/>
      <c r="D159" s="916"/>
      <c r="E159" s="915"/>
      <c r="F159" s="914" t="s">
        <v>2334</v>
      </c>
      <c r="G159" s="916"/>
      <c r="H159" s="915"/>
      <c r="I159" s="914" t="s">
        <v>2335</v>
      </c>
      <c r="J159" s="916"/>
      <c r="K159" s="915"/>
      <c r="L159" s="914">
        <v>57.84</v>
      </c>
      <c r="M159" s="916"/>
      <c r="N159" s="916"/>
      <c r="O159" s="916"/>
      <c r="P159" s="916"/>
      <c r="Q159" s="915"/>
      <c r="R159" s="914" t="s">
        <v>2336</v>
      </c>
      <c r="S159" s="916"/>
      <c r="T159" s="916"/>
      <c r="U159" s="916"/>
      <c r="V159" s="916"/>
      <c r="W159" s="915"/>
      <c r="X159" s="796"/>
    </row>
    <row r="160" spans="1:24" ht="11.85" customHeight="1" x14ac:dyDescent="0.25">
      <c r="A160" s="808" t="s">
        <v>1379</v>
      </c>
      <c r="B160" s="884" t="s">
        <v>1380</v>
      </c>
      <c r="C160" s="913"/>
      <c r="D160" s="913"/>
      <c r="E160" s="885"/>
      <c r="F160" s="884" t="s">
        <v>2334</v>
      </c>
      <c r="G160" s="913"/>
      <c r="H160" s="885"/>
      <c r="I160" s="884" t="s">
        <v>2337</v>
      </c>
      <c r="J160" s="913"/>
      <c r="K160" s="885"/>
      <c r="L160" s="884" t="s">
        <v>479</v>
      </c>
      <c r="M160" s="913"/>
      <c r="N160" s="913"/>
      <c r="O160" s="913"/>
      <c r="P160" s="913"/>
      <c r="Q160" s="885"/>
      <c r="R160" s="884" t="s">
        <v>2338</v>
      </c>
      <c r="S160" s="913"/>
      <c r="T160" s="913"/>
      <c r="U160" s="913"/>
      <c r="V160" s="913"/>
      <c r="W160" s="885"/>
      <c r="X160" s="796"/>
    </row>
    <row r="161" spans="1:24" ht="11.1" customHeight="1" x14ac:dyDescent="0.25">
      <c r="A161" s="808" t="s">
        <v>1381</v>
      </c>
      <c r="B161" s="884" t="s">
        <v>1382</v>
      </c>
      <c r="C161" s="913"/>
      <c r="D161" s="913"/>
      <c r="E161" s="885"/>
      <c r="F161" s="884" t="s">
        <v>479</v>
      </c>
      <c r="G161" s="913"/>
      <c r="H161" s="885"/>
      <c r="I161" s="884" t="s">
        <v>1383</v>
      </c>
      <c r="J161" s="913"/>
      <c r="K161" s="885"/>
      <c r="L161" s="884">
        <v>57.84</v>
      </c>
      <c r="M161" s="913"/>
      <c r="N161" s="913"/>
      <c r="O161" s="913"/>
      <c r="P161" s="913"/>
      <c r="Q161" s="885"/>
      <c r="R161" s="884" t="s">
        <v>1384</v>
      </c>
      <c r="S161" s="913"/>
      <c r="T161" s="913"/>
      <c r="U161" s="913"/>
      <c r="V161" s="913"/>
      <c r="W161" s="885"/>
      <c r="X161" s="796"/>
    </row>
    <row r="162" spans="1:24" ht="11.85" customHeight="1" x14ac:dyDescent="0.25">
      <c r="A162" s="802" t="s">
        <v>1385</v>
      </c>
      <c r="B162" s="910" t="s">
        <v>479</v>
      </c>
      <c r="C162" s="912"/>
      <c r="D162" s="912"/>
      <c r="E162" s="911"/>
      <c r="F162" s="910" t="s">
        <v>479</v>
      </c>
      <c r="G162" s="912"/>
      <c r="H162" s="911"/>
      <c r="I162" s="910" t="s">
        <v>479</v>
      </c>
      <c r="J162" s="912"/>
      <c r="K162" s="911"/>
      <c r="L162" s="910" t="s">
        <v>479</v>
      </c>
      <c r="M162" s="912"/>
      <c r="N162" s="912"/>
      <c r="O162" s="912"/>
      <c r="P162" s="912"/>
      <c r="Q162" s="911"/>
      <c r="R162" s="910" t="s">
        <v>479</v>
      </c>
      <c r="S162" s="912"/>
      <c r="T162" s="912"/>
      <c r="U162" s="912"/>
      <c r="V162" s="912"/>
      <c r="W162" s="911"/>
      <c r="X162" s="796"/>
    </row>
    <row r="163" spans="1:24" ht="11.85" customHeight="1" x14ac:dyDescent="0.25">
      <c r="A163" s="427"/>
      <c r="B163" s="427"/>
      <c r="C163" s="427"/>
      <c r="D163" s="427"/>
      <c r="E163" s="427"/>
      <c r="F163" s="427"/>
      <c r="G163" s="427"/>
      <c r="H163" s="427"/>
      <c r="I163" s="427"/>
      <c r="J163" s="427"/>
      <c r="K163" s="427"/>
      <c r="L163" s="427"/>
      <c r="M163" s="427"/>
      <c r="N163" s="427"/>
      <c r="O163" s="427"/>
      <c r="P163" s="427"/>
      <c r="Q163" s="427"/>
      <c r="R163" s="427"/>
      <c r="S163" s="427"/>
      <c r="T163" s="427"/>
      <c r="U163" s="427"/>
      <c r="V163" s="427"/>
      <c r="W163" s="427"/>
    </row>
    <row r="164" spans="1:24" ht="11.85" customHeight="1" x14ac:dyDescent="0.25">
      <c r="A164" s="1025" t="s">
        <v>1386</v>
      </c>
      <c r="B164" s="1026"/>
      <c r="C164" s="1026"/>
      <c r="D164" s="1026"/>
      <c r="E164" s="1026"/>
      <c r="F164" s="1026"/>
      <c r="G164" s="1026"/>
      <c r="H164" s="1026"/>
      <c r="I164" s="1026"/>
      <c r="J164" s="1026"/>
      <c r="K164" s="1026"/>
      <c r="L164" s="1026"/>
      <c r="M164" s="1026"/>
      <c r="N164" s="1026"/>
      <c r="O164" s="1026"/>
      <c r="P164" s="1026"/>
      <c r="Q164" s="1026"/>
      <c r="R164" s="1026"/>
      <c r="S164" s="1026"/>
      <c r="T164" s="1026"/>
      <c r="U164" s="1026"/>
      <c r="V164" s="1026"/>
      <c r="W164" s="1027"/>
      <c r="X164" s="426"/>
    </row>
    <row r="165" spans="1:24" ht="28.9" customHeight="1" x14ac:dyDescent="0.25">
      <c r="A165" s="786" t="s">
        <v>1387</v>
      </c>
      <c r="B165" s="892" t="s">
        <v>927</v>
      </c>
      <c r="C165" s="902"/>
      <c r="D165" s="902"/>
      <c r="E165" s="902"/>
      <c r="F165" s="902"/>
      <c r="G165" s="902"/>
      <c r="H165" s="903"/>
      <c r="I165" s="892" t="s">
        <v>928</v>
      </c>
      <c r="J165" s="902"/>
      <c r="K165" s="902"/>
      <c r="L165" s="902"/>
      <c r="M165" s="902"/>
      <c r="N165" s="902"/>
      <c r="O165" s="902"/>
      <c r="P165" s="902"/>
      <c r="Q165" s="902"/>
      <c r="R165" s="902"/>
      <c r="S165" s="902"/>
      <c r="T165" s="902"/>
      <c r="U165" s="902"/>
      <c r="V165" s="902"/>
      <c r="W165" s="903"/>
      <c r="X165" s="426"/>
    </row>
    <row r="166" spans="1:24" ht="14.85" customHeight="1" x14ac:dyDescent="0.25">
      <c r="A166" s="824" t="s">
        <v>1388</v>
      </c>
      <c r="B166" s="886" t="s">
        <v>2339</v>
      </c>
      <c r="C166" s="888"/>
      <c r="D166" s="888"/>
      <c r="E166" s="888"/>
      <c r="F166" s="888"/>
      <c r="G166" s="888"/>
      <c r="H166" s="887"/>
      <c r="I166" s="886" t="s">
        <v>2340</v>
      </c>
      <c r="J166" s="888"/>
      <c r="K166" s="888"/>
      <c r="L166" s="888"/>
      <c r="M166" s="888"/>
      <c r="N166" s="888"/>
      <c r="O166" s="888"/>
      <c r="P166" s="888"/>
      <c r="Q166" s="888"/>
      <c r="R166" s="888"/>
      <c r="S166" s="888"/>
      <c r="T166" s="888"/>
      <c r="U166" s="888"/>
      <c r="V166" s="888"/>
      <c r="W166" s="887"/>
      <c r="X166" s="426"/>
    </row>
    <row r="167" spans="1:24" ht="14.1" customHeight="1" x14ac:dyDescent="0.25">
      <c r="A167" s="822" t="s">
        <v>1389</v>
      </c>
      <c r="B167" s="881" t="s">
        <v>2341</v>
      </c>
      <c r="C167" s="882"/>
      <c r="D167" s="882"/>
      <c r="E167" s="882"/>
      <c r="F167" s="882"/>
      <c r="G167" s="882"/>
      <c r="H167" s="883"/>
      <c r="I167" s="881" t="s">
        <v>2342</v>
      </c>
      <c r="J167" s="882"/>
      <c r="K167" s="882"/>
      <c r="L167" s="882"/>
      <c r="M167" s="882"/>
      <c r="N167" s="882"/>
      <c r="O167" s="882"/>
      <c r="P167" s="882"/>
      <c r="Q167" s="882"/>
      <c r="R167" s="882"/>
      <c r="S167" s="882"/>
      <c r="T167" s="882"/>
      <c r="U167" s="882"/>
      <c r="V167" s="882"/>
      <c r="W167" s="883"/>
      <c r="X167" s="426"/>
    </row>
    <row r="168" spans="1:24" ht="14.85" customHeight="1" x14ac:dyDescent="0.25">
      <c r="A168" s="822" t="s">
        <v>1390</v>
      </c>
      <c r="B168" s="881" t="s">
        <v>2343</v>
      </c>
      <c r="C168" s="882"/>
      <c r="D168" s="882"/>
      <c r="E168" s="882"/>
      <c r="F168" s="882"/>
      <c r="G168" s="882"/>
      <c r="H168" s="883"/>
      <c r="I168" s="881" t="s">
        <v>2344</v>
      </c>
      <c r="J168" s="882"/>
      <c r="K168" s="882"/>
      <c r="L168" s="882"/>
      <c r="M168" s="882"/>
      <c r="N168" s="882"/>
      <c r="O168" s="882"/>
      <c r="P168" s="882"/>
      <c r="Q168" s="882"/>
      <c r="R168" s="882"/>
      <c r="S168" s="882"/>
      <c r="T168" s="882"/>
      <c r="U168" s="882"/>
      <c r="V168" s="882"/>
      <c r="W168" s="883"/>
      <c r="X168" s="426"/>
    </row>
    <row r="169" spans="1:24" ht="14.85" customHeight="1" x14ac:dyDescent="0.25">
      <c r="A169" s="822" t="s">
        <v>1391</v>
      </c>
      <c r="B169" s="881" t="s">
        <v>1392</v>
      </c>
      <c r="C169" s="882"/>
      <c r="D169" s="882"/>
      <c r="E169" s="882"/>
      <c r="F169" s="882"/>
      <c r="G169" s="882"/>
      <c r="H169" s="883"/>
      <c r="I169" s="881" t="s">
        <v>2345</v>
      </c>
      <c r="J169" s="882"/>
      <c r="K169" s="882"/>
      <c r="L169" s="882"/>
      <c r="M169" s="882"/>
      <c r="N169" s="882"/>
      <c r="O169" s="882"/>
      <c r="P169" s="882"/>
      <c r="Q169" s="882"/>
      <c r="R169" s="882"/>
      <c r="S169" s="882"/>
      <c r="T169" s="882"/>
      <c r="U169" s="882"/>
      <c r="V169" s="882"/>
      <c r="W169" s="883"/>
      <c r="X169" s="426"/>
    </row>
    <row r="170" spans="1:24" ht="14.1" customHeight="1" x14ac:dyDescent="0.25">
      <c r="A170" s="822" t="s">
        <v>1393</v>
      </c>
      <c r="B170" s="881" t="s">
        <v>1394</v>
      </c>
      <c r="C170" s="882"/>
      <c r="D170" s="882"/>
      <c r="E170" s="882"/>
      <c r="F170" s="882"/>
      <c r="G170" s="882"/>
      <c r="H170" s="883"/>
      <c r="I170" s="881" t="s">
        <v>2346</v>
      </c>
      <c r="J170" s="882"/>
      <c r="K170" s="882"/>
      <c r="L170" s="882"/>
      <c r="M170" s="882"/>
      <c r="N170" s="882"/>
      <c r="O170" s="882"/>
      <c r="P170" s="882"/>
      <c r="Q170" s="882"/>
      <c r="R170" s="882"/>
      <c r="S170" s="882"/>
      <c r="T170" s="882"/>
      <c r="U170" s="882"/>
      <c r="V170" s="882"/>
      <c r="W170" s="883"/>
      <c r="X170" s="426"/>
    </row>
    <row r="171" spans="1:24" ht="14.85" customHeight="1" x14ac:dyDescent="0.25">
      <c r="A171" s="822" t="s">
        <v>1395</v>
      </c>
      <c r="B171" s="881" t="s">
        <v>2347</v>
      </c>
      <c r="C171" s="882"/>
      <c r="D171" s="882"/>
      <c r="E171" s="882"/>
      <c r="F171" s="882"/>
      <c r="G171" s="882"/>
      <c r="H171" s="883"/>
      <c r="I171" s="881" t="s">
        <v>2348</v>
      </c>
      <c r="J171" s="882"/>
      <c r="K171" s="882"/>
      <c r="L171" s="882"/>
      <c r="M171" s="882"/>
      <c r="N171" s="882"/>
      <c r="O171" s="882"/>
      <c r="P171" s="882"/>
      <c r="Q171" s="882"/>
      <c r="R171" s="882"/>
      <c r="S171" s="882"/>
      <c r="T171" s="882"/>
      <c r="U171" s="882"/>
      <c r="V171" s="882"/>
      <c r="W171" s="883"/>
      <c r="X171" s="426"/>
    </row>
    <row r="172" spans="1:24" ht="14.85" customHeight="1" x14ac:dyDescent="0.25">
      <c r="A172" s="822" t="s">
        <v>1396</v>
      </c>
      <c r="B172" s="881" t="s">
        <v>1397</v>
      </c>
      <c r="C172" s="882"/>
      <c r="D172" s="882"/>
      <c r="E172" s="882"/>
      <c r="F172" s="882"/>
      <c r="G172" s="882"/>
      <c r="H172" s="883"/>
      <c r="I172" s="881" t="s">
        <v>2349</v>
      </c>
      <c r="J172" s="882"/>
      <c r="K172" s="882"/>
      <c r="L172" s="882"/>
      <c r="M172" s="882"/>
      <c r="N172" s="882"/>
      <c r="O172" s="882"/>
      <c r="P172" s="882"/>
      <c r="Q172" s="882"/>
      <c r="R172" s="882"/>
      <c r="S172" s="882"/>
      <c r="T172" s="882"/>
      <c r="U172" s="882"/>
      <c r="V172" s="882"/>
      <c r="W172" s="883"/>
      <c r="X172" s="426"/>
    </row>
    <row r="173" spans="1:24" ht="14.85" customHeight="1" x14ac:dyDescent="0.25">
      <c r="A173" s="822" t="s">
        <v>1398</v>
      </c>
      <c r="B173" s="881" t="s">
        <v>1399</v>
      </c>
      <c r="C173" s="882"/>
      <c r="D173" s="882"/>
      <c r="E173" s="882"/>
      <c r="F173" s="882"/>
      <c r="G173" s="882"/>
      <c r="H173" s="883"/>
      <c r="I173" s="881" t="s">
        <v>2350</v>
      </c>
      <c r="J173" s="882"/>
      <c r="K173" s="882"/>
      <c r="L173" s="882"/>
      <c r="M173" s="882"/>
      <c r="N173" s="882"/>
      <c r="O173" s="882"/>
      <c r="P173" s="882"/>
      <c r="Q173" s="882"/>
      <c r="R173" s="882"/>
      <c r="S173" s="882"/>
      <c r="T173" s="882"/>
      <c r="U173" s="882"/>
      <c r="V173" s="882"/>
      <c r="W173" s="883"/>
      <c r="X173" s="426"/>
    </row>
    <row r="174" spans="1:24" ht="14.1" customHeight="1" x14ac:dyDescent="0.25">
      <c r="A174" s="822" t="s">
        <v>1400</v>
      </c>
      <c r="B174" s="881" t="s">
        <v>479</v>
      </c>
      <c r="C174" s="882"/>
      <c r="D174" s="882"/>
      <c r="E174" s="882"/>
      <c r="F174" s="882"/>
      <c r="G174" s="882"/>
      <c r="H174" s="883"/>
      <c r="I174" s="881" t="s">
        <v>479</v>
      </c>
      <c r="J174" s="882"/>
      <c r="K174" s="882"/>
      <c r="L174" s="882"/>
      <c r="M174" s="882"/>
      <c r="N174" s="882"/>
      <c r="O174" s="882"/>
      <c r="P174" s="882"/>
      <c r="Q174" s="882"/>
      <c r="R174" s="882"/>
      <c r="S174" s="882"/>
      <c r="T174" s="882"/>
      <c r="U174" s="882"/>
      <c r="V174" s="882"/>
      <c r="W174" s="883"/>
      <c r="X174" s="426"/>
    </row>
    <row r="175" spans="1:24" ht="11.85" customHeight="1" x14ac:dyDescent="0.25">
      <c r="A175" s="975" t="s">
        <v>2251</v>
      </c>
      <c r="B175" s="975"/>
      <c r="C175" s="975"/>
      <c r="D175" s="975"/>
      <c r="E175" s="975"/>
      <c r="F175" s="975"/>
      <c r="G175" s="975"/>
      <c r="H175" s="975"/>
      <c r="I175" s="975"/>
      <c r="J175" s="975"/>
      <c r="K175" s="975"/>
      <c r="L175" s="975"/>
      <c r="M175" s="975"/>
      <c r="N175" s="975"/>
      <c r="O175" s="975"/>
      <c r="P175" s="975"/>
      <c r="Q175" s="975"/>
      <c r="R175" s="975"/>
      <c r="S175" s="975"/>
      <c r="T175" s="975"/>
      <c r="U175" s="975"/>
      <c r="V175" s="975"/>
      <c r="W175" s="975"/>
    </row>
    <row r="176" spans="1:24" ht="11.85" customHeight="1" x14ac:dyDescent="0.25">
      <c r="A176" s="904" t="s">
        <v>539</v>
      </c>
      <c r="B176" s="904"/>
      <c r="C176" s="904"/>
      <c r="W176" s="805" t="s">
        <v>1401</v>
      </c>
    </row>
    <row r="177" spans="1:24" ht="11.1" customHeight="1" x14ac:dyDescent="0.25">
      <c r="A177" s="904" t="s">
        <v>707</v>
      </c>
      <c r="B177" s="904"/>
      <c r="C177" s="904"/>
    </row>
    <row r="178" spans="1:24" ht="11.85" customHeight="1" x14ac:dyDescent="0.25">
      <c r="A178" s="905" t="s">
        <v>1218</v>
      </c>
      <c r="B178" s="905"/>
      <c r="C178" s="905"/>
      <c r="D178" s="905"/>
      <c r="E178" s="905"/>
      <c r="F178" s="905"/>
      <c r="G178" s="905"/>
      <c r="H178" s="905"/>
      <c r="I178" s="905"/>
      <c r="J178" s="905"/>
      <c r="K178" s="905"/>
      <c r="L178" s="905"/>
      <c r="M178" s="905"/>
      <c r="N178" s="905"/>
      <c r="O178" s="905"/>
      <c r="P178" s="905"/>
    </row>
    <row r="179" spans="1:24" ht="11.85" customHeight="1" x14ac:dyDescent="0.25">
      <c r="A179" s="904" t="s">
        <v>922</v>
      </c>
      <c r="B179" s="904"/>
      <c r="C179" s="904"/>
    </row>
    <row r="180" spans="1:24" ht="11.85" customHeight="1" x14ac:dyDescent="0.25">
      <c r="A180" s="904" t="s">
        <v>1852</v>
      </c>
      <c r="B180" s="904"/>
      <c r="C180" s="904"/>
    </row>
    <row r="181" spans="1:24" ht="5.85" customHeight="1" x14ac:dyDescent="0.25"/>
    <row r="182" spans="1:24" ht="11.1" customHeight="1" x14ac:dyDescent="0.25">
      <c r="A182" s="906" t="s">
        <v>1219</v>
      </c>
      <c r="B182" s="906"/>
      <c r="C182" s="906"/>
      <c r="D182" s="425"/>
      <c r="E182" s="425"/>
      <c r="F182" s="425"/>
      <c r="G182" s="425"/>
      <c r="H182" s="425"/>
      <c r="I182" s="425"/>
      <c r="J182" s="425"/>
      <c r="K182" s="425"/>
      <c r="L182" s="425"/>
      <c r="M182" s="425"/>
      <c r="N182" s="425"/>
      <c r="O182" s="425"/>
      <c r="P182" s="981" t="s">
        <v>471</v>
      </c>
      <c r="Q182" s="981"/>
      <c r="R182" s="981"/>
      <c r="S182" s="981"/>
      <c r="T182" s="981"/>
      <c r="U182" s="981"/>
      <c r="V182" s="981"/>
      <c r="W182" s="981"/>
    </row>
    <row r="183" spans="1:24" ht="11.85" customHeight="1" x14ac:dyDescent="0.25">
      <c r="A183" s="1025" t="s">
        <v>1386</v>
      </c>
      <c r="B183" s="1026"/>
      <c r="C183" s="1026"/>
      <c r="D183" s="1026"/>
      <c r="E183" s="1026"/>
      <c r="F183" s="1026"/>
      <c r="G183" s="1026"/>
      <c r="H183" s="1026"/>
      <c r="I183" s="1026"/>
      <c r="J183" s="1026"/>
      <c r="K183" s="1026"/>
      <c r="L183" s="1026"/>
      <c r="M183" s="1026"/>
      <c r="N183" s="1026"/>
      <c r="O183" s="1026"/>
      <c r="P183" s="1026"/>
      <c r="Q183" s="1026"/>
      <c r="R183" s="1026"/>
      <c r="S183" s="1026"/>
      <c r="T183" s="1026"/>
      <c r="U183" s="1026"/>
      <c r="V183" s="1026"/>
      <c r="W183" s="1027"/>
      <c r="X183" s="426"/>
    </row>
    <row r="184" spans="1:24" ht="28.9" customHeight="1" x14ac:dyDescent="0.25">
      <c r="A184" s="786" t="s">
        <v>1387</v>
      </c>
      <c r="B184" s="892" t="s">
        <v>927</v>
      </c>
      <c r="C184" s="902"/>
      <c r="D184" s="902"/>
      <c r="E184" s="902"/>
      <c r="F184" s="902"/>
      <c r="G184" s="902"/>
      <c r="H184" s="903"/>
      <c r="I184" s="892" t="s">
        <v>928</v>
      </c>
      <c r="J184" s="902"/>
      <c r="K184" s="902"/>
      <c r="L184" s="902"/>
      <c r="M184" s="902"/>
      <c r="N184" s="902"/>
      <c r="O184" s="902"/>
      <c r="P184" s="902"/>
      <c r="Q184" s="902"/>
      <c r="R184" s="902"/>
      <c r="S184" s="902"/>
      <c r="T184" s="902"/>
      <c r="U184" s="902"/>
      <c r="V184" s="902"/>
      <c r="W184" s="903"/>
      <c r="X184" s="426"/>
    </row>
    <row r="185" spans="1:24" ht="14.85" customHeight="1" x14ac:dyDescent="0.25">
      <c r="A185" s="824" t="s">
        <v>1402</v>
      </c>
      <c r="B185" s="886" t="s">
        <v>479</v>
      </c>
      <c r="C185" s="888"/>
      <c r="D185" s="888"/>
      <c r="E185" s="888"/>
      <c r="F185" s="888"/>
      <c r="G185" s="888"/>
      <c r="H185" s="887"/>
      <c r="I185" s="886" t="s">
        <v>479</v>
      </c>
      <c r="J185" s="888"/>
      <c r="K185" s="888"/>
      <c r="L185" s="888"/>
      <c r="M185" s="888"/>
      <c r="N185" s="888"/>
      <c r="O185" s="888"/>
      <c r="P185" s="888"/>
      <c r="Q185" s="888"/>
      <c r="R185" s="888"/>
      <c r="S185" s="888"/>
      <c r="T185" s="888"/>
      <c r="U185" s="888"/>
      <c r="V185" s="888"/>
      <c r="W185" s="887"/>
      <c r="X185" s="426"/>
    </row>
    <row r="186" spans="1:24" ht="14.85" customHeight="1" x14ac:dyDescent="0.25">
      <c r="A186" s="821" t="s">
        <v>1403</v>
      </c>
      <c r="B186" s="917" t="s">
        <v>1404</v>
      </c>
      <c r="C186" s="919"/>
      <c r="D186" s="919"/>
      <c r="E186" s="919"/>
      <c r="F186" s="919"/>
      <c r="G186" s="919"/>
      <c r="H186" s="918"/>
      <c r="I186" s="917" t="s">
        <v>2351</v>
      </c>
      <c r="J186" s="919"/>
      <c r="K186" s="919"/>
      <c r="L186" s="919"/>
      <c r="M186" s="919"/>
      <c r="N186" s="919"/>
      <c r="O186" s="919"/>
      <c r="P186" s="919"/>
      <c r="Q186" s="919"/>
      <c r="R186" s="919"/>
      <c r="S186" s="919"/>
      <c r="T186" s="919"/>
      <c r="U186" s="919"/>
      <c r="V186" s="919"/>
      <c r="W186" s="918"/>
      <c r="X186" s="426"/>
    </row>
    <row r="187" spans="1:24" ht="11.85" customHeight="1" x14ac:dyDescent="0.25">
      <c r="A187" s="427"/>
      <c r="B187" s="427"/>
      <c r="C187" s="427"/>
      <c r="D187" s="427"/>
      <c r="E187" s="427"/>
      <c r="F187" s="427"/>
      <c r="G187" s="427"/>
      <c r="H187" s="427"/>
      <c r="I187" s="427"/>
      <c r="J187" s="427"/>
      <c r="K187" s="427"/>
      <c r="L187" s="427"/>
      <c r="M187" s="427"/>
      <c r="N187" s="427"/>
      <c r="O187" s="427"/>
      <c r="P187" s="427"/>
      <c r="Q187" s="427"/>
      <c r="R187" s="427"/>
      <c r="S187" s="427"/>
      <c r="T187" s="427"/>
      <c r="U187" s="427"/>
      <c r="V187" s="427"/>
      <c r="W187" s="427"/>
    </row>
    <row r="188" spans="1:24" ht="34.700000000000003" customHeight="1" x14ac:dyDescent="0.25">
      <c r="A188" s="787" t="s">
        <v>1405</v>
      </c>
      <c r="B188" s="892" t="s">
        <v>962</v>
      </c>
      <c r="C188" s="902"/>
      <c r="D188" s="902"/>
      <c r="E188" s="903"/>
      <c r="F188" s="892" t="s">
        <v>963</v>
      </c>
      <c r="G188" s="902"/>
      <c r="H188" s="903"/>
      <c r="I188" s="892" t="s">
        <v>964</v>
      </c>
      <c r="J188" s="902"/>
      <c r="K188" s="903"/>
      <c r="L188" s="892" t="s">
        <v>965</v>
      </c>
      <c r="M188" s="902"/>
      <c r="N188" s="902"/>
      <c r="O188" s="902"/>
      <c r="P188" s="902"/>
      <c r="Q188" s="903"/>
      <c r="R188" s="892" t="s">
        <v>1280</v>
      </c>
      <c r="S188" s="902"/>
      <c r="T188" s="902"/>
      <c r="U188" s="902"/>
      <c r="V188" s="902"/>
      <c r="W188" s="903"/>
      <c r="X188" s="426"/>
    </row>
    <row r="189" spans="1:24" ht="11.85" customHeight="1" x14ac:dyDescent="0.25">
      <c r="A189" s="807" t="s">
        <v>1406</v>
      </c>
      <c r="B189" s="914" t="s">
        <v>2352</v>
      </c>
      <c r="C189" s="916"/>
      <c r="D189" s="916"/>
      <c r="E189" s="915"/>
      <c r="F189" s="914" t="s">
        <v>2353</v>
      </c>
      <c r="G189" s="916"/>
      <c r="H189" s="915"/>
      <c r="I189" s="914" t="s">
        <v>2354</v>
      </c>
      <c r="J189" s="916"/>
      <c r="K189" s="915"/>
      <c r="L189" s="914" t="s">
        <v>2355</v>
      </c>
      <c r="M189" s="916"/>
      <c r="N189" s="916"/>
      <c r="O189" s="916"/>
      <c r="P189" s="916"/>
      <c r="Q189" s="915"/>
      <c r="R189" s="914" t="s">
        <v>479</v>
      </c>
      <c r="S189" s="916"/>
      <c r="T189" s="916"/>
      <c r="U189" s="916"/>
      <c r="V189" s="916"/>
      <c r="W189" s="915"/>
      <c r="X189" s="796"/>
    </row>
    <row r="190" spans="1:24" ht="11.1" customHeight="1" x14ac:dyDescent="0.25">
      <c r="A190" s="808" t="s">
        <v>1407</v>
      </c>
      <c r="B190" s="884" t="s">
        <v>2356</v>
      </c>
      <c r="C190" s="913"/>
      <c r="D190" s="913"/>
      <c r="E190" s="885"/>
      <c r="F190" s="884" t="s">
        <v>2357</v>
      </c>
      <c r="G190" s="913"/>
      <c r="H190" s="885"/>
      <c r="I190" s="884" t="s">
        <v>2358</v>
      </c>
      <c r="J190" s="913"/>
      <c r="K190" s="885"/>
      <c r="L190" s="884" t="s">
        <v>2359</v>
      </c>
      <c r="M190" s="913"/>
      <c r="N190" s="913"/>
      <c r="O190" s="913"/>
      <c r="P190" s="913"/>
      <c r="Q190" s="885"/>
      <c r="R190" s="884" t="s">
        <v>479</v>
      </c>
      <c r="S190" s="913"/>
      <c r="T190" s="913"/>
      <c r="U190" s="913"/>
      <c r="V190" s="913"/>
      <c r="W190" s="885"/>
      <c r="X190" s="796"/>
    </row>
    <row r="191" spans="1:24" ht="11.85" customHeight="1" x14ac:dyDescent="0.25">
      <c r="A191" s="808" t="s">
        <v>1408</v>
      </c>
      <c r="B191" s="884" t="s">
        <v>2360</v>
      </c>
      <c r="C191" s="913"/>
      <c r="D191" s="913"/>
      <c r="E191" s="885"/>
      <c r="F191" s="884" t="s">
        <v>2361</v>
      </c>
      <c r="G191" s="913"/>
      <c r="H191" s="885"/>
      <c r="I191" s="884" t="s">
        <v>2362</v>
      </c>
      <c r="J191" s="913"/>
      <c r="K191" s="885"/>
      <c r="L191" s="884" t="s">
        <v>2363</v>
      </c>
      <c r="M191" s="913"/>
      <c r="N191" s="913"/>
      <c r="O191" s="913"/>
      <c r="P191" s="913"/>
      <c r="Q191" s="885"/>
      <c r="R191" s="884" t="s">
        <v>479</v>
      </c>
      <c r="S191" s="913"/>
      <c r="T191" s="913"/>
      <c r="U191" s="913"/>
      <c r="V191" s="913"/>
      <c r="W191" s="885"/>
      <c r="X191" s="796"/>
    </row>
    <row r="192" spans="1:24" ht="11.85" customHeight="1" x14ac:dyDescent="0.25">
      <c r="A192" s="808" t="s">
        <v>1409</v>
      </c>
      <c r="B192" s="884" t="s">
        <v>1410</v>
      </c>
      <c r="C192" s="913"/>
      <c r="D192" s="913"/>
      <c r="E192" s="885"/>
      <c r="F192" s="884" t="s">
        <v>2364</v>
      </c>
      <c r="G192" s="913"/>
      <c r="H192" s="885"/>
      <c r="I192" s="884" t="s">
        <v>2365</v>
      </c>
      <c r="J192" s="913"/>
      <c r="K192" s="885"/>
      <c r="L192" s="884" t="s">
        <v>2366</v>
      </c>
      <c r="M192" s="913"/>
      <c r="N192" s="913"/>
      <c r="O192" s="913"/>
      <c r="P192" s="913"/>
      <c r="Q192" s="885"/>
      <c r="R192" s="884" t="s">
        <v>479</v>
      </c>
      <c r="S192" s="913"/>
      <c r="T192" s="913"/>
      <c r="U192" s="913"/>
      <c r="V192" s="913"/>
      <c r="W192" s="885"/>
      <c r="X192" s="796"/>
    </row>
    <row r="193" spans="1:24" ht="11.85" customHeight="1" x14ac:dyDescent="0.25">
      <c r="A193" s="808" t="s">
        <v>1411</v>
      </c>
      <c r="B193" s="884" t="s">
        <v>479</v>
      </c>
      <c r="C193" s="913"/>
      <c r="D193" s="913"/>
      <c r="E193" s="885"/>
      <c r="F193" s="884" t="s">
        <v>479</v>
      </c>
      <c r="G193" s="913"/>
      <c r="H193" s="885"/>
      <c r="I193" s="884" t="s">
        <v>479</v>
      </c>
      <c r="J193" s="913"/>
      <c r="K193" s="885"/>
      <c r="L193" s="884" t="s">
        <v>479</v>
      </c>
      <c r="M193" s="913"/>
      <c r="N193" s="913"/>
      <c r="O193" s="913"/>
      <c r="P193" s="913"/>
      <c r="Q193" s="885"/>
      <c r="R193" s="884" t="s">
        <v>479</v>
      </c>
      <c r="S193" s="913"/>
      <c r="T193" s="913"/>
      <c r="U193" s="913"/>
      <c r="V193" s="913"/>
      <c r="W193" s="885"/>
      <c r="X193" s="796"/>
    </row>
    <row r="194" spans="1:24" ht="11.1" customHeight="1" x14ac:dyDescent="0.25">
      <c r="A194" s="808" t="s">
        <v>1412</v>
      </c>
      <c r="B194" s="884" t="s">
        <v>479</v>
      </c>
      <c r="C194" s="913"/>
      <c r="D194" s="913"/>
      <c r="E194" s="885"/>
      <c r="F194" s="884" t="s">
        <v>479</v>
      </c>
      <c r="G194" s="913"/>
      <c r="H194" s="885"/>
      <c r="I194" s="884" t="s">
        <v>479</v>
      </c>
      <c r="J194" s="913"/>
      <c r="K194" s="885"/>
      <c r="L194" s="884" t="s">
        <v>479</v>
      </c>
      <c r="M194" s="913"/>
      <c r="N194" s="913"/>
      <c r="O194" s="913"/>
      <c r="P194" s="913"/>
      <c r="Q194" s="885"/>
      <c r="R194" s="884" t="s">
        <v>479</v>
      </c>
      <c r="S194" s="913"/>
      <c r="T194" s="913"/>
      <c r="U194" s="913"/>
      <c r="V194" s="913"/>
      <c r="W194" s="885"/>
      <c r="X194" s="796"/>
    </row>
    <row r="195" spans="1:24" ht="11.85" customHeight="1" x14ac:dyDescent="0.25">
      <c r="A195" s="808" t="s">
        <v>1413</v>
      </c>
      <c r="B195" s="884" t="s">
        <v>1414</v>
      </c>
      <c r="C195" s="913"/>
      <c r="D195" s="913"/>
      <c r="E195" s="885"/>
      <c r="F195" s="884" t="s">
        <v>2367</v>
      </c>
      <c r="G195" s="913"/>
      <c r="H195" s="885"/>
      <c r="I195" s="884" t="s">
        <v>2367</v>
      </c>
      <c r="J195" s="913"/>
      <c r="K195" s="885"/>
      <c r="L195" s="884" t="s">
        <v>2367</v>
      </c>
      <c r="M195" s="913"/>
      <c r="N195" s="913"/>
      <c r="O195" s="913"/>
      <c r="P195" s="913"/>
      <c r="Q195" s="885"/>
      <c r="R195" s="884" t="s">
        <v>479</v>
      </c>
      <c r="S195" s="913"/>
      <c r="T195" s="913"/>
      <c r="U195" s="913"/>
      <c r="V195" s="913"/>
      <c r="W195" s="885"/>
      <c r="X195" s="796"/>
    </row>
    <row r="196" spans="1:24" ht="11.85" customHeight="1" x14ac:dyDescent="0.25">
      <c r="A196" s="808" t="s">
        <v>1415</v>
      </c>
      <c r="B196" s="884" t="s">
        <v>2368</v>
      </c>
      <c r="C196" s="913"/>
      <c r="D196" s="913"/>
      <c r="E196" s="885"/>
      <c r="F196" s="884" t="s">
        <v>2369</v>
      </c>
      <c r="G196" s="913"/>
      <c r="H196" s="885"/>
      <c r="I196" s="884" t="s">
        <v>2370</v>
      </c>
      <c r="J196" s="913"/>
      <c r="K196" s="885"/>
      <c r="L196" s="884" t="s">
        <v>2371</v>
      </c>
      <c r="M196" s="913"/>
      <c r="N196" s="913"/>
      <c r="O196" s="913"/>
      <c r="P196" s="913"/>
      <c r="Q196" s="885"/>
      <c r="R196" s="884" t="s">
        <v>479</v>
      </c>
      <c r="S196" s="913"/>
      <c r="T196" s="913"/>
      <c r="U196" s="913"/>
      <c r="V196" s="913"/>
      <c r="W196" s="885"/>
      <c r="X196" s="796"/>
    </row>
    <row r="197" spans="1:24" ht="11.85" customHeight="1" x14ac:dyDescent="0.25">
      <c r="A197" s="810" t="s">
        <v>1416</v>
      </c>
      <c r="B197" s="910" t="s">
        <v>1417</v>
      </c>
      <c r="C197" s="912"/>
      <c r="D197" s="912"/>
      <c r="E197" s="911"/>
      <c r="F197" s="910" t="s">
        <v>2372</v>
      </c>
      <c r="G197" s="912"/>
      <c r="H197" s="911"/>
      <c r="I197" s="910" t="s">
        <v>2373</v>
      </c>
      <c r="J197" s="912"/>
      <c r="K197" s="911"/>
      <c r="L197" s="910" t="s">
        <v>2374</v>
      </c>
      <c r="M197" s="912"/>
      <c r="N197" s="912"/>
      <c r="O197" s="912"/>
      <c r="P197" s="912"/>
      <c r="Q197" s="911"/>
      <c r="R197" s="910" t="s">
        <v>479</v>
      </c>
      <c r="S197" s="912"/>
      <c r="T197" s="912"/>
      <c r="U197" s="912"/>
      <c r="V197" s="912"/>
      <c r="W197" s="911"/>
      <c r="X197" s="796"/>
    </row>
    <row r="198" spans="1:24" ht="11.1" customHeight="1" x14ac:dyDescent="0.25">
      <c r="A198" s="427"/>
      <c r="B198" s="427"/>
      <c r="C198" s="427"/>
      <c r="D198" s="427"/>
      <c r="E198" s="427"/>
      <c r="F198" s="427"/>
      <c r="G198" s="427"/>
      <c r="H198" s="427"/>
      <c r="I198" s="427"/>
      <c r="J198" s="427"/>
      <c r="K198" s="427"/>
      <c r="L198" s="427"/>
      <c r="M198" s="427"/>
      <c r="N198" s="427"/>
      <c r="O198" s="427"/>
      <c r="P198" s="427"/>
      <c r="Q198" s="427"/>
      <c r="R198" s="427"/>
      <c r="S198" s="427"/>
      <c r="T198" s="427"/>
      <c r="U198" s="427"/>
      <c r="V198" s="427"/>
      <c r="W198" s="427"/>
    </row>
    <row r="199" spans="1:24" ht="35.450000000000003" customHeight="1" x14ac:dyDescent="0.25">
      <c r="A199" s="786" t="s">
        <v>1418</v>
      </c>
      <c r="B199" s="892" t="s">
        <v>962</v>
      </c>
      <c r="C199" s="902"/>
      <c r="D199" s="902"/>
      <c r="E199" s="903"/>
      <c r="F199" s="892" t="s">
        <v>963</v>
      </c>
      <c r="G199" s="902"/>
      <c r="H199" s="903"/>
      <c r="I199" s="892" t="s">
        <v>964</v>
      </c>
      <c r="J199" s="902"/>
      <c r="K199" s="903"/>
      <c r="L199" s="892" t="s">
        <v>965</v>
      </c>
      <c r="M199" s="902"/>
      <c r="N199" s="902"/>
      <c r="O199" s="902"/>
      <c r="P199" s="902"/>
      <c r="Q199" s="903"/>
      <c r="R199" s="892" t="s">
        <v>1280</v>
      </c>
      <c r="S199" s="902"/>
      <c r="T199" s="902"/>
      <c r="U199" s="902"/>
      <c r="V199" s="902"/>
      <c r="W199" s="903"/>
      <c r="X199" s="426"/>
    </row>
    <row r="200" spans="1:24" ht="11.1" customHeight="1" x14ac:dyDescent="0.25">
      <c r="A200" s="807" t="s">
        <v>1419</v>
      </c>
      <c r="B200" s="914" t="s">
        <v>2375</v>
      </c>
      <c r="C200" s="916"/>
      <c r="D200" s="916"/>
      <c r="E200" s="915"/>
      <c r="F200" s="914" t="s">
        <v>2376</v>
      </c>
      <c r="G200" s="916"/>
      <c r="H200" s="915"/>
      <c r="I200" s="914" t="s">
        <v>2377</v>
      </c>
      <c r="J200" s="916"/>
      <c r="K200" s="915"/>
      <c r="L200" s="914" t="s">
        <v>2378</v>
      </c>
      <c r="M200" s="916"/>
      <c r="N200" s="916"/>
      <c r="O200" s="916"/>
      <c r="P200" s="916"/>
      <c r="Q200" s="915"/>
      <c r="R200" s="914" t="s">
        <v>479</v>
      </c>
      <c r="S200" s="916"/>
      <c r="T200" s="916"/>
      <c r="U200" s="916"/>
      <c r="V200" s="916"/>
      <c r="W200" s="915"/>
      <c r="X200" s="796"/>
    </row>
    <row r="201" spans="1:24" ht="11.85" customHeight="1" x14ac:dyDescent="0.25">
      <c r="A201" s="808" t="s">
        <v>1420</v>
      </c>
      <c r="B201" s="884" t="s">
        <v>2379</v>
      </c>
      <c r="C201" s="913"/>
      <c r="D201" s="913"/>
      <c r="E201" s="885"/>
      <c r="F201" s="884" t="s">
        <v>2380</v>
      </c>
      <c r="G201" s="913"/>
      <c r="H201" s="885"/>
      <c r="I201" s="884" t="s">
        <v>2381</v>
      </c>
      <c r="J201" s="913"/>
      <c r="K201" s="885"/>
      <c r="L201" s="884" t="s">
        <v>2382</v>
      </c>
      <c r="M201" s="913"/>
      <c r="N201" s="913"/>
      <c r="O201" s="913"/>
      <c r="P201" s="913"/>
      <c r="Q201" s="885"/>
      <c r="R201" s="884" t="s">
        <v>479</v>
      </c>
      <c r="S201" s="913"/>
      <c r="T201" s="913"/>
      <c r="U201" s="913"/>
      <c r="V201" s="913"/>
      <c r="W201" s="885"/>
      <c r="X201" s="796"/>
    </row>
    <row r="202" spans="1:24" ht="11.85" customHeight="1" x14ac:dyDescent="0.25">
      <c r="A202" s="808" t="s">
        <v>1421</v>
      </c>
      <c r="B202" s="884" t="s">
        <v>2383</v>
      </c>
      <c r="C202" s="913"/>
      <c r="D202" s="913"/>
      <c r="E202" s="885"/>
      <c r="F202" s="884" t="s">
        <v>2384</v>
      </c>
      <c r="G202" s="913"/>
      <c r="H202" s="885"/>
      <c r="I202" s="884" t="s">
        <v>2385</v>
      </c>
      <c r="J202" s="913"/>
      <c r="K202" s="885"/>
      <c r="L202" s="884" t="s">
        <v>2386</v>
      </c>
      <c r="M202" s="913"/>
      <c r="N202" s="913"/>
      <c r="O202" s="913"/>
      <c r="P202" s="913"/>
      <c r="Q202" s="885"/>
      <c r="R202" s="884" t="s">
        <v>479</v>
      </c>
      <c r="S202" s="913"/>
      <c r="T202" s="913"/>
      <c r="U202" s="913"/>
      <c r="V202" s="913"/>
      <c r="W202" s="885"/>
      <c r="X202" s="796"/>
    </row>
    <row r="203" spans="1:24" ht="11.85" customHeight="1" x14ac:dyDescent="0.25">
      <c r="A203" s="808" t="s">
        <v>1422</v>
      </c>
      <c r="B203" s="884" t="s">
        <v>479</v>
      </c>
      <c r="C203" s="913"/>
      <c r="D203" s="913"/>
      <c r="E203" s="885"/>
      <c r="F203" s="884" t="s">
        <v>479</v>
      </c>
      <c r="G203" s="913"/>
      <c r="H203" s="885"/>
      <c r="I203" s="884" t="s">
        <v>479</v>
      </c>
      <c r="J203" s="913"/>
      <c r="K203" s="885"/>
      <c r="L203" s="884" t="s">
        <v>479</v>
      </c>
      <c r="M203" s="913"/>
      <c r="N203" s="913"/>
      <c r="O203" s="913"/>
      <c r="P203" s="913"/>
      <c r="Q203" s="885"/>
      <c r="R203" s="884" t="s">
        <v>479</v>
      </c>
      <c r="S203" s="913"/>
      <c r="T203" s="913"/>
      <c r="U203" s="913"/>
      <c r="V203" s="913"/>
      <c r="W203" s="885"/>
      <c r="X203" s="796"/>
    </row>
    <row r="204" spans="1:24" ht="11.1" customHeight="1" x14ac:dyDescent="0.25">
      <c r="A204" s="808" t="s">
        <v>1423</v>
      </c>
      <c r="B204" s="884" t="s">
        <v>1424</v>
      </c>
      <c r="C204" s="913"/>
      <c r="D204" s="913"/>
      <c r="E204" s="885"/>
      <c r="F204" s="884" t="s">
        <v>1425</v>
      </c>
      <c r="G204" s="913"/>
      <c r="H204" s="885"/>
      <c r="I204" s="884" t="s">
        <v>2387</v>
      </c>
      <c r="J204" s="913"/>
      <c r="K204" s="885"/>
      <c r="L204" s="884" t="s">
        <v>2387</v>
      </c>
      <c r="M204" s="913"/>
      <c r="N204" s="913"/>
      <c r="O204" s="913"/>
      <c r="P204" s="913"/>
      <c r="Q204" s="885"/>
      <c r="R204" s="884" t="s">
        <v>479</v>
      </c>
      <c r="S204" s="913"/>
      <c r="T204" s="913"/>
      <c r="U204" s="913"/>
      <c r="V204" s="913"/>
      <c r="W204" s="885"/>
      <c r="X204" s="796"/>
    </row>
    <row r="205" spans="1:24" ht="11.85" customHeight="1" x14ac:dyDescent="0.25">
      <c r="A205" s="808" t="s">
        <v>1426</v>
      </c>
      <c r="B205" s="884" t="s">
        <v>2388</v>
      </c>
      <c r="C205" s="913"/>
      <c r="D205" s="913"/>
      <c r="E205" s="885"/>
      <c r="F205" s="884" t="s">
        <v>2389</v>
      </c>
      <c r="G205" s="913"/>
      <c r="H205" s="885"/>
      <c r="I205" s="884" t="s">
        <v>2390</v>
      </c>
      <c r="J205" s="913"/>
      <c r="K205" s="885"/>
      <c r="L205" s="884" t="s">
        <v>2391</v>
      </c>
      <c r="M205" s="913"/>
      <c r="N205" s="913"/>
      <c r="O205" s="913"/>
      <c r="P205" s="913"/>
      <c r="Q205" s="885"/>
      <c r="R205" s="884" t="s">
        <v>479</v>
      </c>
      <c r="S205" s="913"/>
      <c r="T205" s="913"/>
      <c r="U205" s="913"/>
      <c r="V205" s="913"/>
      <c r="W205" s="885"/>
      <c r="X205" s="796"/>
    </row>
    <row r="206" spans="1:24" ht="11.85" customHeight="1" x14ac:dyDescent="0.25">
      <c r="A206" s="808" t="s">
        <v>1427</v>
      </c>
      <c r="B206" s="884" t="s">
        <v>2392</v>
      </c>
      <c r="C206" s="913"/>
      <c r="D206" s="913"/>
      <c r="E206" s="885"/>
      <c r="F206" s="884" t="s">
        <v>2393</v>
      </c>
      <c r="G206" s="913"/>
      <c r="H206" s="885"/>
      <c r="I206" s="884" t="s">
        <v>2394</v>
      </c>
      <c r="J206" s="913"/>
      <c r="K206" s="885"/>
      <c r="L206" s="884" t="s">
        <v>2395</v>
      </c>
      <c r="M206" s="913"/>
      <c r="N206" s="913"/>
      <c r="O206" s="913"/>
      <c r="P206" s="913"/>
      <c r="Q206" s="885"/>
      <c r="R206" s="884" t="s">
        <v>479</v>
      </c>
      <c r="S206" s="913"/>
      <c r="T206" s="913"/>
      <c r="U206" s="913"/>
      <c r="V206" s="913"/>
      <c r="W206" s="885"/>
      <c r="X206" s="796"/>
    </row>
    <row r="207" spans="1:24" ht="11.85" customHeight="1" x14ac:dyDescent="0.25">
      <c r="A207" s="808" t="s">
        <v>1428</v>
      </c>
      <c r="B207" s="884" t="s">
        <v>479</v>
      </c>
      <c r="C207" s="913"/>
      <c r="D207" s="913"/>
      <c r="E207" s="885"/>
      <c r="F207" s="884" t="s">
        <v>479</v>
      </c>
      <c r="G207" s="913"/>
      <c r="H207" s="885"/>
      <c r="I207" s="884" t="s">
        <v>479</v>
      </c>
      <c r="J207" s="913"/>
      <c r="K207" s="885"/>
      <c r="L207" s="884" t="s">
        <v>479</v>
      </c>
      <c r="M207" s="913"/>
      <c r="N207" s="913"/>
      <c r="O207" s="913"/>
      <c r="P207" s="913"/>
      <c r="Q207" s="885"/>
      <c r="R207" s="884" t="s">
        <v>479</v>
      </c>
      <c r="S207" s="913"/>
      <c r="T207" s="913"/>
      <c r="U207" s="913"/>
      <c r="V207" s="913"/>
      <c r="W207" s="885"/>
      <c r="X207" s="796"/>
    </row>
    <row r="208" spans="1:24" ht="11.1" customHeight="1" x14ac:dyDescent="0.25">
      <c r="A208" s="802" t="s">
        <v>1429</v>
      </c>
      <c r="B208" s="910" t="s">
        <v>2392</v>
      </c>
      <c r="C208" s="912"/>
      <c r="D208" s="912"/>
      <c r="E208" s="911"/>
      <c r="F208" s="910" t="s">
        <v>2393</v>
      </c>
      <c r="G208" s="912"/>
      <c r="H208" s="911"/>
      <c r="I208" s="910" t="s">
        <v>2394</v>
      </c>
      <c r="J208" s="912"/>
      <c r="K208" s="911"/>
      <c r="L208" s="910" t="s">
        <v>2395</v>
      </c>
      <c r="M208" s="912"/>
      <c r="N208" s="912"/>
      <c r="O208" s="912"/>
      <c r="P208" s="912"/>
      <c r="Q208" s="911"/>
      <c r="R208" s="910" t="s">
        <v>479</v>
      </c>
      <c r="S208" s="912"/>
      <c r="T208" s="912"/>
      <c r="U208" s="912"/>
      <c r="V208" s="912"/>
      <c r="W208" s="911"/>
      <c r="X208" s="796"/>
    </row>
    <row r="209" spans="1:24" ht="35.450000000000003" customHeight="1" x14ac:dyDescent="0.25">
      <c r="A209" s="786" t="s">
        <v>1430</v>
      </c>
      <c r="B209" s="892" t="s">
        <v>1431</v>
      </c>
      <c r="C209" s="902"/>
      <c r="D209" s="902"/>
      <c r="E209" s="902"/>
      <c r="F209" s="902"/>
      <c r="G209" s="902"/>
      <c r="H209" s="903"/>
      <c r="I209" s="892" t="s">
        <v>1432</v>
      </c>
      <c r="J209" s="902"/>
      <c r="K209" s="902"/>
      <c r="L209" s="902"/>
      <c r="M209" s="902"/>
      <c r="N209" s="902"/>
      <c r="O209" s="902"/>
      <c r="P209" s="902"/>
      <c r="Q209" s="902"/>
      <c r="R209" s="902"/>
      <c r="S209" s="902"/>
      <c r="T209" s="902"/>
      <c r="U209" s="902"/>
      <c r="V209" s="902"/>
      <c r="W209" s="903"/>
      <c r="X209" s="426"/>
    </row>
    <row r="210" spans="1:24" ht="11.1" customHeight="1" x14ac:dyDescent="0.25">
      <c r="A210" s="807" t="s">
        <v>1433</v>
      </c>
      <c r="B210" s="914" t="s">
        <v>1434</v>
      </c>
      <c r="C210" s="916"/>
      <c r="D210" s="916"/>
      <c r="E210" s="916"/>
      <c r="F210" s="916"/>
      <c r="G210" s="916"/>
      <c r="H210" s="915"/>
      <c r="I210" s="914" t="s">
        <v>1435</v>
      </c>
      <c r="J210" s="916"/>
      <c r="K210" s="916"/>
      <c r="L210" s="916"/>
      <c r="M210" s="916"/>
      <c r="N210" s="916"/>
      <c r="O210" s="916"/>
      <c r="P210" s="916"/>
      <c r="Q210" s="916"/>
      <c r="R210" s="916"/>
      <c r="S210" s="916"/>
      <c r="T210" s="916"/>
      <c r="U210" s="916"/>
      <c r="V210" s="916"/>
      <c r="W210" s="915"/>
      <c r="X210" s="796"/>
    </row>
    <row r="211" spans="1:24" ht="11.85" customHeight="1" x14ac:dyDescent="0.25">
      <c r="A211" s="808" t="s">
        <v>1436</v>
      </c>
      <c r="B211" s="884" t="s">
        <v>2249</v>
      </c>
      <c r="C211" s="913"/>
      <c r="D211" s="913"/>
      <c r="E211" s="913"/>
      <c r="F211" s="913"/>
      <c r="G211" s="913"/>
      <c r="H211" s="885"/>
      <c r="I211" s="884" t="s">
        <v>2344</v>
      </c>
      <c r="J211" s="913"/>
      <c r="K211" s="913"/>
      <c r="L211" s="913"/>
      <c r="M211" s="913"/>
      <c r="N211" s="913"/>
      <c r="O211" s="913"/>
      <c r="P211" s="913"/>
      <c r="Q211" s="913"/>
      <c r="R211" s="913"/>
      <c r="S211" s="913"/>
      <c r="T211" s="913"/>
      <c r="U211" s="913"/>
      <c r="V211" s="913"/>
      <c r="W211" s="885"/>
      <c r="X211" s="796"/>
    </row>
    <row r="212" spans="1:24" ht="11.85" customHeight="1" x14ac:dyDescent="0.25">
      <c r="A212" s="808" t="s">
        <v>1437</v>
      </c>
      <c r="B212" s="884" t="s">
        <v>2396</v>
      </c>
      <c r="C212" s="913"/>
      <c r="D212" s="913"/>
      <c r="E212" s="913"/>
      <c r="F212" s="913"/>
      <c r="G212" s="913"/>
      <c r="H212" s="885"/>
      <c r="I212" s="884" t="s">
        <v>2397</v>
      </c>
      <c r="J212" s="913"/>
      <c r="K212" s="913"/>
      <c r="L212" s="913"/>
      <c r="M212" s="913"/>
      <c r="N212" s="913"/>
      <c r="O212" s="913"/>
      <c r="P212" s="913"/>
      <c r="Q212" s="913"/>
      <c r="R212" s="913"/>
      <c r="S212" s="913"/>
      <c r="T212" s="913"/>
      <c r="U212" s="913"/>
      <c r="V212" s="913"/>
      <c r="W212" s="885"/>
      <c r="X212" s="796"/>
    </row>
    <row r="213" spans="1:24" ht="11.85" customHeight="1" x14ac:dyDescent="0.25">
      <c r="A213" s="808" t="s">
        <v>1438</v>
      </c>
      <c r="B213" s="884" t="s">
        <v>2398</v>
      </c>
      <c r="C213" s="913"/>
      <c r="D213" s="913"/>
      <c r="E213" s="913"/>
      <c r="F213" s="913"/>
      <c r="G213" s="913"/>
      <c r="H213" s="885"/>
      <c r="I213" s="884" t="s">
        <v>2399</v>
      </c>
      <c r="J213" s="913"/>
      <c r="K213" s="913"/>
      <c r="L213" s="913"/>
      <c r="M213" s="913"/>
      <c r="N213" s="913"/>
      <c r="O213" s="913"/>
      <c r="P213" s="913"/>
      <c r="Q213" s="913"/>
      <c r="R213" s="913"/>
      <c r="S213" s="913"/>
      <c r="T213" s="913"/>
      <c r="U213" s="913"/>
      <c r="V213" s="913"/>
      <c r="W213" s="885"/>
      <c r="X213" s="796"/>
    </row>
    <row r="214" spans="1:24" ht="11.1" customHeight="1" x14ac:dyDescent="0.25">
      <c r="A214" s="808" t="s">
        <v>1439</v>
      </c>
      <c r="B214" s="884" t="s">
        <v>479</v>
      </c>
      <c r="C214" s="913"/>
      <c r="D214" s="913"/>
      <c r="E214" s="913"/>
      <c r="F214" s="913"/>
      <c r="G214" s="913"/>
      <c r="H214" s="885"/>
      <c r="I214" s="884" t="s">
        <v>479</v>
      </c>
      <c r="J214" s="913"/>
      <c r="K214" s="913"/>
      <c r="L214" s="913"/>
      <c r="M214" s="913"/>
      <c r="N214" s="913"/>
      <c r="O214" s="913"/>
      <c r="P214" s="913"/>
      <c r="Q214" s="913"/>
      <c r="R214" s="913"/>
      <c r="S214" s="913"/>
      <c r="T214" s="913"/>
      <c r="U214" s="913"/>
      <c r="V214" s="913"/>
      <c r="W214" s="885"/>
      <c r="X214" s="796"/>
    </row>
    <row r="215" spans="1:24" ht="11.85" customHeight="1" x14ac:dyDescent="0.25">
      <c r="A215" s="808" t="s">
        <v>1440</v>
      </c>
      <c r="B215" s="884" t="s">
        <v>479</v>
      </c>
      <c r="C215" s="913"/>
      <c r="D215" s="913"/>
      <c r="E215" s="913"/>
      <c r="F215" s="913"/>
      <c r="G215" s="913"/>
      <c r="H215" s="885"/>
      <c r="I215" s="884" t="s">
        <v>479</v>
      </c>
      <c r="J215" s="913"/>
      <c r="K215" s="913"/>
      <c r="L215" s="913"/>
      <c r="M215" s="913"/>
      <c r="N215" s="913"/>
      <c r="O215" s="913"/>
      <c r="P215" s="913"/>
      <c r="Q215" s="913"/>
      <c r="R215" s="913"/>
      <c r="S215" s="913"/>
      <c r="T215" s="913"/>
      <c r="U215" s="913"/>
      <c r="V215" s="913"/>
      <c r="W215" s="885"/>
      <c r="X215" s="796"/>
    </row>
    <row r="217" spans="1:24" ht="11.85" customHeight="1" x14ac:dyDescent="0.25">
      <c r="A217" s="975" t="s">
        <v>2251</v>
      </c>
      <c r="B217" s="975"/>
      <c r="C217" s="975"/>
      <c r="D217" s="975"/>
      <c r="E217" s="975"/>
      <c r="F217" s="975"/>
      <c r="G217" s="975"/>
      <c r="H217" s="975"/>
      <c r="I217" s="975"/>
      <c r="J217" s="975"/>
      <c r="K217" s="975"/>
      <c r="L217" s="975"/>
      <c r="M217" s="975"/>
      <c r="N217" s="975"/>
      <c r="O217" s="975"/>
      <c r="P217" s="975"/>
      <c r="Q217" s="975"/>
      <c r="R217" s="975"/>
      <c r="S217" s="975"/>
      <c r="T217" s="975"/>
      <c r="U217" s="975"/>
      <c r="V217" s="975"/>
      <c r="W217" s="975"/>
    </row>
    <row r="218" spans="1:24" ht="11.85" customHeight="1" x14ac:dyDescent="0.25">
      <c r="A218" s="904" t="s">
        <v>539</v>
      </c>
      <c r="B218" s="904"/>
      <c r="C218" s="904"/>
      <c r="W218" s="805" t="s">
        <v>1441</v>
      </c>
    </row>
    <row r="219" spans="1:24" ht="11.1" customHeight="1" x14ac:dyDescent="0.25">
      <c r="A219" s="904" t="s">
        <v>707</v>
      </c>
      <c r="B219" s="904"/>
      <c r="C219" s="904"/>
    </row>
    <row r="220" spans="1:24" ht="11.85" customHeight="1" x14ac:dyDescent="0.25">
      <c r="A220" s="905" t="s">
        <v>1218</v>
      </c>
      <c r="B220" s="905"/>
      <c r="C220" s="905"/>
      <c r="D220" s="905"/>
      <c r="E220" s="905"/>
      <c r="F220" s="905"/>
      <c r="G220" s="905"/>
      <c r="H220" s="905"/>
      <c r="I220" s="905"/>
      <c r="J220" s="905"/>
      <c r="K220" s="905"/>
      <c r="L220" s="905"/>
      <c r="M220" s="905"/>
      <c r="N220" s="905"/>
      <c r="O220" s="905"/>
      <c r="P220" s="905"/>
    </row>
    <row r="221" spans="1:24" ht="11.85" customHeight="1" x14ac:dyDescent="0.25">
      <c r="A221" s="904" t="s">
        <v>922</v>
      </c>
      <c r="B221" s="904"/>
      <c r="C221" s="904"/>
    </row>
    <row r="222" spans="1:24" ht="11.85" customHeight="1" x14ac:dyDescent="0.25">
      <c r="A222" s="904" t="s">
        <v>1852</v>
      </c>
      <c r="B222" s="904"/>
      <c r="C222" s="904"/>
    </row>
    <row r="223" spans="1:24" ht="5.85" customHeight="1" x14ac:dyDescent="0.25"/>
    <row r="224" spans="1:24" ht="11.1" customHeight="1" x14ac:dyDescent="0.25">
      <c r="A224" s="906" t="s">
        <v>1219</v>
      </c>
      <c r="B224" s="906"/>
      <c r="C224" s="906"/>
      <c r="D224" s="425"/>
      <c r="E224" s="425"/>
      <c r="F224" s="425"/>
      <c r="G224" s="425"/>
      <c r="H224" s="425"/>
      <c r="I224" s="425"/>
      <c r="J224" s="425"/>
      <c r="K224" s="425"/>
      <c r="L224" s="425"/>
      <c r="M224" s="425"/>
      <c r="N224" s="425"/>
      <c r="O224" s="425"/>
      <c r="P224" s="981" t="s">
        <v>471</v>
      </c>
      <c r="Q224" s="981"/>
      <c r="R224" s="981"/>
      <c r="S224" s="981"/>
      <c r="T224" s="981"/>
      <c r="U224" s="981"/>
      <c r="V224" s="981"/>
      <c r="W224" s="981"/>
    </row>
    <row r="225" spans="1:24" ht="35.450000000000003" customHeight="1" x14ac:dyDescent="0.25">
      <c r="A225" s="786" t="s">
        <v>1430</v>
      </c>
      <c r="B225" s="892" t="s">
        <v>1431</v>
      </c>
      <c r="C225" s="902"/>
      <c r="D225" s="902"/>
      <c r="E225" s="902"/>
      <c r="F225" s="902"/>
      <c r="G225" s="902"/>
      <c r="H225" s="903"/>
      <c r="I225" s="892" t="s">
        <v>1432</v>
      </c>
      <c r="J225" s="902"/>
      <c r="K225" s="902"/>
      <c r="L225" s="902"/>
      <c r="M225" s="902"/>
      <c r="N225" s="902"/>
      <c r="O225" s="902"/>
      <c r="P225" s="902"/>
      <c r="Q225" s="902"/>
      <c r="R225" s="902"/>
      <c r="S225" s="902"/>
      <c r="T225" s="902"/>
      <c r="U225" s="902"/>
      <c r="V225" s="902"/>
      <c r="W225" s="903"/>
      <c r="X225" s="426"/>
    </row>
    <row r="226" spans="1:24" ht="11.1" customHeight="1" x14ac:dyDescent="0.25">
      <c r="A226" s="624" t="s">
        <v>1442</v>
      </c>
      <c r="B226" s="907" t="s">
        <v>2398</v>
      </c>
      <c r="C226" s="909"/>
      <c r="D226" s="909"/>
      <c r="E226" s="909"/>
      <c r="F226" s="909"/>
      <c r="G226" s="909"/>
      <c r="H226" s="908"/>
      <c r="I226" s="907" t="s">
        <v>2399</v>
      </c>
      <c r="J226" s="909"/>
      <c r="K226" s="909"/>
      <c r="L226" s="909"/>
      <c r="M226" s="909"/>
      <c r="N226" s="909"/>
      <c r="O226" s="909"/>
      <c r="P226" s="909"/>
      <c r="Q226" s="909"/>
      <c r="R226" s="909"/>
      <c r="S226" s="909"/>
      <c r="T226" s="909"/>
      <c r="U226" s="909"/>
      <c r="V226" s="909"/>
      <c r="W226" s="908"/>
      <c r="X226" s="796"/>
    </row>
    <row r="227" spans="1:24" ht="41.45" customHeight="1" x14ac:dyDescent="0.25">
      <c r="A227" s="1038" t="s">
        <v>1443</v>
      </c>
      <c r="B227" s="1038"/>
      <c r="C227" s="1038"/>
      <c r="D227" s="1038"/>
      <c r="E227" s="1038"/>
      <c r="F227" s="1038"/>
      <c r="G227" s="1038"/>
      <c r="H227" s="1038"/>
      <c r="I227" s="1038"/>
      <c r="J227" s="1038"/>
      <c r="K227" s="1038"/>
      <c r="L227" s="1038"/>
      <c r="M227" s="1038"/>
      <c r="N227" s="1038"/>
      <c r="O227" s="1038"/>
      <c r="P227" s="1038"/>
      <c r="Q227" s="1038"/>
      <c r="R227" s="1038"/>
      <c r="S227" s="1038"/>
      <c r="T227" s="1038"/>
      <c r="U227" s="1038"/>
      <c r="V227" s="1038"/>
      <c r="W227" s="1038"/>
    </row>
    <row r="228" spans="1:24" ht="40.700000000000003" customHeight="1" x14ac:dyDescent="0.25">
      <c r="A228" s="1035"/>
      <c r="B228" s="1035"/>
      <c r="C228" s="1035"/>
      <c r="D228" s="1035"/>
      <c r="E228" s="1035"/>
      <c r="F228" s="1035"/>
      <c r="G228" s="1035"/>
      <c r="H228" s="1035"/>
      <c r="I228" s="1035"/>
      <c r="J228" s="1035"/>
      <c r="K228" s="1035"/>
      <c r="L228" s="1035"/>
      <c r="M228" s="1035"/>
      <c r="N228" s="1035"/>
      <c r="O228" s="1035"/>
      <c r="P228" s="1035"/>
      <c r="Q228" s="1035"/>
      <c r="R228" s="1035"/>
      <c r="S228" s="1035"/>
      <c r="T228" s="1035"/>
      <c r="U228" s="1035"/>
      <c r="V228" s="1035"/>
      <c r="W228" s="1035"/>
    </row>
    <row r="229" spans="1:24" ht="11.1" customHeight="1" x14ac:dyDescent="0.25"/>
    <row r="230" spans="1:24" ht="11.85" customHeight="1" x14ac:dyDescent="0.25"/>
    <row r="236" spans="1:24" ht="11.85" customHeight="1" x14ac:dyDescent="0.25">
      <c r="A236" s="975" t="s">
        <v>2251</v>
      </c>
      <c r="B236" s="975"/>
      <c r="C236" s="975"/>
      <c r="D236" s="975"/>
      <c r="E236" s="975"/>
      <c r="F236" s="975"/>
      <c r="G236" s="975"/>
      <c r="H236" s="975"/>
      <c r="I236" s="975"/>
      <c r="J236" s="975"/>
      <c r="K236" s="975"/>
      <c r="L236" s="975"/>
      <c r="M236" s="975"/>
      <c r="N236" s="975"/>
      <c r="O236" s="975"/>
      <c r="P236" s="975"/>
      <c r="Q236" s="975"/>
      <c r="R236" s="975"/>
      <c r="S236" s="975"/>
      <c r="T236" s="975"/>
      <c r="U236" s="975"/>
      <c r="V236" s="975"/>
      <c r="W236" s="975"/>
    </row>
  </sheetData>
  <mergeCells count="594">
    <mergeCell ref="A1:C1"/>
    <mergeCell ref="A2:C2"/>
    <mergeCell ref="A3:P3"/>
    <mergeCell ref="A4:C4"/>
    <mergeCell ref="A5:C5"/>
    <mergeCell ref="A7:C7"/>
    <mergeCell ref="P7:W7"/>
    <mergeCell ref="B12:H12"/>
    <mergeCell ref="I12:W12"/>
    <mergeCell ref="B13:H13"/>
    <mergeCell ref="I13:W13"/>
    <mergeCell ref="B14:H14"/>
    <mergeCell ref="I14:W14"/>
    <mergeCell ref="A8:W8"/>
    <mergeCell ref="B9:H9"/>
    <mergeCell ref="I9:W9"/>
    <mergeCell ref="B10:H10"/>
    <mergeCell ref="I10:W10"/>
    <mergeCell ref="B11:H11"/>
    <mergeCell ref="I11:W11"/>
    <mergeCell ref="B18:H18"/>
    <mergeCell ref="I18:W18"/>
    <mergeCell ref="B19:H19"/>
    <mergeCell ref="I19:W19"/>
    <mergeCell ref="B20:H20"/>
    <mergeCell ref="I20:W20"/>
    <mergeCell ref="B15:H15"/>
    <mergeCell ref="I15:W15"/>
    <mergeCell ref="B16:H16"/>
    <mergeCell ref="I16:W16"/>
    <mergeCell ref="B17:H17"/>
    <mergeCell ref="I17:W17"/>
    <mergeCell ref="B24:H24"/>
    <mergeCell ref="I24:W24"/>
    <mergeCell ref="B25:H25"/>
    <mergeCell ref="I25:W25"/>
    <mergeCell ref="B26:H26"/>
    <mergeCell ref="I26:W26"/>
    <mergeCell ref="B21:H21"/>
    <mergeCell ref="I21:W21"/>
    <mergeCell ref="B22:H22"/>
    <mergeCell ref="I22:W22"/>
    <mergeCell ref="B23:H23"/>
    <mergeCell ref="I23:W23"/>
    <mergeCell ref="B32:H32"/>
    <mergeCell ref="I32:W32"/>
    <mergeCell ref="B33:H33"/>
    <mergeCell ref="I33:W33"/>
    <mergeCell ref="B34:H34"/>
    <mergeCell ref="I34:W34"/>
    <mergeCell ref="B27:H27"/>
    <mergeCell ref="I27:W27"/>
    <mergeCell ref="A29:W29"/>
    <mergeCell ref="B30:H30"/>
    <mergeCell ref="I30:W30"/>
    <mergeCell ref="B31:H31"/>
    <mergeCell ref="I31:W31"/>
    <mergeCell ref="B38:H38"/>
    <mergeCell ref="I38:W38"/>
    <mergeCell ref="B39:H39"/>
    <mergeCell ref="I39:W39"/>
    <mergeCell ref="B40:H40"/>
    <mergeCell ref="I40:W40"/>
    <mergeCell ref="B35:H35"/>
    <mergeCell ref="I35:W35"/>
    <mergeCell ref="B36:H36"/>
    <mergeCell ref="I36:W36"/>
    <mergeCell ref="B37:H37"/>
    <mergeCell ref="I37:W37"/>
    <mergeCell ref="A45:W45"/>
    <mergeCell ref="A46:C46"/>
    <mergeCell ref="A47:C47"/>
    <mergeCell ref="A48:P48"/>
    <mergeCell ref="A49:C49"/>
    <mergeCell ref="A50:C50"/>
    <mergeCell ref="B41:H41"/>
    <mergeCell ref="I41:W41"/>
    <mergeCell ref="B42:H42"/>
    <mergeCell ref="I42:W42"/>
    <mergeCell ref="B43:H43"/>
    <mergeCell ref="I43:W43"/>
    <mergeCell ref="B56:H56"/>
    <mergeCell ref="I56:W56"/>
    <mergeCell ref="B57:H57"/>
    <mergeCell ref="I57:W57"/>
    <mergeCell ref="B58:H58"/>
    <mergeCell ref="I58:W58"/>
    <mergeCell ref="A52:C52"/>
    <mergeCell ref="P52:W52"/>
    <mergeCell ref="A53:W53"/>
    <mergeCell ref="B54:H54"/>
    <mergeCell ref="I54:W54"/>
    <mergeCell ref="B55:H55"/>
    <mergeCell ref="I55:W55"/>
    <mergeCell ref="B65:W65"/>
    <mergeCell ref="B67:E67"/>
    <mergeCell ref="F67:H67"/>
    <mergeCell ref="I67:K67"/>
    <mergeCell ref="L67:Q67"/>
    <mergeCell ref="R67:W67"/>
    <mergeCell ref="B59:H59"/>
    <mergeCell ref="I59:W59"/>
    <mergeCell ref="B61:W61"/>
    <mergeCell ref="B62:W62"/>
    <mergeCell ref="B63:W63"/>
    <mergeCell ref="B64:W64"/>
    <mergeCell ref="B68:E68"/>
    <mergeCell ref="F68:H68"/>
    <mergeCell ref="I68:K68"/>
    <mergeCell ref="L68:Q68"/>
    <mergeCell ref="R68:W68"/>
    <mergeCell ref="B69:E69"/>
    <mergeCell ref="F69:H69"/>
    <mergeCell ref="I69:K69"/>
    <mergeCell ref="L69:Q69"/>
    <mergeCell ref="R69:W69"/>
    <mergeCell ref="B70:E70"/>
    <mergeCell ref="F70:H70"/>
    <mergeCell ref="I70:K70"/>
    <mergeCell ref="L70:Q70"/>
    <mergeCell ref="R70:W70"/>
    <mergeCell ref="B71:E71"/>
    <mergeCell ref="F71:H71"/>
    <mergeCell ref="I71:K71"/>
    <mergeCell ref="L71:Q71"/>
    <mergeCell ref="R71:W71"/>
    <mergeCell ref="B72:E72"/>
    <mergeCell ref="F72:H72"/>
    <mergeCell ref="I72:K72"/>
    <mergeCell ref="L72:Q72"/>
    <mergeCell ref="R72:W72"/>
    <mergeCell ref="B73:E73"/>
    <mergeCell ref="F73:H73"/>
    <mergeCell ref="I73:K73"/>
    <mergeCell ref="L73:Q73"/>
    <mergeCell ref="R73:W73"/>
    <mergeCell ref="B74:E74"/>
    <mergeCell ref="F74:H74"/>
    <mergeCell ref="I74:K74"/>
    <mergeCell ref="L74:Q74"/>
    <mergeCell ref="R74:W74"/>
    <mergeCell ref="B75:E75"/>
    <mergeCell ref="F75:H75"/>
    <mergeCell ref="I75:K75"/>
    <mergeCell ref="L75:Q75"/>
    <mergeCell ref="R75:W75"/>
    <mergeCell ref="B76:E76"/>
    <mergeCell ref="F76:H76"/>
    <mergeCell ref="I76:K76"/>
    <mergeCell ref="L76:Q76"/>
    <mergeCell ref="R76:W76"/>
    <mergeCell ref="B77:E77"/>
    <mergeCell ref="F77:H77"/>
    <mergeCell ref="I77:K77"/>
    <mergeCell ref="L77:Q77"/>
    <mergeCell ref="R77:W77"/>
    <mergeCell ref="B78:E78"/>
    <mergeCell ref="F78:H78"/>
    <mergeCell ref="I78:K78"/>
    <mergeCell ref="L78:Q78"/>
    <mergeCell ref="R78:W78"/>
    <mergeCell ref="B79:E79"/>
    <mergeCell ref="F79:H79"/>
    <mergeCell ref="I79:K79"/>
    <mergeCell ref="L79:Q79"/>
    <mergeCell ref="R79:W79"/>
    <mergeCell ref="B82:E82"/>
    <mergeCell ref="F82:H82"/>
    <mergeCell ref="I82:K82"/>
    <mergeCell ref="L82:Q82"/>
    <mergeCell ref="R82:W82"/>
    <mergeCell ref="A83:X83"/>
    <mergeCell ref="B80:E80"/>
    <mergeCell ref="F80:H80"/>
    <mergeCell ref="I80:K80"/>
    <mergeCell ref="L80:Q80"/>
    <mergeCell ref="R80:W80"/>
    <mergeCell ref="B81:E81"/>
    <mergeCell ref="F81:H81"/>
    <mergeCell ref="I81:K81"/>
    <mergeCell ref="L81:Q81"/>
    <mergeCell ref="R81:W81"/>
    <mergeCell ref="B86:C86"/>
    <mergeCell ref="D86:G86"/>
    <mergeCell ref="H86:I86"/>
    <mergeCell ref="J86:M86"/>
    <mergeCell ref="N86:T86"/>
    <mergeCell ref="U86:W86"/>
    <mergeCell ref="A84:W84"/>
    <mergeCell ref="B85:C85"/>
    <mergeCell ref="D85:G85"/>
    <mergeCell ref="H85:I85"/>
    <mergeCell ref="J85:M85"/>
    <mergeCell ref="N85:T85"/>
    <mergeCell ref="U85:W85"/>
    <mergeCell ref="B88:C88"/>
    <mergeCell ref="D88:G88"/>
    <mergeCell ref="H88:I88"/>
    <mergeCell ref="J88:M88"/>
    <mergeCell ref="N88:T88"/>
    <mergeCell ref="U88:W88"/>
    <mergeCell ref="B87:C87"/>
    <mergeCell ref="D87:G87"/>
    <mergeCell ref="H87:I87"/>
    <mergeCell ref="J87:M87"/>
    <mergeCell ref="N87:T87"/>
    <mergeCell ref="U87:W87"/>
    <mergeCell ref="A91:W91"/>
    <mergeCell ref="A92:C92"/>
    <mergeCell ref="A93:C93"/>
    <mergeCell ref="A94:P94"/>
    <mergeCell ref="A95:C95"/>
    <mergeCell ref="A96:C96"/>
    <mergeCell ref="B89:C89"/>
    <mergeCell ref="D89:G89"/>
    <mergeCell ref="H89:I89"/>
    <mergeCell ref="J89:M89"/>
    <mergeCell ref="N89:T89"/>
    <mergeCell ref="U89:W89"/>
    <mergeCell ref="A98:C98"/>
    <mergeCell ref="P98:W98"/>
    <mergeCell ref="A99:W99"/>
    <mergeCell ref="B100:C100"/>
    <mergeCell ref="D100:G100"/>
    <mergeCell ref="H100:I100"/>
    <mergeCell ref="J100:M100"/>
    <mergeCell ref="N100:T100"/>
    <mergeCell ref="U100:W100"/>
    <mergeCell ref="B102:C102"/>
    <mergeCell ref="D102:G102"/>
    <mergeCell ref="H102:I102"/>
    <mergeCell ref="J102:M102"/>
    <mergeCell ref="N102:T102"/>
    <mergeCell ref="U102:W102"/>
    <mergeCell ref="B101:C101"/>
    <mergeCell ref="D101:G101"/>
    <mergeCell ref="H101:I101"/>
    <mergeCell ref="J101:M101"/>
    <mergeCell ref="N101:T101"/>
    <mergeCell ref="U101:W101"/>
    <mergeCell ref="B104:C104"/>
    <mergeCell ref="D104:G104"/>
    <mergeCell ref="H104:I104"/>
    <mergeCell ref="J104:M104"/>
    <mergeCell ref="N104:T104"/>
    <mergeCell ref="U104:W104"/>
    <mergeCell ref="B103:C103"/>
    <mergeCell ref="D103:G103"/>
    <mergeCell ref="H103:I103"/>
    <mergeCell ref="J103:M103"/>
    <mergeCell ref="N103:T103"/>
    <mergeCell ref="U103:W103"/>
    <mergeCell ref="B108:F108"/>
    <mergeCell ref="G108:J108"/>
    <mergeCell ref="K108:R108"/>
    <mergeCell ref="S108:W108"/>
    <mergeCell ref="B109:F109"/>
    <mergeCell ref="G109:J109"/>
    <mergeCell ref="K109:R109"/>
    <mergeCell ref="S109:W109"/>
    <mergeCell ref="B106:F106"/>
    <mergeCell ref="G106:J106"/>
    <mergeCell ref="K106:R106"/>
    <mergeCell ref="S106:W106"/>
    <mergeCell ref="B107:F107"/>
    <mergeCell ref="G107:J107"/>
    <mergeCell ref="K107:R107"/>
    <mergeCell ref="S107:W107"/>
    <mergeCell ref="B111:D111"/>
    <mergeCell ref="E111:H111"/>
    <mergeCell ref="I111:L111"/>
    <mergeCell ref="M111:S111"/>
    <mergeCell ref="T111:W111"/>
    <mergeCell ref="B112:D112"/>
    <mergeCell ref="E112:H112"/>
    <mergeCell ref="I112:L112"/>
    <mergeCell ref="M112:S112"/>
    <mergeCell ref="T112:W112"/>
    <mergeCell ref="C114:G114"/>
    <mergeCell ref="H114:J114"/>
    <mergeCell ref="K114:N114"/>
    <mergeCell ref="O114:U114"/>
    <mergeCell ref="V114:W114"/>
    <mergeCell ref="C115:G115"/>
    <mergeCell ref="H115:J115"/>
    <mergeCell ref="K115:N115"/>
    <mergeCell ref="O115:U115"/>
    <mergeCell ref="V115:W115"/>
    <mergeCell ref="A119:W119"/>
    <mergeCell ref="B120:E120"/>
    <mergeCell ref="F120:H120"/>
    <mergeCell ref="I120:K120"/>
    <mergeCell ref="L120:Q120"/>
    <mergeCell ref="R120:W120"/>
    <mergeCell ref="C116:G116"/>
    <mergeCell ref="H116:J116"/>
    <mergeCell ref="K116:N116"/>
    <mergeCell ref="O116:U116"/>
    <mergeCell ref="V116:W116"/>
    <mergeCell ref="C117:G117"/>
    <mergeCell ref="H117:J117"/>
    <mergeCell ref="K117:N117"/>
    <mergeCell ref="O117:U117"/>
    <mergeCell ref="V117:W117"/>
    <mergeCell ref="B121:E121"/>
    <mergeCell ref="F121:H121"/>
    <mergeCell ref="I121:K121"/>
    <mergeCell ref="L121:Q121"/>
    <mergeCell ref="R121:W121"/>
    <mergeCell ref="B122:E122"/>
    <mergeCell ref="F122:H122"/>
    <mergeCell ref="I122:K122"/>
    <mergeCell ref="L122:Q122"/>
    <mergeCell ref="R122:W122"/>
    <mergeCell ref="B123:E123"/>
    <mergeCell ref="F123:H123"/>
    <mergeCell ref="I123:K123"/>
    <mergeCell ref="L123:Q123"/>
    <mergeCell ref="R123:W123"/>
    <mergeCell ref="B124:E124"/>
    <mergeCell ref="F124:H124"/>
    <mergeCell ref="I124:K124"/>
    <mergeCell ref="L124:Q124"/>
    <mergeCell ref="R124:W124"/>
    <mergeCell ref="B125:E125"/>
    <mergeCell ref="F125:H125"/>
    <mergeCell ref="I125:K125"/>
    <mergeCell ref="L125:Q125"/>
    <mergeCell ref="R125:W125"/>
    <mergeCell ref="B126:E126"/>
    <mergeCell ref="F126:H126"/>
    <mergeCell ref="I126:K126"/>
    <mergeCell ref="L126:Q126"/>
    <mergeCell ref="R126:W126"/>
    <mergeCell ref="B127:E127"/>
    <mergeCell ref="F127:H127"/>
    <mergeCell ref="I127:K127"/>
    <mergeCell ref="L127:Q127"/>
    <mergeCell ref="R127:W127"/>
    <mergeCell ref="B128:E128"/>
    <mergeCell ref="F128:H128"/>
    <mergeCell ref="I128:K128"/>
    <mergeCell ref="L128:Q128"/>
    <mergeCell ref="R128:W128"/>
    <mergeCell ref="A138:C138"/>
    <mergeCell ref="P138:W138"/>
    <mergeCell ref="A139:W139"/>
    <mergeCell ref="B140:E140"/>
    <mergeCell ref="F140:H140"/>
    <mergeCell ref="I140:K140"/>
    <mergeCell ref="L140:Q140"/>
    <mergeCell ref="R140:W140"/>
    <mergeCell ref="A131:W131"/>
    <mergeCell ref="A132:C132"/>
    <mergeCell ref="A133:C133"/>
    <mergeCell ref="A134:P134"/>
    <mergeCell ref="A135:C135"/>
    <mergeCell ref="A136:C136"/>
    <mergeCell ref="B141:E141"/>
    <mergeCell ref="F141:H141"/>
    <mergeCell ref="I141:K141"/>
    <mergeCell ref="L141:Q141"/>
    <mergeCell ref="R141:W141"/>
    <mergeCell ref="B142:E142"/>
    <mergeCell ref="F142:H142"/>
    <mergeCell ref="I142:K142"/>
    <mergeCell ref="L142:Q142"/>
    <mergeCell ref="R142:W142"/>
    <mergeCell ref="B143:E143"/>
    <mergeCell ref="F143:H143"/>
    <mergeCell ref="I143:K143"/>
    <mergeCell ref="L143:Q143"/>
    <mergeCell ref="R143:W143"/>
    <mergeCell ref="B144:E144"/>
    <mergeCell ref="F144:H144"/>
    <mergeCell ref="I144:K144"/>
    <mergeCell ref="L144:Q144"/>
    <mergeCell ref="R144:W144"/>
    <mergeCell ref="A147:Q147"/>
    <mergeCell ref="R147:W147"/>
    <mergeCell ref="A148:Q148"/>
    <mergeCell ref="R148:W148"/>
    <mergeCell ref="A149:Q149"/>
    <mergeCell ref="R149:W149"/>
    <mergeCell ref="B145:E145"/>
    <mergeCell ref="F145:H145"/>
    <mergeCell ref="I145:K145"/>
    <mergeCell ref="L145:Q145"/>
    <mergeCell ref="R145:W145"/>
    <mergeCell ref="A146:Q146"/>
    <mergeCell ref="R146:W146"/>
    <mergeCell ref="A153:Q153"/>
    <mergeCell ref="R153:W153"/>
    <mergeCell ref="B155:H155"/>
    <mergeCell ref="I155:Q155"/>
    <mergeCell ref="R155:W155"/>
    <mergeCell ref="B156:H156"/>
    <mergeCell ref="I156:Q156"/>
    <mergeCell ref="R156:W156"/>
    <mergeCell ref="A150:Q150"/>
    <mergeCell ref="R150:W150"/>
    <mergeCell ref="A151:Q151"/>
    <mergeCell ref="R151:W151"/>
    <mergeCell ref="A152:Q152"/>
    <mergeCell ref="R152:W152"/>
    <mergeCell ref="B158:E158"/>
    <mergeCell ref="F158:H158"/>
    <mergeCell ref="I158:K158"/>
    <mergeCell ref="L158:Q158"/>
    <mergeCell ref="R158:W158"/>
    <mergeCell ref="B159:E159"/>
    <mergeCell ref="F159:H159"/>
    <mergeCell ref="I159:K159"/>
    <mergeCell ref="L159:Q159"/>
    <mergeCell ref="R159:W159"/>
    <mergeCell ref="B160:E160"/>
    <mergeCell ref="F160:H160"/>
    <mergeCell ref="I160:K160"/>
    <mergeCell ref="L160:Q160"/>
    <mergeCell ref="R160:W160"/>
    <mergeCell ref="B161:E161"/>
    <mergeCell ref="F161:H161"/>
    <mergeCell ref="I161:K161"/>
    <mergeCell ref="L161:Q161"/>
    <mergeCell ref="R161:W161"/>
    <mergeCell ref="B165:H165"/>
    <mergeCell ref="I165:W165"/>
    <mergeCell ref="B166:H166"/>
    <mergeCell ref="I166:W166"/>
    <mergeCell ref="B167:H167"/>
    <mergeCell ref="I167:W167"/>
    <mergeCell ref="B162:E162"/>
    <mergeCell ref="F162:H162"/>
    <mergeCell ref="I162:K162"/>
    <mergeCell ref="L162:Q162"/>
    <mergeCell ref="R162:W162"/>
    <mergeCell ref="A164:W164"/>
    <mergeCell ref="B171:H171"/>
    <mergeCell ref="I171:W171"/>
    <mergeCell ref="B172:H172"/>
    <mergeCell ref="I172:W172"/>
    <mergeCell ref="B173:H173"/>
    <mergeCell ref="I173:W173"/>
    <mergeCell ref="B168:H168"/>
    <mergeCell ref="I168:W168"/>
    <mergeCell ref="B169:H169"/>
    <mergeCell ref="I169:W169"/>
    <mergeCell ref="B170:H170"/>
    <mergeCell ref="I170:W170"/>
    <mergeCell ref="A179:C179"/>
    <mergeCell ref="A180:C180"/>
    <mergeCell ref="A182:C182"/>
    <mergeCell ref="P182:W182"/>
    <mergeCell ref="A183:W183"/>
    <mergeCell ref="B184:H184"/>
    <mergeCell ref="I184:W184"/>
    <mergeCell ref="B174:H174"/>
    <mergeCell ref="I174:W174"/>
    <mergeCell ref="A175:W175"/>
    <mergeCell ref="A176:C176"/>
    <mergeCell ref="A177:C177"/>
    <mergeCell ref="A178:P178"/>
    <mergeCell ref="B185:H185"/>
    <mergeCell ref="I185:W185"/>
    <mergeCell ref="B186:H186"/>
    <mergeCell ref="I186:W186"/>
    <mergeCell ref="B188:E188"/>
    <mergeCell ref="F188:H188"/>
    <mergeCell ref="I188:K188"/>
    <mergeCell ref="L188:Q188"/>
    <mergeCell ref="R188:W188"/>
    <mergeCell ref="B189:E189"/>
    <mergeCell ref="F189:H189"/>
    <mergeCell ref="I189:K189"/>
    <mergeCell ref="L189:Q189"/>
    <mergeCell ref="R189:W189"/>
    <mergeCell ref="B190:E190"/>
    <mergeCell ref="F190:H190"/>
    <mergeCell ref="I190:K190"/>
    <mergeCell ref="L190:Q190"/>
    <mergeCell ref="R190:W190"/>
    <mergeCell ref="B191:E191"/>
    <mergeCell ref="F191:H191"/>
    <mergeCell ref="I191:K191"/>
    <mergeCell ref="L191:Q191"/>
    <mergeCell ref="R191:W191"/>
    <mergeCell ref="B192:E192"/>
    <mergeCell ref="F192:H192"/>
    <mergeCell ref="I192:K192"/>
    <mergeCell ref="L192:Q192"/>
    <mergeCell ref="R192:W192"/>
    <mergeCell ref="B193:E193"/>
    <mergeCell ref="F193:H193"/>
    <mergeCell ref="I193:K193"/>
    <mergeCell ref="L193:Q193"/>
    <mergeCell ref="R193:W193"/>
    <mergeCell ref="B194:E194"/>
    <mergeCell ref="F194:H194"/>
    <mergeCell ref="I194:K194"/>
    <mergeCell ref="L194:Q194"/>
    <mergeCell ref="R194:W194"/>
    <mergeCell ref="B195:E195"/>
    <mergeCell ref="F195:H195"/>
    <mergeCell ref="I195:K195"/>
    <mergeCell ref="L195:Q195"/>
    <mergeCell ref="R195:W195"/>
    <mergeCell ref="B196:E196"/>
    <mergeCell ref="F196:H196"/>
    <mergeCell ref="I196:K196"/>
    <mergeCell ref="L196:Q196"/>
    <mergeCell ref="R196:W196"/>
    <mergeCell ref="B197:E197"/>
    <mergeCell ref="F197:H197"/>
    <mergeCell ref="I197:K197"/>
    <mergeCell ref="L197:Q197"/>
    <mergeCell ref="R197:W197"/>
    <mergeCell ref="B199:E199"/>
    <mergeCell ref="F199:H199"/>
    <mergeCell ref="I199:K199"/>
    <mergeCell ref="L199:Q199"/>
    <mergeCell ref="R199:W199"/>
    <mergeCell ref="B200:E200"/>
    <mergeCell ref="F200:H200"/>
    <mergeCell ref="I200:K200"/>
    <mergeCell ref="L200:Q200"/>
    <mergeCell ref="R200:W200"/>
    <mergeCell ref="B201:E201"/>
    <mergeCell ref="F201:H201"/>
    <mergeCell ref="I201:K201"/>
    <mergeCell ref="L201:Q201"/>
    <mergeCell ref="R201:W201"/>
    <mergeCell ref="B202:E202"/>
    <mergeCell ref="F202:H202"/>
    <mergeCell ref="I202:K202"/>
    <mergeCell ref="L202:Q202"/>
    <mergeCell ref="R202:W202"/>
    <mergeCell ref="B203:E203"/>
    <mergeCell ref="F203:H203"/>
    <mergeCell ref="I203:K203"/>
    <mergeCell ref="L203:Q203"/>
    <mergeCell ref="R203:W203"/>
    <mergeCell ref="B204:E204"/>
    <mergeCell ref="F204:H204"/>
    <mergeCell ref="I204:K204"/>
    <mergeCell ref="L204:Q204"/>
    <mergeCell ref="R204:W204"/>
    <mergeCell ref="B205:E205"/>
    <mergeCell ref="F205:H205"/>
    <mergeCell ref="I205:K205"/>
    <mergeCell ref="L205:Q205"/>
    <mergeCell ref="R205:W205"/>
    <mergeCell ref="B208:E208"/>
    <mergeCell ref="F208:H208"/>
    <mergeCell ref="I208:K208"/>
    <mergeCell ref="L208:Q208"/>
    <mergeCell ref="R208:W208"/>
    <mergeCell ref="B209:H209"/>
    <mergeCell ref="I209:W209"/>
    <mergeCell ref="B206:E206"/>
    <mergeCell ref="F206:H206"/>
    <mergeCell ref="I206:K206"/>
    <mergeCell ref="L206:Q206"/>
    <mergeCell ref="R206:W206"/>
    <mergeCell ref="B207:E207"/>
    <mergeCell ref="F207:H207"/>
    <mergeCell ref="I207:K207"/>
    <mergeCell ref="L207:Q207"/>
    <mergeCell ref="R207:W207"/>
    <mergeCell ref="B213:H213"/>
    <mergeCell ref="I213:W213"/>
    <mergeCell ref="B214:H214"/>
    <mergeCell ref="I214:W214"/>
    <mergeCell ref="B215:H215"/>
    <mergeCell ref="I215:W215"/>
    <mergeCell ref="B210:H210"/>
    <mergeCell ref="I210:W210"/>
    <mergeCell ref="B211:H211"/>
    <mergeCell ref="I211:W211"/>
    <mergeCell ref="B212:H212"/>
    <mergeCell ref="I212:W212"/>
    <mergeCell ref="A227:W228"/>
    <mergeCell ref="A236:W236"/>
    <mergeCell ref="A224:C224"/>
    <mergeCell ref="P224:W224"/>
    <mergeCell ref="B225:H225"/>
    <mergeCell ref="I225:W225"/>
    <mergeCell ref="B226:H226"/>
    <mergeCell ref="I226:W226"/>
    <mergeCell ref="A217:W217"/>
    <mergeCell ref="A218:C218"/>
    <mergeCell ref="A219:C219"/>
    <mergeCell ref="A220:P220"/>
    <mergeCell ref="A221:C221"/>
    <mergeCell ref="A222:C222"/>
  </mergeCells>
  <pageMargins left="0.511811024" right="0.511811024" top="0.78740157499999996" bottom="0.78740157499999996" header="0.31496062000000002" footer="0.3149606200000000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196"/>
  <sheetViews>
    <sheetView workbookViewId="0">
      <selection activeCell="A4" sqref="A4:G4"/>
    </sheetView>
  </sheetViews>
  <sheetFormatPr defaultRowHeight="15" x14ac:dyDescent="0.25"/>
  <cols>
    <col min="1" max="1" width="5" customWidth="1"/>
    <col min="2" max="3" width="11.140625" customWidth="1"/>
    <col min="4" max="4" width="8.7109375" customWidth="1"/>
    <col min="5" max="5" width="6.7109375" customWidth="1"/>
    <col min="6" max="6" width="3.140625" customWidth="1"/>
    <col min="7" max="7" width="10.140625" customWidth="1"/>
    <col min="8" max="8" width="0.85546875" customWidth="1"/>
    <col min="9" max="9" width="1" customWidth="1"/>
    <col min="10" max="10" width="8.140625" customWidth="1"/>
    <col min="11" max="11" width="3.140625" customWidth="1"/>
    <col min="12" max="12" width="2" customWidth="1"/>
    <col min="13" max="13" width="1" customWidth="1"/>
    <col min="14" max="14" width="8.140625" customWidth="1"/>
    <col min="15" max="15" width="0.85546875" customWidth="1"/>
    <col min="16" max="16" width="3.140625" customWidth="1"/>
    <col min="17" max="17" width="2" customWidth="1"/>
    <col min="18" max="18" width="5" customWidth="1"/>
    <col min="19" max="19" width="4.140625" customWidth="1"/>
    <col min="20" max="20" width="1" customWidth="1"/>
    <col min="21" max="21" width="4" customWidth="1"/>
    <col min="22" max="23" width="1" customWidth="1"/>
    <col min="24" max="24" width="4" customWidth="1"/>
    <col min="25" max="25" width="2" customWidth="1"/>
    <col min="26" max="26" width="5" customWidth="1"/>
    <col min="27" max="27" width="2" customWidth="1"/>
    <col min="28" max="28" width="4.140625" customWidth="1"/>
    <col min="29" max="29" width="1" customWidth="1"/>
    <col min="30" max="30" width="4" customWidth="1"/>
    <col min="31" max="31" width="1" customWidth="1"/>
    <col min="32" max="32" width="10.140625" customWidth="1"/>
    <col min="33" max="33" width="0.5703125" customWidth="1"/>
  </cols>
  <sheetData>
    <row r="1" spans="1:33" ht="11.85" customHeight="1" x14ac:dyDescent="0.25">
      <c r="A1" s="904" t="s">
        <v>539</v>
      </c>
      <c r="B1" s="904"/>
      <c r="C1" s="904"/>
      <c r="D1" s="904"/>
      <c r="E1" s="904"/>
      <c r="F1" s="904"/>
      <c r="G1" s="904"/>
      <c r="AE1" s="980" t="s">
        <v>920</v>
      </c>
      <c r="AF1" s="980"/>
    </row>
    <row r="2" spans="1:33" ht="11.1" customHeight="1" x14ac:dyDescent="0.25">
      <c r="A2" s="904" t="s">
        <v>467</v>
      </c>
      <c r="B2" s="904"/>
      <c r="C2" s="904"/>
      <c r="D2" s="904"/>
      <c r="E2" s="904"/>
      <c r="F2" s="904"/>
      <c r="G2" s="904"/>
    </row>
    <row r="3" spans="1:33" ht="11.85" customHeight="1" x14ac:dyDescent="0.25">
      <c r="A3" s="905" t="s">
        <v>1490</v>
      </c>
      <c r="B3" s="905"/>
      <c r="C3" s="905"/>
      <c r="D3" s="905"/>
      <c r="E3" s="905"/>
      <c r="F3" s="905"/>
      <c r="G3" s="905"/>
    </row>
    <row r="4" spans="1:33" ht="11.85" customHeight="1" x14ac:dyDescent="0.25">
      <c r="A4" s="904" t="s">
        <v>587</v>
      </c>
      <c r="B4" s="904"/>
      <c r="C4" s="904"/>
      <c r="D4" s="904"/>
      <c r="E4" s="904"/>
      <c r="F4" s="904"/>
      <c r="G4" s="904"/>
    </row>
    <row r="5" spans="1:33" ht="11.85" customHeight="1" x14ac:dyDescent="0.25">
      <c r="A5" s="904" t="s">
        <v>2400</v>
      </c>
      <c r="B5" s="904"/>
      <c r="C5" s="904"/>
      <c r="D5" s="904"/>
      <c r="E5" s="904"/>
      <c r="F5" s="904"/>
      <c r="G5" s="904"/>
    </row>
    <row r="6" spans="1:33" ht="5.85" customHeight="1" x14ac:dyDescent="0.25"/>
    <row r="7" spans="1:33" ht="11.1" customHeight="1" x14ac:dyDescent="0.25">
      <c r="A7" s="906" t="s">
        <v>1491</v>
      </c>
      <c r="B7" s="906"/>
      <c r="C7" s="906"/>
      <c r="D7" s="906"/>
      <c r="E7" s="906"/>
      <c r="F7" s="906"/>
      <c r="G7" s="906"/>
      <c r="H7" s="425"/>
      <c r="I7" s="425"/>
      <c r="J7" s="425"/>
      <c r="K7" s="425"/>
      <c r="L7" s="425"/>
      <c r="M7" s="425"/>
      <c r="N7" s="425"/>
      <c r="O7" s="425"/>
      <c r="P7" s="425"/>
      <c r="Q7" s="425"/>
      <c r="R7" s="425"/>
      <c r="S7" s="425"/>
      <c r="T7" s="425"/>
      <c r="U7" s="425"/>
      <c r="V7" s="425"/>
      <c r="W7" s="425"/>
      <c r="X7" s="425"/>
      <c r="Y7" s="425"/>
      <c r="Z7" s="425"/>
      <c r="AA7" s="425"/>
      <c r="AB7" s="425"/>
      <c r="AC7" s="425"/>
      <c r="AD7" s="425"/>
      <c r="AE7" s="425"/>
      <c r="AF7" s="425"/>
      <c r="AG7" s="425"/>
    </row>
    <row r="8" spans="1:33" ht="11.85" customHeight="1" x14ac:dyDescent="0.25">
      <c r="A8" s="890" t="s">
        <v>1492</v>
      </c>
      <c r="B8" s="1105"/>
      <c r="C8" s="1105"/>
      <c r="D8" s="1105"/>
      <c r="E8" s="1105"/>
      <c r="F8" s="1105"/>
      <c r="G8" s="1105"/>
      <c r="H8" s="1105"/>
      <c r="I8" s="1106"/>
      <c r="J8" s="892" t="s">
        <v>544</v>
      </c>
      <c r="K8" s="900"/>
      <c r="L8" s="900"/>
      <c r="M8" s="900"/>
      <c r="N8" s="900"/>
      <c r="O8" s="893"/>
      <c r="P8" s="892" t="s">
        <v>545</v>
      </c>
      <c r="Q8" s="900"/>
      <c r="R8" s="900"/>
      <c r="S8" s="900"/>
      <c r="T8" s="900"/>
      <c r="U8" s="900"/>
      <c r="V8" s="893"/>
      <c r="W8" s="897" t="s">
        <v>546</v>
      </c>
      <c r="X8" s="898"/>
      <c r="Y8" s="898"/>
      <c r="Z8" s="898"/>
      <c r="AA8" s="898"/>
      <c r="AB8" s="898"/>
      <c r="AC8" s="898"/>
      <c r="AD8" s="898"/>
      <c r="AE8" s="898"/>
      <c r="AF8" s="898"/>
      <c r="AG8" s="899"/>
    </row>
    <row r="9" spans="1:33" ht="17.850000000000001" customHeight="1" x14ac:dyDescent="0.25">
      <c r="A9" s="1107"/>
      <c r="B9" s="1108"/>
      <c r="C9" s="1108"/>
      <c r="D9" s="1108"/>
      <c r="E9" s="1108"/>
      <c r="F9" s="1108"/>
      <c r="G9" s="1108"/>
      <c r="H9" s="1108"/>
      <c r="I9" s="1109"/>
      <c r="J9" s="894"/>
      <c r="K9" s="901"/>
      <c r="L9" s="901"/>
      <c r="M9" s="901"/>
      <c r="N9" s="901"/>
      <c r="O9" s="895"/>
      <c r="P9" s="894"/>
      <c r="Q9" s="901"/>
      <c r="R9" s="901"/>
      <c r="S9" s="901"/>
      <c r="T9" s="901"/>
      <c r="U9" s="901"/>
      <c r="V9" s="895"/>
      <c r="W9" s="892" t="s">
        <v>1493</v>
      </c>
      <c r="X9" s="902"/>
      <c r="Y9" s="902"/>
      <c r="Z9" s="902"/>
      <c r="AA9" s="902"/>
      <c r="AB9" s="903"/>
      <c r="AC9" s="892" t="s">
        <v>1494</v>
      </c>
      <c r="AD9" s="902"/>
      <c r="AE9" s="902"/>
      <c r="AF9" s="902"/>
      <c r="AG9" s="903"/>
    </row>
    <row r="10" spans="1:33" ht="11.1" customHeight="1" x14ac:dyDescent="0.25">
      <c r="A10" s="1155" t="s">
        <v>1495</v>
      </c>
      <c r="B10" s="1156"/>
      <c r="C10" s="1156"/>
      <c r="D10" s="1156"/>
      <c r="E10" s="1156"/>
      <c r="F10" s="1156"/>
      <c r="G10" s="1156"/>
      <c r="H10" s="1156"/>
      <c r="I10" s="1157"/>
      <c r="J10" s="1093" t="s">
        <v>829</v>
      </c>
      <c r="K10" s="1095"/>
      <c r="L10" s="1095"/>
      <c r="M10" s="1095"/>
      <c r="N10" s="1095"/>
      <c r="O10" s="1094"/>
      <c r="P10" s="1093" t="s">
        <v>829</v>
      </c>
      <c r="Q10" s="1095"/>
      <c r="R10" s="1095"/>
      <c r="S10" s="1095"/>
      <c r="T10" s="1095"/>
      <c r="U10" s="1095"/>
      <c r="V10" s="1094"/>
      <c r="W10" s="1093" t="s">
        <v>1874</v>
      </c>
      <c r="X10" s="1095"/>
      <c r="Y10" s="1095"/>
      <c r="Z10" s="1095"/>
      <c r="AA10" s="1095"/>
      <c r="AB10" s="1094"/>
      <c r="AC10" s="1093" t="s">
        <v>1875</v>
      </c>
      <c r="AD10" s="1095"/>
      <c r="AE10" s="1095"/>
      <c r="AF10" s="1095"/>
      <c r="AG10" s="1094"/>
    </row>
    <row r="11" spans="1:33" ht="11.85" customHeight="1" x14ac:dyDescent="0.25">
      <c r="A11" s="1042" t="s">
        <v>1496</v>
      </c>
      <c r="B11" s="1043"/>
      <c r="C11" s="1043"/>
      <c r="D11" s="1043"/>
      <c r="E11" s="1043"/>
      <c r="F11" s="1043"/>
      <c r="G11" s="1043"/>
      <c r="H11" s="1043"/>
      <c r="I11" s="1044"/>
      <c r="J11" s="1081" t="s">
        <v>1037</v>
      </c>
      <c r="K11" s="1083"/>
      <c r="L11" s="1083"/>
      <c r="M11" s="1083"/>
      <c r="N11" s="1083"/>
      <c r="O11" s="1082"/>
      <c r="P11" s="1081" t="s">
        <v>1037</v>
      </c>
      <c r="Q11" s="1083"/>
      <c r="R11" s="1083"/>
      <c r="S11" s="1083"/>
      <c r="T11" s="1083"/>
      <c r="U11" s="1083"/>
      <c r="V11" s="1082"/>
      <c r="W11" s="1081" t="s">
        <v>2101</v>
      </c>
      <c r="X11" s="1083"/>
      <c r="Y11" s="1083"/>
      <c r="Z11" s="1083"/>
      <c r="AA11" s="1083"/>
      <c r="AB11" s="1082"/>
      <c r="AC11" s="1081" t="s">
        <v>2401</v>
      </c>
      <c r="AD11" s="1083"/>
      <c r="AE11" s="1083"/>
      <c r="AF11" s="1083"/>
      <c r="AG11" s="1082"/>
    </row>
    <row r="12" spans="1:33" ht="11.85" customHeight="1" x14ac:dyDescent="0.25">
      <c r="A12" s="1042" t="s">
        <v>1497</v>
      </c>
      <c r="B12" s="1043"/>
      <c r="C12" s="1043"/>
      <c r="D12" s="1043"/>
      <c r="E12" s="1043"/>
      <c r="F12" s="1043"/>
      <c r="G12" s="1043"/>
      <c r="H12" s="1043"/>
      <c r="I12" s="1044"/>
      <c r="J12" s="1081" t="s">
        <v>1040</v>
      </c>
      <c r="K12" s="1083"/>
      <c r="L12" s="1083"/>
      <c r="M12" s="1083"/>
      <c r="N12" s="1083"/>
      <c r="O12" s="1082"/>
      <c r="P12" s="1081" t="s">
        <v>1040</v>
      </c>
      <c r="Q12" s="1083"/>
      <c r="R12" s="1083"/>
      <c r="S12" s="1083"/>
      <c r="T12" s="1083"/>
      <c r="U12" s="1083"/>
      <c r="V12" s="1082"/>
      <c r="W12" s="1081" t="s">
        <v>2103</v>
      </c>
      <c r="X12" s="1083"/>
      <c r="Y12" s="1083"/>
      <c r="Z12" s="1083"/>
      <c r="AA12" s="1083"/>
      <c r="AB12" s="1082"/>
      <c r="AC12" s="1081" t="s">
        <v>2402</v>
      </c>
      <c r="AD12" s="1083"/>
      <c r="AE12" s="1083"/>
      <c r="AF12" s="1083"/>
      <c r="AG12" s="1082"/>
    </row>
    <row r="13" spans="1:33" ht="11.85" customHeight="1" x14ac:dyDescent="0.25">
      <c r="A13" s="1042" t="s">
        <v>1498</v>
      </c>
      <c r="B13" s="1043"/>
      <c r="C13" s="1043"/>
      <c r="D13" s="1043"/>
      <c r="E13" s="1043"/>
      <c r="F13" s="1043"/>
      <c r="G13" s="1043"/>
      <c r="H13" s="1043"/>
      <c r="I13" s="1044"/>
      <c r="J13" s="1081" t="s">
        <v>1039</v>
      </c>
      <c r="K13" s="1083"/>
      <c r="L13" s="1083"/>
      <c r="M13" s="1083"/>
      <c r="N13" s="1083"/>
      <c r="O13" s="1082"/>
      <c r="P13" s="1081" t="s">
        <v>1039</v>
      </c>
      <c r="Q13" s="1083"/>
      <c r="R13" s="1083"/>
      <c r="S13" s="1083"/>
      <c r="T13" s="1083"/>
      <c r="U13" s="1083"/>
      <c r="V13" s="1082"/>
      <c r="W13" s="1081" t="s">
        <v>2102</v>
      </c>
      <c r="X13" s="1083"/>
      <c r="Y13" s="1083"/>
      <c r="Z13" s="1083"/>
      <c r="AA13" s="1083"/>
      <c r="AB13" s="1082"/>
      <c r="AC13" s="1081" t="s">
        <v>2403</v>
      </c>
      <c r="AD13" s="1083"/>
      <c r="AE13" s="1083"/>
      <c r="AF13" s="1083"/>
      <c r="AG13" s="1082"/>
    </row>
    <row r="14" spans="1:33" ht="11.1" customHeight="1" x14ac:dyDescent="0.25">
      <c r="A14" s="1042" t="s">
        <v>1499</v>
      </c>
      <c r="B14" s="1043"/>
      <c r="C14" s="1043"/>
      <c r="D14" s="1043"/>
      <c r="E14" s="1043"/>
      <c r="F14" s="1043"/>
      <c r="G14" s="1043"/>
      <c r="H14" s="1043"/>
      <c r="I14" s="1044"/>
      <c r="J14" s="1081" t="s">
        <v>1041</v>
      </c>
      <c r="K14" s="1083"/>
      <c r="L14" s="1083"/>
      <c r="M14" s="1083"/>
      <c r="N14" s="1083"/>
      <c r="O14" s="1082"/>
      <c r="P14" s="1081" t="s">
        <v>1041</v>
      </c>
      <c r="Q14" s="1083"/>
      <c r="R14" s="1083"/>
      <c r="S14" s="1083"/>
      <c r="T14" s="1083"/>
      <c r="U14" s="1083"/>
      <c r="V14" s="1082"/>
      <c r="W14" s="1081" t="s">
        <v>2104</v>
      </c>
      <c r="X14" s="1083"/>
      <c r="Y14" s="1083"/>
      <c r="Z14" s="1083"/>
      <c r="AA14" s="1083"/>
      <c r="AB14" s="1082"/>
      <c r="AC14" s="1081" t="s">
        <v>2404</v>
      </c>
      <c r="AD14" s="1083"/>
      <c r="AE14" s="1083"/>
      <c r="AF14" s="1083"/>
      <c r="AG14" s="1082"/>
    </row>
    <row r="15" spans="1:33" ht="11.85" customHeight="1" x14ac:dyDescent="0.25">
      <c r="A15" s="1152" t="s">
        <v>1500</v>
      </c>
      <c r="B15" s="1153"/>
      <c r="C15" s="1153"/>
      <c r="D15" s="1153"/>
      <c r="E15" s="1153"/>
      <c r="F15" s="1153"/>
      <c r="G15" s="1153"/>
      <c r="H15" s="1153"/>
      <c r="I15" s="1154"/>
      <c r="J15" s="1081" t="s">
        <v>1501</v>
      </c>
      <c r="K15" s="1083"/>
      <c r="L15" s="1083"/>
      <c r="M15" s="1083"/>
      <c r="N15" s="1083"/>
      <c r="O15" s="1082"/>
      <c r="P15" s="1081" t="s">
        <v>1501</v>
      </c>
      <c r="Q15" s="1083"/>
      <c r="R15" s="1083"/>
      <c r="S15" s="1083"/>
      <c r="T15" s="1083"/>
      <c r="U15" s="1083"/>
      <c r="V15" s="1082"/>
      <c r="W15" s="1081" t="s">
        <v>2240</v>
      </c>
      <c r="X15" s="1083"/>
      <c r="Y15" s="1083"/>
      <c r="Z15" s="1083"/>
      <c r="AA15" s="1083"/>
      <c r="AB15" s="1082"/>
      <c r="AC15" s="1081" t="s">
        <v>2405</v>
      </c>
      <c r="AD15" s="1083"/>
      <c r="AE15" s="1083"/>
      <c r="AF15" s="1083"/>
      <c r="AG15" s="1082"/>
    </row>
    <row r="16" spans="1:33" ht="11.85" customHeight="1" x14ac:dyDescent="0.25">
      <c r="A16" s="1042" t="s">
        <v>1502</v>
      </c>
      <c r="B16" s="1043"/>
      <c r="C16" s="1043"/>
      <c r="D16" s="1043"/>
      <c r="E16" s="1043"/>
      <c r="F16" s="1043"/>
      <c r="G16" s="1043"/>
      <c r="H16" s="1043"/>
      <c r="I16" s="1044"/>
      <c r="J16" s="1081" t="s">
        <v>1232</v>
      </c>
      <c r="K16" s="1083"/>
      <c r="L16" s="1083"/>
      <c r="M16" s="1083"/>
      <c r="N16" s="1083"/>
      <c r="O16" s="1082"/>
      <c r="P16" s="1081" t="s">
        <v>1232</v>
      </c>
      <c r="Q16" s="1083"/>
      <c r="R16" s="1083"/>
      <c r="S16" s="1083"/>
      <c r="T16" s="1083"/>
      <c r="U16" s="1083"/>
      <c r="V16" s="1082"/>
      <c r="W16" s="1081" t="s">
        <v>2241</v>
      </c>
      <c r="X16" s="1083"/>
      <c r="Y16" s="1083"/>
      <c r="Z16" s="1083"/>
      <c r="AA16" s="1083"/>
      <c r="AB16" s="1082"/>
      <c r="AC16" s="1081" t="s">
        <v>2406</v>
      </c>
      <c r="AD16" s="1083"/>
      <c r="AE16" s="1083"/>
      <c r="AF16" s="1083"/>
      <c r="AG16" s="1082"/>
    </row>
    <row r="17" spans="1:33" ht="11.85" customHeight="1" x14ac:dyDescent="0.25">
      <c r="A17" s="1042" t="s">
        <v>1503</v>
      </c>
      <c r="B17" s="1043"/>
      <c r="C17" s="1043"/>
      <c r="D17" s="1043"/>
      <c r="E17" s="1043"/>
      <c r="F17" s="1043"/>
      <c r="G17" s="1043"/>
      <c r="H17" s="1043"/>
      <c r="I17" s="1044"/>
      <c r="J17" s="1081" t="s">
        <v>1240</v>
      </c>
      <c r="K17" s="1083"/>
      <c r="L17" s="1083"/>
      <c r="M17" s="1083"/>
      <c r="N17" s="1083"/>
      <c r="O17" s="1082"/>
      <c r="P17" s="1081" t="s">
        <v>1240</v>
      </c>
      <c r="Q17" s="1083"/>
      <c r="R17" s="1083"/>
      <c r="S17" s="1083"/>
      <c r="T17" s="1083"/>
      <c r="U17" s="1083"/>
      <c r="V17" s="1082"/>
      <c r="W17" s="1081" t="s">
        <v>2244</v>
      </c>
      <c r="X17" s="1083"/>
      <c r="Y17" s="1083"/>
      <c r="Z17" s="1083"/>
      <c r="AA17" s="1083"/>
      <c r="AB17" s="1082"/>
      <c r="AC17" s="1081" t="s">
        <v>2407</v>
      </c>
      <c r="AD17" s="1083"/>
      <c r="AE17" s="1083"/>
      <c r="AF17" s="1083"/>
      <c r="AG17" s="1082"/>
    </row>
    <row r="18" spans="1:33" ht="11.1" customHeight="1" x14ac:dyDescent="0.25">
      <c r="A18" s="1042" t="s">
        <v>1504</v>
      </c>
      <c r="B18" s="1043"/>
      <c r="C18" s="1043"/>
      <c r="D18" s="1043"/>
      <c r="E18" s="1043"/>
      <c r="F18" s="1043"/>
      <c r="G18" s="1043"/>
      <c r="H18" s="1043"/>
      <c r="I18" s="1044"/>
      <c r="J18" s="1081" t="s">
        <v>1242</v>
      </c>
      <c r="K18" s="1083"/>
      <c r="L18" s="1083"/>
      <c r="M18" s="1083"/>
      <c r="N18" s="1083"/>
      <c r="O18" s="1082"/>
      <c r="P18" s="1081" t="s">
        <v>1242</v>
      </c>
      <c r="Q18" s="1083"/>
      <c r="R18" s="1083"/>
      <c r="S18" s="1083"/>
      <c r="T18" s="1083"/>
      <c r="U18" s="1083"/>
      <c r="V18" s="1082"/>
      <c r="W18" s="1081" t="s">
        <v>2245</v>
      </c>
      <c r="X18" s="1083"/>
      <c r="Y18" s="1083"/>
      <c r="Z18" s="1083"/>
      <c r="AA18" s="1083"/>
      <c r="AB18" s="1082"/>
      <c r="AC18" s="1081" t="s">
        <v>2408</v>
      </c>
      <c r="AD18" s="1083"/>
      <c r="AE18" s="1083"/>
      <c r="AF18" s="1083"/>
      <c r="AG18" s="1082"/>
    </row>
    <row r="19" spans="1:33" ht="11.85" customHeight="1" x14ac:dyDescent="0.25">
      <c r="A19" s="1042" t="s">
        <v>1505</v>
      </c>
      <c r="B19" s="1043"/>
      <c r="C19" s="1043"/>
      <c r="D19" s="1043"/>
      <c r="E19" s="1043"/>
      <c r="F19" s="1043"/>
      <c r="G19" s="1043"/>
      <c r="H19" s="1043"/>
      <c r="I19" s="1044"/>
      <c r="J19" s="1081" t="s">
        <v>1236</v>
      </c>
      <c r="K19" s="1083"/>
      <c r="L19" s="1083"/>
      <c r="M19" s="1083"/>
      <c r="N19" s="1083"/>
      <c r="O19" s="1082"/>
      <c r="P19" s="1081" t="s">
        <v>1236</v>
      </c>
      <c r="Q19" s="1083"/>
      <c r="R19" s="1083"/>
      <c r="S19" s="1083"/>
      <c r="T19" s="1083"/>
      <c r="U19" s="1083"/>
      <c r="V19" s="1082"/>
      <c r="W19" s="1081" t="s">
        <v>2242</v>
      </c>
      <c r="X19" s="1083"/>
      <c r="Y19" s="1083"/>
      <c r="Z19" s="1083"/>
      <c r="AA19" s="1083"/>
      <c r="AB19" s="1082"/>
      <c r="AC19" s="1081" t="s">
        <v>2409</v>
      </c>
      <c r="AD19" s="1083"/>
      <c r="AE19" s="1083"/>
      <c r="AF19" s="1083"/>
      <c r="AG19" s="1082"/>
    </row>
    <row r="20" spans="1:33" ht="11.85" customHeight="1" x14ac:dyDescent="0.25">
      <c r="A20" s="1042" t="s">
        <v>1506</v>
      </c>
      <c r="B20" s="1043"/>
      <c r="C20" s="1043"/>
      <c r="D20" s="1043"/>
      <c r="E20" s="1043"/>
      <c r="F20" s="1043"/>
      <c r="G20" s="1043"/>
      <c r="H20" s="1043"/>
      <c r="I20" s="1044"/>
      <c r="J20" s="1081" t="s">
        <v>1238</v>
      </c>
      <c r="K20" s="1083"/>
      <c r="L20" s="1083"/>
      <c r="M20" s="1083"/>
      <c r="N20" s="1083"/>
      <c r="O20" s="1082"/>
      <c r="P20" s="1081" t="s">
        <v>1238</v>
      </c>
      <c r="Q20" s="1083"/>
      <c r="R20" s="1083"/>
      <c r="S20" s="1083"/>
      <c r="T20" s="1083"/>
      <c r="U20" s="1083"/>
      <c r="V20" s="1082"/>
      <c r="W20" s="1081" t="s">
        <v>2243</v>
      </c>
      <c r="X20" s="1083"/>
      <c r="Y20" s="1083"/>
      <c r="Z20" s="1083"/>
      <c r="AA20" s="1083"/>
      <c r="AB20" s="1082"/>
      <c r="AC20" s="1081" t="s">
        <v>2410</v>
      </c>
      <c r="AD20" s="1083"/>
      <c r="AE20" s="1083"/>
      <c r="AF20" s="1083"/>
      <c r="AG20" s="1082"/>
    </row>
    <row r="21" spans="1:33" ht="11.85" customHeight="1" x14ac:dyDescent="0.25">
      <c r="A21" s="1045" t="s">
        <v>1507</v>
      </c>
      <c r="B21" s="1046"/>
      <c r="C21" s="1046"/>
      <c r="D21" s="1046"/>
      <c r="E21" s="1046"/>
      <c r="F21" s="1046"/>
      <c r="G21" s="1046"/>
      <c r="H21" s="1046"/>
      <c r="I21" s="1047"/>
      <c r="J21" s="1075" t="s">
        <v>479</v>
      </c>
      <c r="K21" s="1077"/>
      <c r="L21" s="1077"/>
      <c r="M21" s="1077"/>
      <c r="N21" s="1077"/>
      <c r="O21" s="1076"/>
      <c r="P21" s="1075" t="s">
        <v>479</v>
      </c>
      <c r="Q21" s="1077"/>
      <c r="R21" s="1077"/>
      <c r="S21" s="1077"/>
      <c r="T21" s="1077"/>
      <c r="U21" s="1077"/>
      <c r="V21" s="1076"/>
      <c r="W21" s="1075" t="s">
        <v>479</v>
      </c>
      <c r="X21" s="1077"/>
      <c r="Y21" s="1077"/>
      <c r="Z21" s="1077"/>
      <c r="AA21" s="1077"/>
      <c r="AB21" s="1076"/>
      <c r="AC21" s="1075" t="s">
        <v>479</v>
      </c>
      <c r="AD21" s="1077"/>
      <c r="AE21" s="1077"/>
      <c r="AF21" s="1077"/>
      <c r="AG21" s="1076"/>
    </row>
    <row r="22" spans="1:33" ht="11.1" customHeight="1" x14ac:dyDescent="0.25">
      <c r="A22" s="1146" t="s">
        <v>1508</v>
      </c>
      <c r="B22" s="1147"/>
      <c r="C22" s="1147"/>
      <c r="D22" s="1147"/>
      <c r="E22" s="1147"/>
      <c r="F22" s="1147"/>
      <c r="G22" s="1147"/>
      <c r="H22" s="1147"/>
      <c r="I22" s="1148"/>
      <c r="J22" s="1149" t="s">
        <v>1509</v>
      </c>
      <c r="K22" s="1150"/>
      <c r="L22" s="1150"/>
      <c r="M22" s="1150"/>
      <c r="N22" s="1150"/>
      <c r="O22" s="1151"/>
      <c r="P22" s="1149" t="s">
        <v>1509</v>
      </c>
      <c r="Q22" s="1150"/>
      <c r="R22" s="1150"/>
      <c r="S22" s="1150"/>
      <c r="T22" s="1150"/>
      <c r="U22" s="1150"/>
      <c r="V22" s="1151"/>
      <c r="W22" s="1149" t="s">
        <v>2246</v>
      </c>
      <c r="X22" s="1150"/>
      <c r="Y22" s="1150"/>
      <c r="Z22" s="1150"/>
      <c r="AA22" s="1150"/>
      <c r="AB22" s="1151"/>
      <c r="AC22" s="1149" t="s">
        <v>2411</v>
      </c>
      <c r="AD22" s="1150"/>
      <c r="AE22" s="1150"/>
      <c r="AF22" s="1150"/>
      <c r="AG22" s="1151"/>
    </row>
    <row r="23" spans="1:33" ht="11.85" customHeight="1" x14ac:dyDescent="0.25">
      <c r="A23" s="941"/>
      <c r="B23" s="941"/>
      <c r="C23" s="941"/>
      <c r="D23" s="941"/>
      <c r="E23" s="941"/>
      <c r="F23" s="941"/>
      <c r="G23" s="941"/>
      <c r="H23" s="941"/>
      <c r="I23" s="941"/>
      <c r="J23" s="941"/>
      <c r="K23" s="941"/>
      <c r="L23" s="941"/>
      <c r="M23" s="941"/>
      <c r="N23" s="941"/>
      <c r="O23" s="941"/>
      <c r="P23" s="941"/>
      <c r="Q23" s="941"/>
      <c r="R23" s="941"/>
      <c r="S23" s="941"/>
      <c r="T23" s="941"/>
      <c r="U23" s="941"/>
      <c r="V23" s="941"/>
      <c r="W23" s="941"/>
      <c r="X23" s="941"/>
      <c r="Y23" s="941"/>
      <c r="Z23" s="941"/>
      <c r="AA23" s="941"/>
      <c r="AB23" s="941"/>
      <c r="AC23" s="941"/>
      <c r="AD23" s="941"/>
      <c r="AE23" s="941"/>
      <c r="AF23" s="941"/>
      <c r="AG23" s="941"/>
    </row>
    <row r="24" spans="1:33" ht="11.85" customHeight="1" x14ac:dyDescent="0.25">
      <c r="A24" s="1096" t="s">
        <v>1510</v>
      </c>
      <c r="B24" s="1097"/>
      <c r="C24" s="1097"/>
      <c r="D24" s="1097"/>
      <c r="E24" s="1098"/>
      <c r="F24" s="892" t="s">
        <v>1511</v>
      </c>
      <c r="G24" s="893"/>
      <c r="H24" s="892" t="s">
        <v>962</v>
      </c>
      <c r="I24" s="900"/>
      <c r="J24" s="900"/>
      <c r="K24" s="893"/>
      <c r="L24" s="897" t="s">
        <v>562</v>
      </c>
      <c r="M24" s="898"/>
      <c r="N24" s="898"/>
      <c r="O24" s="898"/>
      <c r="P24" s="898"/>
      <c r="Q24" s="898"/>
      <c r="R24" s="899"/>
      <c r="S24" s="897" t="s">
        <v>564</v>
      </c>
      <c r="T24" s="898"/>
      <c r="U24" s="898"/>
      <c r="V24" s="898"/>
      <c r="W24" s="898"/>
      <c r="X24" s="898"/>
      <c r="Y24" s="898"/>
      <c r="Z24" s="899"/>
      <c r="AA24" s="897" t="s">
        <v>1512</v>
      </c>
      <c r="AB24" s="898"/>
      <c r="AC24" s="898"/>
      <c r="AD24" s="898"/>
      <c r="AE24" s="898"/>
      <c r="AF24" s="898"/>
      <c r="AG24" s="899"/>
    </row>
    <row r="25" spans="1:33" ht="17.850000000000001" customHeight="1" x14ac:dyDescent="0.25">
      <c r="A25" s="1099"/>
      <c r="B25" s="1100"/>
      <c r="C25" s="1100"/>
      <c r="D25" s="1100"/>
      <c r="E25" s="1101"/>
      <c r="F25" s="894"/>
      <c r="G25" s="895"/>
      <c r="H25" s="894"/>
      <c r="I25" s="901"/>
      <c r="J25" s="901"/>
      <c r="K25" s="895"/>
      <c r="L25" s="892" t="s">
        <v>1513</v>
      </c>
      <c r="M25" s="902"/>
      <c r="N25" s="903"/>
      <c r="O25" s="892" t="s">
        <v>1514</v>
      </c>
      <c r="P25" s="902"/>
      <c r="Q25" s="902"/>
      <c r="R25" s="903"/>
      <c r="S25" s="892" t="s">
        <v>1515</v>
      </c>
      <c r="T25" s="902"/>
      <c r="U25" s="902"/>
      <c r="V25" s="902"/>
      <c r="W25" s="903"/>
      <c r="X25" s="892" t="s">
        <v>1516</v>
      </c>
      <c r="Y25" s="902"/>
      <c r="Z25" s="903"/>
      <c r="AA25" s="892" t="s">
        <v>1517</v>
      </c>
      <c r="AB25" s="902"/>
      <c r="AC25" s="902"/>
      <c r="AD25" s="903"/>
      <c r="AE25" s="892" t="s">
        <v>1518</v>
      </c>
      <c r="AF25" s="902"/>
      <c r="AG25" s="903"/>
    </row>
    <row r="26" spans="1:33" ht="11.1" customHeight="1" x14ac:dyDescent="0.25">
      <c r="A26" s="1048" t="s">
        <v>1519</v>
      </c>
      <c r="B26" s="1049"/>
      <c r="C26" s="1049"/>
      <c r="D26" s="1049"/>
      <c r="E26" s="1050"/>
      <c r="F26" s="1093" t="s">
        <v>1520</v>
      </c>
      <c r="G26" s="1094"/>
      <c r="H26" s="1093" t="s">
        <v>2412</v>
      </c>
      <c r="I26" s="1095"/>
      <c r="J26" s="1095"/>
      <c r="K26" s="1094"/>
      <c r="L26" s="1093" t="s">
        <v>2413</v>
      </c>
      <c r="M26" s="1095"/>
      <c r="N26" s="1094"/>
      <c r="O26" s="1093" t="s">
        <v>2414</v>
      </c>
      <c r="P26" s="1095"/>
      <c r="Q26" s="1095"/>
      <c r="R26" s="1094"/>
      <c r="S26" s="1093" t="s">
        <v>2415</v>
      </c>
      <c r="T26" s="1095"/>
      <c r="U26" s="1095"/>
      <c r="V26" s="1095"/>
      <c r="W26" s="1094"/>
      <c r="X26" s="1093" t="s">
        <v>2416</v>
      </c>
      <c r="Y26" s="1095"/>
      <c r="Z26" s="1094"/>
      <c r="AA26" s="1093" t="s">
        <v>2417</v>
      </c>
      <c r="AB26" s="1095"/>
      <c r="AC26" s="1095"/>
      <c r="AD26" s="1094"/>
      <c r="AE26" s="1093" t="s">
        <v>2418</v>
      </c>
      <c r="AF26" s="1095"/>
      <c r="AG26" s="1094"/>
    </row>
    <row r="27" spans="1:33" ht="11.85" customHeight="1" x14ac:dyDescent="0.25">
      <c r="A27" s="1042" t="s">
        <v>1521</v>
      </c>
      <c r="B27" s="1043"/>
      <c r="C27" s="1043"/>
      <c r="D27" s="1043"/>
      <c r="E27" s="1044"/>
      <c r="F27" s="1081" t="s">
        <v>1522</v>
      </c>
      <c r="G27" s="1082"/>
      <c r="H27" s="1081" t="s">
        <v>2419</v>
      </c>
      <c r="I27" s="1083"/>
      <c r="J27" s="1083"/>
      <c r="K27" s="1082"/>
      <c r="L27" s="1081" t="s">
        <v>2413</v>
      </c>
      <c r="M27" s="1083"/>
      <c r="N27" s="1082"/>
      <c r="O27" s="1081" t="s">
        <v>2420</v>
      </c>
      <c r="P27" s="1083"/>
      <c r="Q27" s="1083"/>
      <c r="R27" s="1082"/>
      <c r="S27" s="1081" t="s">
        <v>2415</v>
      </c>
      <c r="T27" s="1083"/>
      <c r="U27" s="1083"/>
      <c r="V27" s="1083"/>
      <c r="W27" s="1082"/>
      <c r="X27" s="1081" t="s">
        <v>2421</v>
      </c>
      <c r="Y27" s="1083"/>
      <c r="Z27" s="1082"/>
      <c r="AA27" s="1081" t="s">
        <v>2417</v>
      </c>
      <c r="AB27" s="1083"/>
      <c r="AC27" s="1083"/>
      <c r="AD27" s="1082"/>
      <c r="AE27" s="1081" t="s">
        <v>2422</v>
      </c>
      <c r="AF27" s="1083"/>
      <c r="AG27" s="1082"/>
    </row>
    <row r="28" spans="1:33" ht="11.85" customHeight="1" x14ac:dyDescent="0.25">
      <c r="A28" s="1042" t="s">
        <v>1479</v>
      </c>
      <c r="B28" s="1043"/>
      <c r="C28" s="1043"/>
      <c r="D28" s="1043"/>
      <c r="E28" s="1044"/>
      <c r="F28" s="1081" t="s">
        <v>1523</v>
      </c>
      <c r="G28" s="1082"/>
      <c r="H28" s="1081" t="s">
        <v>2423</v>
      </c>
      <c r="I28" s="1083"/>
      <c r="J28" s="1083"/>
      <c r="K28" s="1082"/>
      <c r="L28" s="1081" t="s">
        <v>479</v>
      </c>
      <c r="M28" s="1083"/>
      <c r="N28" s="1082"/>
      <c r="O28" s="1081" t="s">
        <v>479</v>
      </c>
      <c r="P28" s="1083"/>
      <c r="Q28" s="1083"/>
      <c r="R28" s="1082"/>
      <c r="S28" s="1081" t="s">
        <v>479</v>
      </c>
      <c r="T28" s="1083"/>
      <c r="U28" s="1083"/>
      <c r="V28" s="1083"/>
      <c r="W28" s="1082"/>
      <c r="X28" s="1081" t="s">
        <v>479</v>
      </c>
      <c r="Y28" s="1083"/>
      <c r="Z28" s="1082"/>
      <c r="AA28" s="1081" t="s">
        <v>479</v>
      </c>
      <c r="AB28" s="1083"/>
      <c r="AC28" s="1083"/>
      <c r="AD28" s="1082"/>
      <c r="AE28" s="1081" t="s">
        <v>479</v>
      </c>
      <c r="AF28" s="1083"/>
      <c r="AG28" s="1082"/>
    </row>
    <row r="29" spans="1:33" ht="11.85" customHeight="1" x14ac:dyDescent="0.25">
      <c r="A29" s="1042" t="s">
        <v>1524</v>
      </c>
      <c r="B29" s="1043"/>
      <c r="C29" s="1043"/>
      <c r="D29" s="1043"/>
      <c r="E29" s="1044"/>
      <c r="F29" s="1081" t="s">
        <v>1525</v>
      </c>
      <c r="G29" s="1082"/>
      <c r="H29" s="1081" t="s">
        <v>2424</v>
      </c>
      <c r="I29" s="1083"/>
      <c r="J29" s="1083"/>
      <c r="K29" s="1082"/>
      <c r="L29" s="1081" t="s">
        <v>2425</v>
      </c>
      <c r="M29" s="1083"/>
      <c r="N29" s="1082"/>
      <c r="O29" s="1081" t="s">
        <v>2426</v>
      </c>
      <c r="P29" s="1083"/>
      <c r="Q29" s="1083"/>
      <c r="R29" s="1082"/>
      <c r="S29" s="1081" t="s">
        <v>2427</v>
      </c>
      <c r="T29" s="1083"/>
      <c r="U29" s="1083"/>
      <c r="V29" s="1083"/>
      <c r="W29" s="1082"/>
      <c r="X29" s="1081" t="s">
        <v>2428</v>
      </c>
      <c r="Y29" s="1083"/>
      <c r="Z29" s="1082"/>
      <c r="AA29" s="1081" t="s">
        <v>2429</v>
      </c>
      <c r="AB29" s="1083"/>
      <c r="AC29" s="1083"/>
      <c r="AD29" s="1082"/>
      <c r="AE29" s="1081" t="s">
        <v>2430</v>
      </c>
      <c r="AF29" s="1083"/>
      <c r="AG29" s="1082"/>
    </row>
    <row r="30" spans="1:33" ht="11.1" customHeight="1" x14ac:dyDescent="0.25">
      <c r="A30" s="1042" t="s">
        <v>1521</v>
      </c>
      <c r="B30" s="1043"/>
      <c r="C30" s="1043"/>
      <c r="D30" s="1043"/>
      <c r="E30" s="1044"/>
      <c r="F30" s="1081" t="s">
        <v>1526</v>
      </c>
      <c r="G30" s="1082"/>
      <c r="H30" s="1081" t="s">
        <v>2431</v>
      </c>
      <c r="I30" s="1083"/>
      <c r="J30" s="1083"/>
      <c r="K30" s="1082"/>
      <c r="L30" s="1081" t="s">
        <v>2425</v>
      </c>
      <c r="M30" s="1083"/>
      <c r="N30" s="1082"/>
      <c r="O30" s="1081" t="s">
        <v>2432</v>
      </c>
      <c r="P30" s="1083"/>
      <c r="Q30" s="1083"/>
      <c r="R30" s="1082"/>
      <c r="S30" s="1081" t="s">
        <v>2427</v>
      </c>
      <c r="T30" s="1083"/>
      <c r="U30" s="1083"/>
      <c r="V30" s="1083"/>
      <c r="W30" s="1082"/>
      <c r="X30" s="1081" t="s">
        <v>2433</v>
      </c>
      <c r="Y30" s="1083"/>
      <c r="Z30" s="1082"/>
      <c r="AA30" s="1081" t="s">
        <v>2429</v>
      </c>
      <c r="AB30" s="1083"/>
      <c r="AC30" s="1083"/>
      <c r="AD30" s="1082"/>
      <c r="AE30" s="1081" t="s">
        <v>2434</v>
      </c>
      <c r="AF30" s="1083"/>
      <c r="AG30" s="1082"/>
    </row>
    <row r="31" spans="1:33" ht="11.85" customHeight="1" x14ac:dyDescent="0.25">
      <c r="A31" s="1042" t="s">
        <v>1479</v>
      </c>
      <c r="B31" s="1043"/>
      <c r="C31" s="1043"/>
      <c r="D31" s="1043"/>
      <c r="E31" s="1044"/>
      <c r="F31" s="1081" t="s">
        <v>1527</v>
      </c>
      <c r="G31" s="1082"/>
      <c r="H31" s="1081" t="s">
        <v>2435</v>
      </c>
      <c r="I31" s="1083"/>
      <c r="J31" s="1083"/>
      <c r="K31" s="1082"/>
      <c r="L31" s="1081" t="s">
        <v>479</v>
      </c>
      <c r="M31" s="1083"/>
      <c r="N31" s="1082"/>
      <c r="O31" s="1081" t="s">
        <v>479</v>
      </c>
      <c r="P31" s="1083"/>
      <c r="Q31" s="1083"/>
      <c r="R31" s="1082"/>
      <c r="S31" s="1081" t="s">
        <v>479</v>
      </c>
      <c r="T31" s="1083"/>
      <c r="U31" s="1083"/>
      <c r="V31" s="1083"/>
      <c r="W31" s="1082"/>
      <c r="X31" s="1081" t="s">
        <v>479</v>
      </c>
      <c r="Y31" s="1083"/>
      <c r="Z31" s="1082"/>
      <c r="AA31" s="1081" t="s">
        <v>479</v>
      </c>
      <c r="AB31" s="1083"/>
      <c r="AC31" s="1083"/>
      <c r="AD31" s="1082"/>
      <c r="AE31" s="1081" t="s">
        <v>479</v>
      </c>
      <c r="AF31" s="1083"/>
      <c r="AG31" s="1082"/>
    </row>
    <row r="32" spans="1:33" ht="11.85" customHeight="1" x14ac:dyDescent="0.25">
      <c r="A32" s="1042" t="s">
        <v>1528</v>
      </c>
      <c r="B32" s="1043"/>
      <c r="C32" s="1043"/>
      <c r="D32" s="1043"/>
      <c r="E32" s="1044"/>
      <c r="F32" s="1081" t="s">
        <v>1529</v>
      </c>
      <c r="G32" s="1082"/>
      <c r="H32" s="1081" t="s">
        <v>1530</v>
      </c>
      <c r="I32" s="1083"/>
      <c r="J32" s="1083"/>
      <c r="K32" s="1082"/>
      <c r="L32" s="1081" t="s">
        <v>2436</v>
      </c>
      <c r="M32" s="1083"/>
      <c r="N32" s="1082"/>
      <c r="O32" s="1081" t="s">
        <v>2437</v>
      </c>
      <c r="P32" s="1083"/>
      <c r="Q32" s="1083"/>
      <c r="R32" s="1082"/>
      <c r="S32" s="1081" t="s">
        <v>2438</v>
      </c>
      <c r="T32" s="1083"/>
      <c r="U32" s="1083"/>
      <c r="V32" s="1083"/>
      <c r="W32" s="1082"/>
      <c r="X32" s="1081" t="s">
        <v>2439</v>
      </c>
      <c r="Y32" s="1083"/>
      <c r="Z32" s="1082"/>
      <c r="AA32" s="1081" t="s">
        <v>2440</v>
      </c>
      <c r="AB32" s="1083"/>
      <c r="AC32" s="1083"/>
      <c r="AD32" s="1082"/>
      <c r="AE32" s="1081" t="s">
        <v>2441</v>
      </c>
      <c r="AF32" s="1083"/>
      <c r="AG32" s="1082"/>
    </row>
    <row r="33" spans="1:33" ht="11.85" customHeight="1" x14ac:dyDescent="0.25">
      <c r="A33" s="1042" t="s">
        <v>1521</v>
      </c>
      <c r="B33" s="1043"/>
      <c r="C33" s="1043"/>
      <c r="D33" s="1043"/>
      <c r="E33" s="1044"/>
      <c r="F33" s="1081" t="s">
        <v>1529</v>
      </c>
      <c r="G33" s="1082"/>
      <c r="H33" s="1081" t="s">
        <v>1530</v>
      </c>
      <c r="I33" s="1083"/>
      <c r="J33" s="1083"/>
      <c r="K33" s="1082"/>
      <c r="L33" s="1081" t="s">
        <v>2436</v>
      </c>
      <c r="M33" s="1083"/>
      <c r="N33" s="1082"/>
      <c r="O33" s="1081" t="s">
        <v>2437</v>
      </c>
      <c r="P33" s="1083"/>
      <c r="Q33" s="1083"/>
      <c r="R33" s="1082"/>
      <c r="S33" s="1081" t="s">
        <v>2438</v>
      </c>
      <c r="T33" s="1083"/>
      <c r="U33" s="1083"/>
      <c r="V33" s="1083"/>
      <c r="W33" s="1082"/>
      <c r="X33" s="1081" t="s">
        <v>2439</v>
      </c>
      <c r="Y33" s="1083"/>
      <c r="Z33" s="1082"/>
      <c r="AA33" s="1081" t="s">
        <v>2440</v>
      </c>
      <c r="AB33" s="1083"/>
      <c r="AC33" s="1083"/>
      <c r="AD33" s="1082"/>
      <c r="AE33" s="1081" t="s">
        <v>2441</v>
      </c>
      <c r="AF33" s="1083"/>
      <c r="AG33" s="1082"/>
    </row>
    <row r="34" spans="1:33" ht="11.1" customHeight="1" x14ac:dyDescent="0.25">
      <c r="A34" s="1042" t="s">
        <v>1479</v>
      </c>
      <c r="B34" s="1043"/>
      <c r="C34" s="1043"/>
      <c r="D34" s="1043"/>
      <c r="E34" s="1044"/>
      <c r="F34" s="1081" t="s">
        <v>479</v>
      </c>
      <c r="G34" s="1082"/>
      <c r="H34" s="1081" t="s">
        <v>479</v>
      </c>
      <c r="I34" s="1083"/>
      <c r="J34" s="1083"/>
      <c r="K34" s="1082"/>
      <c r="L34" s="1081" t="s">
        <v>479</v>
      </c>
      <c r="M34" s="1083"/>
      <c r="N34" s="1082"/>
      <c r="O34" s="1081" t="s">
        <v>479</v>
      </c>
      <c r="P34" s="1083"/>
      <c r="Q34" s="1083"/>
      <c r="R34" s="1082"/>
      <c r="S34" s="1081" t="s">
        <v>479</v>
      </c>
      <c r="T34" s="1083"/>
      <c r="U34" s="1083"/>
      <c r="V34" s="1083"/>
      <c r="W34" s="1082"/>
      <c r="X34" s="1081" t="s">
        <v>479</v>
      </c>
      <c r="Y34" s="1083"/>
      <c r="Z34" s="1082"/>
      <c r="AA34" s="1081" t="s">
        <v>479</v>
      </c>
      <c r="AB34" s="1083"/>
      <c r="AC34" s="1083"/>
      <c r="AD34" s="1082"/>
      <c r="AE34" s="1081" t="s">
        <v>479</v>
      </c>
      <c r="AF34" s="1083"/>
      <c r="AG34" s="1082"/>
    </row>
    <row r="35" spans="1:33" ht="11.85" customHeight="1" x14ac:dyDescent="0.25">
      <c r="A35" s="1042" t="s">
        <v>1531</v>
      </c>
      <c r="B35" s="1043"/>
      <c r="C35" s="1043"/>
      <c r="D35" s="1043"/>
      <c r="E35" s="1044"/>
      <c r="F35" s="1081" t="s">
        <v>1532</v>
      </c>
      <c r="G35" s="1082"/>
      <c r="H35" s="1081" t="s">
        <v>1533</v>
      </c>
      <c r="I35" s="1083"/>
      <c r="J35" s="1083"/>
      <c r="K35" s="1082"/>
      <c r="L35" s="1081" t="s">
        <v>2442</v>
      </c>
      <c r="M35" s="1083"/>
      <c r="N35" s="1082"/>
      <c r="O35" s="1081" t="s">
        <v>2443</v>
      </c>
      <c r="P35" s="1083"/>
      <c r="Q35" s="1083"/>
      <c r="R35" s="1082"/>
      <c r="S35" s="1081" t="s">
        <v>2444</v>
      </c>
      <c r="T35" s="1083"/>
      <c r="U35" s="1083"/>
      <c r="V35" s="1083"/>
      <c r="W35" s="1082"/>
      <c r="X35" s="1081" t="s">
        <v>2445</v>
      </c>
      <c r="Y35" s="1083"/>
      <c r="Z35" s="1082"/>
      <c r="AA35" s="1081" t="s">
        <v>2446</v>
      </c>
      <c r="AB35" s="1083"/>
      <c r="AC35" s="1083"/>
      <c r="AD35" s="1082"/>
      <c r="AE35" s="1081" t="s">
        <v>2447</v>
      </c>
      <c r="AF35" s="1083"/>
      <c r="AG35" s="1082"/>
    </row>
    <row r="36" spans="1:33" ht="11.85" customHeight="1" x14ac:dyDescent="0.25">
      <c r="A36" s="1042" t="s">
        <v>1521</v>
      </c>
      <c r="B36" s="1043"/>
      <c r="C36" s="1043"/>
      <c r="D36" s="1043"/>
      <c r="E36" s="1044"/>
      <c r="F36" s="1081" t="s">
        <v>1534</v>
      </c>
      <c r="G36" s="1082"/>
      <c r="H36" s="1081" t="s">
        <v>1535</v>
      </c>
      <c r="I36" s="1083"/>
      <c r="J36" s="1083"/>
      <c r="K36" s="1082"/>
      <c r="L36" s="1081" t="s">
        <v>2442</v>
      </c>
      <c r="M36" s="1083"/>
      <c r="N36" s="1082"/>
      <c r="O36" s="1081" t="s">
        <v>2443</v>
      </c>
      <c r="P36" s="1083"/>
      <c r="Q36" s="1083"/>
      <c r="R36" s="1082"/>
      <c r="S36" s="1081" t="s">
        <v>2444</v>
      </c>
      <c r="T36" s="1083"/>
      <c r="U36" s="1083"/>
      <c r="V36" s="1083"/>
      <c r="W36" s="1082"/>
      <c r="X36" s="1081" t="s">
        <v>2445</v>
      </c>
      <c r="Y36" s="1083"/>
      <c r="Z36" s="1082"/>
      <c r="AA36" s="1081" t="s">
        <v>2446</v>
      </c>
      <c r="AB36" s="1083"/>
      <c r="AC36" s="1083"/>
      <c r="AD36" s="1082"/>
      <c r="AE36" s="1081" t="s">
        <v>2447</v>
      </c>
      <c r="AF36" s="1083"/>
      <c r="AG36" s="1082"/>
    </row>
    <row r="37" spans="1:33" ht="11.85" customHeight="1" x14ac:dyDescent="0.25">
      <c r="A37" s="1042" t="s">
        <v>1479</v>
      </c>
      <c r="B37" s="1043"/>
      <c r="C37" s="1043"/>
      <c r="D37" s="1043"/>
      <c r="E37" s="1044"/>
      <c r="F37" s="1081" t="s">
        <v>1536</v>
      </c>
      <c r="G37" s="1082"/>
      <c r="H37" s="1081" t="s">
        <v>1536</v>
      </c>
      <c r="I37" s="1083"/>
      <c r="J37" s="1083"/>
      <c r="K37" s="1082"/>
      <c r="L37" s="1081" t="s">
        <v>479</v>
      </c>
      <c r="M37" s="1083"/>
      <c r="N37" s="1082"/>
      <c r="O37" s="1081" t="s">
        <v>479</v>
      </c>
      <c r="P37" s="1083"/>
      <c r="Q37" s="1083"/>
      <c r="R37" s="1082"/>
      <c r="S37" s="1081" t="s">
        <v>479</v>
      </c>
      <c r="T37" s="1083"/>
      <c r="U37" s="1083"/>
      <c r="V37" s="1083"/>
      <c r="W37" s="1082"/>
      <c r="X37" s="1081" t="s">
        <v>479</v>
      </c>
      <c r="Y37" s="1083"/>
      <c r="Z37" s="1082"/>
      <c r="AA37" s="1081" t="s">
        <v>479</v>
      </c>
      <c r="AB37" s="1083"/>
      <c r="AC37" s="1083"/>
      <c r="AD37" s="1082"/>
      <c r="AE37" s="1081" t="s">
        <v>479</v>
      </c>
      <c r="AF37" s="1083"/>
      <c r="AG37" s="1082"/>
    </row>
    <row r="38" spans="1:33" ht="11.1" customHeight="1" x14ac:dyDescent="0.25">
      <c r="A38" s="1042" t="s">
        <v>1537</v>
      </c>
      <c r="B38" s="1043"/>
      <c r="C38" s="1043"/>
      <c r="D38" s="1043"/>
      <c r="E38" s="1044"/>
      <c r="F38" s="1081" t="s">
        <v>1538</v>
      </c>
      <c r="G38" s="1082"/>
      <c r="H38" s="1081" t="s">
        <v>1538</v>
      </c>
      <c r="I38" s="1083"/>
      <c r="J38" s="1083"/>
      <c r="K38" s="1082"/>
      <c r="L38" s="1081" t="s">
        <v>2448</v>
      </c>
      <c r="M38" s="1083"/>
      <c r="N38" s="1082"/>
      <c r="O38" s="1081" t="s">
        <v>2449</v>
      </c>
      <c r="P38" s="1083"/>
      <c r="Q38" s="1083"/>
      <c r="R38" s="1082"/>
      <c r="S38" s="1081" t="s">
        <v>2450</v>
      </c>
      <c r="T38" s="1083"/>
      <c r="U38" s="1083"/>
      <c r="V38" s="1083"/>
      <c r="W38" s="1082"/>
      <c r="X38" s="1081" t="s">
        <v>2451</v>
      </c>
      <c r="Y38" s="1083"/>
      <c r="Z38" s="1082"/>
      <c r="AA38" s="1081" t="s">
        <v>2452</v>
      </c>
      <c r="AB38" s="1083"/>
      <c r="AC38" s="1083"/>
      <c r="AD38" s="1082"/>
      <c r="AE38" s="1081" t="s">
        <v>2453</v>
      </c>
      <c r="AF38" s="1083"/>
      <c r="AG38" s="1082"/>
    </row>
    <row r="39" spans="1:33" ht="11.85" customHeight="1" x14ac:dyDescent="0.25">
      <c r="A39" s="1042" t="s">
        <v>1521</v>
      </c>
      <c r="B39" s="1043"/>
      <c r="C39" s="1043"/>
      <c r="D39" s="1043"/>
      <c r="E39" s="1044"/>
      <c r="F39" s="1081" t="s">
        <v>1538</v>
      </c>
      <c r="G39" s="1082"/>
      <c r="H39" s="1081" t="s">
        <v>1538</v>
      </c>
      <c r="I39" s="1083"/>
      <c r="J39" s="1083"/>
      <c r="K39" s="1082"/>
      <c r="L39" s="1081" t="s">
        <v>2448</v>
      </c>
      <c r="M39" s="1083"/>
      <c r="N39" s="1082"/>
      <c r="O39" s="1081" t="s">
        <v>2449</v>
      </c>
      <c r="P39" s="1083"/>
      <c r="Q39" s="1083"/>
      <c r="R39" s="1082"/>
      <c r="S39" s="1081" t="s">
        <v>2450</v>
      </c>
      <c r="T39" s="1083"/>
      <c r="U39" s="1083"/>
      <c r="V39" s="1083"/>
      <c r="W39" s="1082"/>
      <c r="X39" s="1081" t="s">
        <v>2451</v>
      </c>
      <c r="Y39" s="1083"/>
      <c r="Z39" s="1082"/>
      <c r="AA39" s="1081" t="s">
        <v>2452</v>
      </c>
      <c r="AB39" s="1083"/>
      <c r="AC39" s="1083"/>
      <c r="AD39" s="1082"/>
      <c r="AE39" s="1081" t="s">
        <v>2453</v>
      </c>
      <c r="AF39" s="1083"/>
      <c r="AG39" s="1082"/>
    </row>
    <row r="40" spans="1:33" ht="11.85" customHeight="1" x14ac:dyDescent="0.25">
      <c r="A40" s="1042" t="s">
        <v>1479</v>
      </c>
      <c r="B40" s="1043"/>
      <c r="C40" s="1043"/>
      <c r="D40" s="1043"/>
      <c r="E40" s="1044"/>
      <c r="F40" s="1081" t="s">
        <v>479</v>
      </c>
      <c r="G40" s="1082"/>
      <c r="H40" s="1081" t="s">
        <v>479</v>
      </c>
      <c r="I40" s="1083"/>
      <c r="J40" s="1083"/>
      <c r="K40" s="1082"/>
      <c r="L40" s="1081" t="s">
        <v>479</v>
      </c>
      <c r="M40" s="1083"/>
      <c r="N40" s="1082"/>
      <c r="O40" s="1081" t="s">
        <v>479</v>
      </c>
      <c r="P40" s="1083"/>
      <c r="Q40" s="1083"/>
      <c r="R40" s="1082"/>
      <c r="S40" s="1081" t="s">
        <v>479</v>
      </c>
      <c r="T40" s="1083"/>
      <c r="U40" s="1083"/>
      <c r="V40" s="1083"/>
      <c r="W40" s="1082"/>
      <c r="X40" s="1081" t="s">
        <v>479</v>
      </c>
      <c r="Y40" s="1083"/>
      <c r="Z40" s="1082"/>
      <c r="AA40" s="1081" t="s">
        <v>479</v>
      </c>
      <c r="AB40" s="1083"/>
      <c r="AC40" s="1083"/>
      <c r="AD40" s="1082"/>
      <c r="AE40" s="1081" t="s">
        <v>479</v>
      </c>
      <c r="AF40" s="1083"/>
      <c r="AG40" s="1082"/>
    </row>
    <row r="41" spans="1:33" ht="11.85" customHeight="1" x14ac:dyDescent="0.25">
      <c r="A41" s="1042" t="s">
        <v>1539</v>
      </c>
      <c r="B41" s="1043"/>
      <c r="C41" s="1043"/>
      <c r="D41" s="1043"/>
      <c r="E41" s="1044"/>
      <c r="F41" s="1081" t="s">
        <v>479</v>
      </c>
      <c r="G41" s="1082"/>
      <c r="H41" s="1081" t="s">
        <v>479</v>
      </c>
      <c r="I41" s="1083"/>
      <c r="J41" s="1083"/>
      <c r="K41" s="1082"/>
      <c r="L41" s="1081" t="s">
        <v>479</v>
      </c>
      <c r="M41" s="1083"/>
      <c r="N41" s="1082"/>
      <c r="O41" s="1081" t="s">
        <v>479</v>
      </c>
      <c r="P41" s="1083"/>
      <c r="Q41" s="1083"/>
      <c r="R41" s="1082"/>
      <c r="S41" s="1081" t="s">
        <v>479</v>
      </c>
      <c r="T41" s="1083"/>
      <c r="U41" s="1083"/>
      <c r="V41" s="1083"/>
      <c r="W41" s="1082"/>
      <c r="X41" s="1081" t="s">
        <v>479</v>
      </c>
      <c r="Y41" s="1083"/>
      <c r="Z41" s="1082"/>
      <c r="AA41" s="1081" t="s">
        <v>479</v>
      </c>
      <c r="AB41" s="1083"/>
      <c r="AC41" s="1083"/>
      <c r="AD41" s="1082"/>
      <c r="AE41" s="1081" t="s">
        <v>479</v>
      </c>
      <c r="AF41" s="1083"/>
      <c r="AG41" s="1082"/>
    </row>
    <row r="42" spans="1:33" ht="11.1" customHeight="1" x14ac:dyDescent="0.25">
      <c r="A42" s="1042" t="s">
        <v>1521</v>
      </c>
      <c r="B42" s="1043"/>
      <c r="C42" s="1043"/>
      <c r="D42" s="1043"/>
      <c r="E42" s="1044"/>
      <c r="F42" s="1081" t="s">
        <v>479</v>
      </c>
      <c r="G42" s="1082"/>
      <c r="H42" s="1081" t="s">
        <v>479</v>
      </c>
      <c r="I42" s="1083"/>
      <c r="J42" s="1083"/>
      <c r="K42" s="1082"/>
      <c r="L42" s="1081" t="s">
        <v>479</v>
      </c>
      <c r="M42" s="1083"/>
      <c r="N42" s="1082"/>
      <c r="O42" s="1081" t="s">
        <v>479</v>
      </c>
      <c r="P42" s="1083"/>
      <c r="Q42" s="1083"/>
      <c r="R42" s="1082"/>
      <c r="S42" s="1081" t="s">
        <v>479</v>
      </c>
      <c r="T42" s="1083"/>
      <c r="U42" s="1083"/>
      <c r="V42" s="1083"/>
      <c r="W42" s="1082"/>
      <c r="X42" s="1081" t="s">
        <v>479</v>
      </c>
      <c r="Y42" s="1083"/>
      <c r="Z42" s="1082"/>
      <c r="AA42" s="1081" t="s">
        <v>479</v>
      </c>
      <c r="AB42" s="1083"/>
      <c r="AC42" s="1083"/>
      <c r="AD42" s="1082"/>
      <c r="AE42" s="1081" t="s">
        <v>479</v>
      </c>
      <c r="AF42" s="1083"/>
      <c r="AG42" s="1082"/>
    </row>
    <row r="43" spans="1:33" ht="11.85" customHeight="1" x14ac:dyDescent="0.25">
      <c r="A43" s="1042" t="s">
        <v>1479</v>
      </c>
      <c r="B43" s="1043"/>
      <c r="C43" s="1043"/>
      <c r="D43" s="1043"/>
      <c r="E43" s="1044"/>
      <c r="F43" s="1081" t="s">
        <v>479</v>
      </c>
      <c r="G43" s="1082"/>
      <c r="H43" s="1081" t="s">
        <v>479</v>
      </c>
      <c r="I43" s="1083"/>
      <c r="J43" s="1083"/>
      <c r="K43" s="1082"/>
      <c r="L43" s="1081" t="s">
        <v>479</v>
      </c>
      <c r="M43" s="1083"/>
      <c r="N43" s="1082"/>
      <c r="O43" s="1081" t="s">
        <v>479</v>
      </c>
      <c r="P43" s="1083"/>
      <c r="Q43" s="1083"/>
      <c r="R43" s="1082"/>
      <c r="S43" s="1081" t="s">
        <v>479</v>
      </c>
      <c r="T43" s="1083"/>
      <c r="U43" s="1083"/>
      <c r="V43" s="1083"/>
      <c r="W43" s="1082"/>
      <c r="X43" s="1081" t="s">
        <v>479</v>
      </c>
      <c r="Y43" s="1083"/>
      <c r="Z43" s="1082"/>
      <c r="AA43" s="1081" t="s">
        <v>479</v>
      </c>
      <c r="AB43" s="1083"/>
      <c r="AC43" s="1083"/>
      <c r="AD43" s="1082"/>
      <c r="AE43" s="1081" t="s">
        <v>479</v>
      </c>
      <c r="AF43" s="1083"/>
      <c r="AG43" s="1082"/>
    </row>
    <row r="44" spans="1:33" ht="11.85" customHeight="1" x14ac:dyDescent="0.25">
      <c r="A44" s="1042" t="s">
        <v>1540</v>
      </c>
      <c r="B44" s="1043"/>
      <c r="C44" s="1043"/>
      <c r="D44" s="1043"/>
      <c r="E44" s="1044"/>
      <c r="F44" s="1081" t="s">
        <v>1541</v>
      </c>
      <c r="G44" s="1082"/>
      <c r="H44" s="1081" t="s">
        <v>2454</v>
      </c>
      <c r="I44" s="1083"/>
      <c r="J44" s="1083"/>
      <c r="K44" s="1082"/>
      <c r="L44" s="1081" t="s">
        <v>2455</v>
      </c>
      <c r="M44" s="1083"/>
      <c r="N44" s="1082"/>
      <c r="O44" s="1081" t="s">
        <v>2456</v>
      </c>
      <c r="P44" s="1083"/>
      <c r="Q44" s="1083"/>
      <c r="R44" s="1082"/>
      <c r="S44" s="1081" t="s">
        <v>2457</v>
      </c>
      <c r="T44" s="1083"/>
      <c r="U44" s="1083"/>
      <c r="V44" s="1083"/>
      <c r="W44" s="1082"/>
      <c r="X44" s="1081" t="s">
        <v>2458</v>
      </c>
      <c r="Y44" s="1083"/>
      <c r="Z44" s="1082"/>
      <c r="AA44" s="1081" t="s">
        <v>2459</v>
      </c>
      <c r="AB44" s="1083"/>
      <c r="AC44" s="1083"/>
      <c r="AD44" s="1082"/>
      <c r="AE44" s="1081" t="s">
        <v>2460</v>
      </c>
      <c r="AF44" s="1083"/>
      <c r="AG44" s="1082"/>
    </row>
    <row r="45" spans="1:33" ht="11.85" customHeight="1" x14ac:dyDescent="0.25">
      <c r="A45" s="1042" t="s">
        <v>1521</v>
      </c>
      <c r="B45" s="1043"/>
      <c r="C45" s="1043"/>
      <c r="D45" s="1043"/>
      <c r="E45" s="1044"/>
      <c r="F45" s="1081" t="s">
        <v>1542</v>
      </c>
      <c r="G45" s="1082"/>
      <c r="H45" s="1081" t="s">
        <v>2461</v>
      </c>
      <c r="I45" s="1083"/>
      <c r="J45" s="1083"/>
      <c r="K45" s="1082"/>
      <c r="L45" s="1081" t="s">
        <v>2462</v>
      </c>
      <c r="M45" s="1083"/>
      <c r="N45" s="1082"/>
      <c r="O45" s="1081" t="s">
        <v>2463</v>
      </c>
      <c r="P45" s="1083"/>
      <c r="Q45" s="1083"/>
      <c r="R45" s="1082"/>
      <c r="S45" s="1081" t="s">
        <v>2464</v>
      </c>
      <c r="T45" s="1083"/>
      <c r="U45" s="1083"/>
      <c r="V45" s="1083"/>
      <c r="W45" s="1082"/>
      <c r="X45" s="1081" t="s">
        <v>2465</v>
      </c>
      <c r="Y45" s="1083"/>
      <c r="Z45" s="1082"/>
      <c r="AA45" s="1081" t="s">
        <v>2466</v>
      </c>
      <c r="AB45" s="1083"/>
      <c r="AC45" s="1083"/>
      <c r="AD45" s="1082"/>
      <c r="AE45" s="1081" t="s">
        <v>2467</v>
      </c>
      <c r="AF45" s="1083"/>
      <c r="AG45" s="1082"/>
    </row>
    <row r="46" spans="1:33" ht="5.0999999999999996" customHeight="1" x14ac:dyDescent="0.25"/>
    <row r="47" spans="1:33" ht="11.85" customHeight="1" x14ac:dyDescent="0.25">
      <c r="A47" s="920" t="s">
        <v>2468</v>
      </c>
      <c r="B47" s="920"/>
      <c r="C47" s="920"/>
      <c r="D47" s="920"/>
      <c r="E47" s="920"/>
      <c r="F47" s="920"/>
      <c r="G47" s="920"/>
      <c r="H47" s="920"/>
      <c r="I47" s="920"/>
      <c r="J47" s="920"/>
      <c r="K47" s="920"/>
      <c r="L47" s="920"/>
      <c r="M47" s="920"/>
      <c r="N47" s="920"/>
      <c r="O47" s="920"/>
      <c r="P47" s="920"/>
      <c r="Q47" s="920"/>
      <c r="R47" s="920"/>
      <c r="S47" s="920"/>
      <c r="T47" s="920"/>
      <c r="U47" s="920"/>
      <c r="V47" s="920"/>
      <c r="W47" s="920"/>
      <c r="X47" s="920"/>
      <c r="Y47" s="920"/>
      <c r="Z47" s="920"/>
      <c r="AA47" s="920"/>
      <c r="AB47" s="920"/>
      <c r="AC47" s="920"/>
      <c r="AD47" s="920"/>
      <c r="AE47" s="920"/>
      <c r="AF47" s="920"/>
    </row>
    <row r="48" spans="1:33" ht="5.85" customHeight="1" x14ac:dyDescent="0.25"/>
    <row r="49" spans="1:33" ht="11.85" customHeight="1" x14ac:dyDescent="0.25">
      <c r="A49" s="904" t="s">
        <v>539</v>
      </c>
      <c r="B49" s="904"/>
      <c r="C49" s="904"/>
      <c r="D49" s="904"/>
      <c r="E49" s="904"/>
      <c r="F49" s="904"/>
      <c r="G49" s="904"/>
      <c r="AE49" s="980" t="s">
        <v>978</v>
      </c>
      <c r="AF49" s="980"/>
    </row>
    <row r="50" spans="1:33" ht="11.1" customHeight="1" x14ac:dyDescent="0.25">
      <c r="A50" s="904" t="s">
        <v>467</v>
      </c>
      <c r="B50" s="904"/>
      <c r="C50" s="904"/>
      <c r="D50" s="904"/>
      <c r="E50" s="904"/>
      <c r="F50" s="904"/>
      <c r="G50" s="904"/>
    </row>
    <row r="51" spans="1:33" ht="11.85" customHeight="1" x14ac:dyDescent="0.25">
      <c r="A51" s="905" t="s">
        <v>1490</v>
      </c>
      <c r="B51" s="905"/>
      <c r="C51" s="905"/>
      <c r="D51" s="905"/>
      <c r="E51" s="905"/>
      <c r="F51" s="905"/>
      <c r="G51" s="905"/>
    </row>
    <row r="52" spans="1:33" ht="11.85" customHeight="1" x14ac:dyDescent="0.25">
      <c r="A52" s="904" t="s">
        <v>587</v>
      </c>
      <c r="B52" s="904"/>
      <c r="C52" s="904"/>
      <c r="D52" s="904"/>
      <c r="E52" s="904"/>
      <c r="F52" s="904"/>
      <c r="G52" s="904"/>
    </row>
    <row r="53" spans="1:33" ht="11.85" customHeight="1" x14ac:dyDescent="0.25">
      <c r="A53" s="904" t="s">
        <v>2400</v>
      </c>
      <c r="B53" s="904"/>
      <c r="C53" s="904"/>
      <c r="D53" s="904"/>
      <c r="E53" s="904"/>
      <c r="F53" s="904"/>
      <c r="G53" s="904"/>
    </row>
    <row r="54" spans="1:33" ht="5.85" customHeight="1" x14ac:dyDescent="0.25"/>
    <row r="55" spans="1:33" ht="11.1" customHeight="1" x14ac:dyDescent="0.25">
      <c r="A55" s="906" t="s">
        <v>1491</v>
      </c>
      <c r="B55" s="906"/>
      <c r="C55" s="906"/>
      <c r="D55" s="906"/>
      <c r="E55" s="906"/>
      <c r="F55" s="906"/>
      <c r="G55" s="906"/>
      <c r="H55" s="425"/>
      <c r="I55" s="425"/>
      <c r="J55" s="425"/>
      <c r="K55" s="425"/>
      <c r="L55" s="425"/>
      <c r="M55" s="425"/>
      <c r="N55" s="425"/>
      <c r="O55" s="425"/>
      <c r="P55" s="425"/>
      <c r="Q55" s="425"/>
      <c r="R55" s="425"/>
      <c r="S55" s="425"/>
      <c r="T55" s="425"/>
      <c r="U55" s="425"/>
      <c r="V55" s="425"/>
      <c r="W55" s="425"/>
      <c r="X55" s="425"/>
      <c r="Y55" s="425"/>
      <c r="Z55" s="425"/>
      <c r="AA55" s="425"/>
      <c r="AB55" s="425"/>
      <c r="AC55" s="425"/>
      <c r="AD55" s="425"/>
      <c r="AE55" s="425"/>
      <c r="AF55" s="425"/>
      <c r="AG55" s="425"/>
    </row>
    <row r="56" spans="1:33" ht="11.85" customHeight="1" x14ac:dyDescent="0.25">
      <c r="A56" s="1096" t="s">
        <v>1510</v>
      </c>
      <c r="B56" s="1097"/>
      <c r="C56" s="1097"/>
      <c r="D56" s="1097"/>
      <c r="E56" s="1098"/>
      <c r="F56" s="892" t="s">
        <v>1511</v>
      </c>
      <c r="G56" s="893"/>
      <c r="H56" s="892" t="s">
        <v>962</v>
      </c>
      <c r="I56" s="900"/>
      <c r="J56" s="900"/>
      <c r="K56" s="893"/>
      <c r="L56" s="897" t="s">
        <v>562</v>
      </c>
      <c r="M56" s="898"/>
      <c r="N56" s="898"/>
      <c r="O56" s="898"/>
      <c r="P56" s="898"/>
      <c r="Q56" s="898"/>
      <c r="R56" s="899"/>
      <c r="S56" s="897" t="s">
        <v>564</v>
      </c>
      <c r="T56" s="898"/>
      <c r="U56" s="898"/>
      <c r="V56" s="898"/>
      <c r="W56" s="898"/>
      <c r="X56" s="898"/>
      <c r="Y56" s="898"/>
      <c r="Z56" s="899"/>
      <c r="AA56" s="897" t="s">
        <v>1512</v>
      </c>
      <c r="AB56" s="898"/>
      <c r="AC56" s="898"/>
      <c r="AD56" s="898"/>
      <c r="AE56" s="898"/>
      <c r="AF56" s="898"/>
      <c r="AG56" s="899"/>
    </row>
    <row r="57" spans="1:33" ht="17.850000000000001" customHeight="1" x14ac:dyDescent="0.25">
      <c r="A57" s="1099"/>
      <c r="B57" s="1100"/>
      <c r="C57" s="1100"/>
      <c r="D57" s="1100"/>
      <c r="E57" s="1101"/>
      <c r="F57" s="894"/>
      <c r="G57" s="895"/>
      <c r="H57" s="894"/>
      <c r="I57" s="901"/>
      <c r="J57" s="901"/>
      <c r="K57" s="895"/>
      <c r="L57" s="892" t="s">
        <v>1513</v>
      </c>
      <c r="M57" s="902"/>
      <c r="N57" s="903"/>
      <c r="O57" s="892" t="s">
        <v>1514</v>
      </c>
      <c r="P57" s="902"/>
      <c r="Q57" s="902"/>
      <c r="R57" s="903"/>
      <c r="S57" s="892" t="s">
        <v>1515</v>
      </c>
      <c r="T57" s="902"/>
      <c r="U57" s="902"/>
      <c r="V57" s="902"/>
      <c r="W57" s="903"/>
      <c r="X57" s="892" t="s">
        <v>1516</v>
      </c>
      <c r="Y57" s="902"/>
      <c r="Z57" s="903"/>
      <c r="AA57" s="892" t="s">
        <v>1517</v>
      </c>
      <c r="AB57" s="902"/>
      <c r="AC57" s="902"/>
      <c r="AD57" s="903"/>
      <c r="AE57" s="892" t="s">
        <v>1518</v>
      </c>
      <c r="AF57" s="902"/>
      <c r="AG57" s="903"/>
    </row>
    <row r="58" spans="1:33" ht="11.1" customHeight="1" x14ac:dyDescent="0.25">
      <c r="A58" s="1135" t="s">
        <v>1479</v>
      </c>
      <c r="B58" s="1145"/>
      <c r="C58" s="1145"/>
      <c r="D58" s="1145"/>
      <c r="E58" s="1136"/>
      <c r="F58" s="1131" t="s">
        <v>1543</v>
      </c>
      <c r="G58" s="1133"/>
      <c r="H58" s="1131" t="s">
        <v>1543</v>
      </c>
      <c r="I58" s="1132"/>
      <c r="J58" s="1132"/>
      <c r="K58" s="1133"/>
      <c r="L58" s="1131" t="s">
        <v>1544</v>
      </c>
      <c r="M58" s="1132"/>
      <c r="N58" s="1133"/>
      <c r="O58" s="1131" t="s">
        <v>1545</v>
      </c>
      <c r="P58" s="1132"/>
      <c r="Q58" s="1132"/>
      <c r="R58" s="1133"/>
      <c r="S58" s="1131" t="s">
        <v>1544</v>
      </c>
      <c r="T58" s="1132"/>
      <c r="U58" s="1132"/>
      <c r="V58" s="1132"/>
      <c r="W58" s="1133"/>
      <c r="X58" s="1131" t="s">
        <v>1545</v>
      </c>
      <c r="Y58" s="1132"/>
      <c r="Z58" s="1133"/>
      <c r="AA58" s="1131" t="s">
        <v>2469</v>
      </c>
      <c r="AB58" s="1132"/>
      <c r="AC58" s="1132"/>
      <c r="AD58" s="1133"/>
      <c r="AE58" s="1131" t="s">
        <v>2470</v>
      </c>
      <c r="AF58" s="1132"/>
      <c r="AG58" s="1133"/>
    </row>
    <row r="59" spans="1:33" ht="11.85" customHeight="1" x14ac:dyDescent="0.25">
      <c r="A59" s="1102" t="s">
        <v>1546</v>
      </c>
      <c r="B59" s="1103"/>
      <c r="C59" s="1103"/>
      <c r="D59" s="1103"/>
      <c r="E59" s="1104"/>
      <c r="F59" s="1069" t="s">
        <v>1547</v>
      </c>
      <c r="G59" s="1070"/>
      <c r="H59" s="1069" t="s">
        <v>1547</v>
      </c>
      <c r="I59" s="1071"/>
      <c r="J59" s="1071"/>
      <c r="K59" s="1070"/>
      <c r="L59" s="1069" t="s">
        <v>2471</v>
      </c>
      <c r="M59" s="1071"/>
      <c r="N59" s="1070"/>
      <c r="O59" s="1069" t="s">
        <v>2472</v>
      </c>
      <c r="P59" s="1071"/>
      <c r="Q59" s="1071"/>
      <c r="R59" s="1070"/>
      <c r="S59" s="1069" t="s">
        <v>2473</v>
      </c>
      <c r="T59" s="1071"/>
      <c r="U59" s="1071"/>
      <c r="V59" s="1071"/>
      <c r="W59" s="1070"/>
      <c r="X59" s="1069" t="s">
        <v>2474</v>
      </c>
      <c r="Y59" s="1071"/>
      <c r="Z59" s="1070"/>
      <c r="AA59" s="1069" t="s">
        <v>2475</v>
      </c>
      <c r="AB59" s="1071"/>
      <c r="AC59" s="1071"/>
      <c r="AD59" s="1070"/>
      <c r="AE59" s="1069" t="s">
        <v>2476</v>
      </c>
      <c r="AF59" s="1071"/>
      <c r="AG59" s="1070"/>
    </row>
    <row r="60" spans="1:33" ht="11.85" customHeight="1" x14ac:dyDescent="0.25">
      <c r="A60" s="941"/>
      <c r="B60" s="941"/>
      <c r="C60" s="941"/>
      <c r="D60" s="941"/>
      <c r="E60" s="941"/>
      <c r="F60" s="941"/>
      <c r="G60" s="941"/>
      <c r="H60" s="941"/>
      <c r="I60" s="941"/>
      <c r="J60" s="941"/>
      <c r="K60" s="941"/>
      <c r="L60" s="941"/>
      <c r="M60" s="941"/>
      <c r="N60" s="941"/>
      <c r="O60" s="941"/>
      <c r="P60" s="941"/>
      <c r="Q60" s="941"/>
      <c r="R60" s="941"/>
      <c r="S60" s="941"/>
      <c r="T60" s="941"/>
      <c r="U60" s="941"/>
      <c r="V60" s="941"/>
      <c r="W60" s="941"/>
      <c r="X60" s="941"/>
      <c r="Y60" s="941"/>
      <c r="Z60" s="941"/>
      <c r="AA60" s="941"/>
      <c r="AB60" s="941"/>
      <c r="AC60" s="941"/>
      <c r="AD60" s="941"/>
      <c r="AE60" s="941"/>
      <c r="AF60" s="941"/>
      <c r="AG60" s="941"/>
    </row>
    <row r="61" spans="1:33" ht="28.9" customHeight="1" x14ac:dyDescent="0.25">
      <c r="A61" s="890" t="s">
        <v>1548</v>
      </c>
      <c r="B61" s="1144"/>
      <c r="C61" s="1144"/>
      <c r="D61" s="1144"/>
      <c r="E61" s="1144"/>
      <c r="F61" s="1144"/>
      <c r="G61" s="1144"/>
      <c r="H61" s="1144"/>
      <c r="I61" s="1144"/>
      <c r="J61" s="1144"/>
      <c r="K61" s="1144"/>
      <c r="L61" s="1144"/>
      <c r="M61" s="1137"/>
      <c r="N61" s="892" t="s">
        <v>1549</v>
      </c>
      <c r="O61" s="902"/>
      <c r="P61" s="902"/>
      <c r="Q61" s="902"/>
      <c r="R61" s="902"/>
      <c r="S61" s="903"/>
      <c r="T61" s="892" t="s">
        <v>1550</v>
      </c>
      <c r="U61" s="902"/>
      <c r="V61" s="902"/>
      <c r="W61" s="902"/>
      <c r="X61" s="902"/>
      <c r="Y61" s="902"/>
      <c r="Z61" s="902"/>
      <c r="AA61" s="903"/>
      <c r="AB61" s="892" t="s">
        <v>1551</v>
      </c>
      <c r="AC61" s="902"/>
      <c r="AD61" s="902"/>
      <c r="AE61" s="902"/>
      <c r="AF61" s="902"/>
      <c r="AG61" s="903"/>
    </row>
    <row r="62" spans="1:33" ht="11.85" customHeight="1" x14ac:dyDescent="0.25">
      <c r="A62" s="1048" t="s">
        <v>1552</v>
      </c>
      <c r="B62" s="1049"/>
      <c r="C62" s="1049"/>
      <c r="D62" s="1049"/>
      <c r="E62" s="1049"/>
      <c r="F62" s="1049"/>
      <c r="G62" s="1049"/>
      <c r="H62" s="1049"/>
      <c r="I62" s="1049"/>
      <c r="J62" s="1049"/>
      <c r="K62" s="1049"/>
      <c r="L62" s="1049"/>
      <c r="M62" s="1050"/>
      <c r="N62" s="1093" t="s">
        <v>2471</v>
      </c>
      <c r="O62" s="1095"/>
      <c r="P62" s="1095"/>
      <c r="Q62" s="1095"/>
      <c r="R62" s="1095"/>
      <c r="S62" s="1094"/>
      <c r="T62" s="1093" t="s">
        <v>2473</v>
      </c>
      <c r="U62" s="1095"/>
      <c r="V62" s="1095"/>
      <c r="W62" s="1095"/>
      <c r="X62" s="1095"/>
      <c r="Y62" s="1095"/>
      <c r="Z62" s="1095"/>
      <c r="AA62" s="1094"/>
      <c r="AB62" s="1093" t="s">
        <v>2475</v>
      </c>
      <c r="AC62" s="1095"/>
      <c r="AD62" s="1095"/>
      <c r="AE62" s="1095"/>
      <c r="AF62" s="1095"/>
      <c r="AG62" s="1094"/>
    </row>
    <row r="63" spans="1:33" ht="11.85" customHeight="1" x14ac:dyDescent="0.25">
      <c r="A63" s="1042" t="s">
        <v>1553</v>
      </c>
      <c r="B63" s="1043"/>
      <c r="C63" s="1043"/>
      <c r="D63" s="1043"/>
      <c r="E63" s="1043"/>
      <c r="F63" s="1043"/>
      <c r="G63" s="1043"/>
      <c r="H63" s="1043"/>
      <c r="I63" s="1043"/>
      <c r="J63" s="1043"/>
      <c r="K63" s="1043"/>
      <c r="L63" s="1043"/>
      <c r="M63" s="1044"/>
      <c r="N63" s="1081" t="s">
        <v>479</v>
      </c>
      <c r="O63" s="1083"/>
      <c r="P63" s="1083"/>
      <c r="Q63" s="1083"/>
      <c r="R63" s="1083"/>
      <c r="S63" s="1082"/>
      <c r="T63" s="1081" t="s">
        <v>479</v>
      </c>
      <c r="U63" s="1083"/>
      <c r="V63" s="1083"/>
      <c r="W63" s="1083"/>
      <c r="X63" s="1083"/>
      <c r="Y63" s="1083"/>
      <c r="Z63" s="1083"/>
      <c r="AA63" s="1082"/>
      <c r="AB63" s="1081" t="s">
        <v>479</v>
      </c>
      <c r="AC63" s="1083"/>
      <c r="AD63" s="1083"/>
      <c r="AE63" s="1083"/>
      <c r="AF63" s="1083"/>
      <c r="AG63" s="1082"/>
    </row>
    <row r="64" spans="1:33" ht="11.85" customHeight="1" x14ac:dyDescent="0.25">
      <c r="A64" s="1042" t="s">
        <v>1554</v>
      </c>
      <c r="B64" s="1043"/>
      <c r="C64" s="1043"/>
      <c r="D64" s="1043"/>
      <c r="E64" s="1043"/>
      <c r="F64" s="1043"/>
      <c r="G64" s="1043"/>
      <c r="H64" s="1043"/>
      <c r="I64" s="1043"/>
      <c r="J64" s="1043"/>
      <c r="K64" s="1043"/>
      <c r="L64" s="1043"/>
      <c r="M64" s="1044"/>
      <c r="N64" s="1081" t="s">
        <v>479</v>
      </c>
      <c r="O64" s="1083"/>
      <c r="P64" s="1083"/>
      <c r="Q64" s="1083"/>
      <c r="R64" s="1083"/>
      <c r="S64" s="1082"/>
      <c r="T64" s="1081" t="s">
        <v>479</v>
      </c>
      <c r="U64" s="1083"/>
      <c r="V64" s="1083"/>
      <c r="W64" s="1083"/>
      <c r="X64" s="1083"/>
      <c r="Y64" s="1083"/>
      <c r="Z64" s="1083"/>
      <c r="AA64" s="1082"/>
      <c r="AB64" s="1081" t="s">
        <v>479</v>
      </c>
      <c r="AC64" s="1083"/>
      <c r="AD64" s="1083"/>
      <c r="AE64" s="1083"/>
      <c r="AF64" s="1083"/>
      <c r="AG64" s="1082"/>
    </row>
    <row r="65" spans="1:33" ht="11.1" customHeight="1" x14ac:dyDescent="0.25">
      <c r="A65" s="1045" t="s">
        <v>1555</v>
      </c>
      <c r="B65" s="1046"/>
      <c r="C65" s="1046"/>
      <c r="D65" s="1046"/>
      <c r="E65" s="1046"/>
      <c r="F65" s="1046"/>
      <c r="G65" s="1046"/>
      <c r="H65" s="1046"/>
      <c r="I65" s="1046"/>
      <c r="J65" s="1046"/>
      <c r="K65" s="1046"/>
      <c r="L65" s="1046"/>
      <c r="M65" s="1047"/>
      <c r="N65" s="1075" t="s">
        <v>479</v>
      </c>
      <c r="O65" s="1077"/>
      <c r="P65" s="1077"/>
      <c r="Q65" s="1077"/>
      <c r="R65" s="1077"/>
      <c r="S65" s="1076"/>
      <c r="T65" s="1075" t="s">
        <v>479</v>
      </c>
      <c r="U65" s="1077"/>
      <c r="V65" s="1077"/>
      <c r="W65" s="1077"/>
      <c r="X65" s="1077"/>
      <c r="Y65" s="1077"/>
      <c r="Z65" s="1077"/>
      <c r="AA65" s="1076"/>
      <c r="AB65" s="1075" t="s">
        <v>479</v>
      </c>
      <c r="AC65" s="1077"/>
      <c r="AD65" s="1077"/>
      <c r="AE65" s="1077"/>
      <c r="AF65" s="1077"/>
      <c r="AG65" s="1076"/>
    </row>
    <row r="66" spans="1:33" ht="11.85" customHeight="1" x14ac:dyDescent="0.25">
      <c r="A66" s="1102" t="s">
        <v>1556</v>
      </c>
      <c r="B66" s="1103"/>
      <c r="C66" s="1103"/>
      <c r="D66" s="1103"/>
      <c r="E66" s="1103"/>
      <c r="F66" s="1103"/>
      <c r="G66" s="1103"/>
      <c r="H66" s="1103"/>
      <c r="I66" s="1103"/>
      <c r="J66" s="1103"/>
      <c r="K66" s="1103"/>
      <c r="L66" s="1103"/>
      <c r="M66" s="1104"/>
      <c r="N66" s="1069" t="s">
        <v>2471</v>
      </c>
      <c r="O66" s="1071"/>
      <c r="P66" s="1071"/>
      <c r="Q66" s="1071"/>
      <c r="R66" s="1071"/>
      <c r="S66" s="1070"/>
      <c r="T66" s="1069" t="s">
        <v>2473</v>
      </c>
      <c r="U66" s="1071"/>
      <c r="V66" s="1071"/>
      <c r="W66" s="1071"/>
      <c r="X66" s="1071"/>
      <c r="Y66" s="1071"/>
      <c r="Z66" s="1071"/>
      <c r="AA66" s="1070"/>
      <c r="AB66" s="1069" t="s">
        <v>2475</v>
      </c>
      <c r="AC66" s="1071"/>
      <c r="AD66" s="1071"/>
      <c r="AE66" s="1071"/>
      <c r="AF66" s="1071"/>
      <c r="AG66" s="1070"/>
    </row>
    <row r="67" spans="1:33" ht="11.85" customHeight="1" x14ac:dyDescent="0.25">
      <c r="A67" s="1048" t="s">
        <v>1557</v>
      </c>
      <c r="B67" s="1049"/>
      <c r="C67" s="1049"/>
      <c r="D67" s="1049"/>
      <c r="E67" s="1049"/>
      <c r="F67" s="1049"/>
      <c r="G67" s="1049"/>
      <c r="H67" s="1049"/>
      <c r="I67" s="1049"/>
      <c r="J67" s="1049"/>
      <c r="K67" s="1049"/>
      <c r="L67" s="1049"/>
      <c r="M67" s="1050"/>
      <c r="N67" s="1131" t="s">
        <v>2477</v>
      </c>
      <c r="O67" s="1132"/>
      <c r="P67" s="1132"/>
      <c r="Q67" s="1132"/>
      <c r="R67" s="1132"/>
      <c r="S67" s="1132"/>
      <c r="T67" s="1132"/>
      <c r="U67" s="1132"/>
      <c r="V67" s="1132"/>
      <c r="W67" s="1132"/>
      <c r="X67" s="1132"/>
      <c r="Y67" s="1132"/>
      <c r="Z67" s="1132"/>
      <c r="AA67" s="1132"/>
      <c r="AB67" s="1132"/>
      <c r="AC67" s="1132"/>
      <c r="AD67" s="1132"/>
      <c r="AE67" s="1132"/>
      <c r="AF67" s="1132"/>
      <c r="AG67" s="1133"/>
    </row>
    <row r="68" spans="1:33" ht="11.85" customHeight="1" x14ac:dyDescent="0.25">
      <c r="A68" s="1042" t="s">
        <v>1558</v>
      </c>
      <c r="B68" s="1043"/>
      <c r="C68" s="1043"/>
      <c r="D68" s="1043"/>
      <c r="E68" s="1043"/>
      <c r="F68" s="1043"/>
      <c r="G68" s="1043"/>
      <c r="H68" s="1043"/>
      <c r="I68" s="1043"/>
      <c r="J68" s="1043"/>
      <c r="K68" s="1043"/>
      <c r="L68" s="1043"/>
      <c r="M68" s="1044"/>
      <c r="N68" s="1131" t="s">
        <v>2477</v>
      </c>
      <c r="O68" s="1132"/>
      <c r="P68" s="1132"/>
      <c r="Q68" s="1132"/>
      <c r="R68" s="1132"/>
      <c r="S68" s="1132"/>
      <c r="T68" s="1132"/>
      <c r="U68" s="1132"/>
      <c r="V68" s="1132"/>
      <c r="W68" s="1132"/>
      <c r="X68" s="1132"/>
      <c r="Y68" s="1132"/>
      <c r="Z68" s="1132"/>
      <c r="AA68" s="1132"/>
      <c r="AB68" s="1132"/>
      <c r="AC68" s="1132"/>
      <c r="AD68" s="1132"/>
      <c r="AE68" s="1132"/>
      <c r="AF68" s="1132"/>
      <c r="AG68" s="1133"/>
    </row>
    <row r="69" spans="1:33" ht="17.100000000000001" customHeight="1" x14ac:dyDescent="0.25">
      <c r="A69" s="1078" t="s">
        <v>1559</v>
      </c>
      <c r="B69" s="1079"/>
      <c r="C69" s="1079"/>
      <c r="D69" s="1079"/>
      <c r="E69" s="1079"/>
      <c r="F69" s="1079"/>
      <c r="G69" s="1079"/>
      <c r="H69" s="1079"/>
      <c r="I69" s="1079"/>
      <c r="J69" s="1079"/>
      <c r="K69" s="1079"/>
      <c r="L69" s="1079"/>
      <c r="M69" s="1080"/>
      <c r="N69" s="1138" t="s">
        <v>479</v>
      </c>
      <c r="O69" s="1139"/>
      <c r="P69" s="1139"/>
      <c r="Q69" s="1139"/>
      <c r="R69" s="1139"/>
      <c r="S69" s="1140"/>
      <c r="T69" s="1138" t="s">
        <v>2478</v>
      </c>
      <c r="U69" s="1139"/>
      <c r="V69" s="1139"/>
      <c r="W69" s="1139"/>
      <c r="X69" s="1139"/>
      <c r="Y69" s="1139"/>
      <c r="Z69" s="1139"/>
      <c r="AA69" s="1140"/>
      <c r="AB69" s="1138" t="s">
        <v>2479</v>
      </c>
      <c r="AC69" s="1139"/>
      <c r="AD69" s="1139"/>
      <c r="AE69" s="1139"/>
      <c r="AF69" s="1139"/>
      <c r="AG69" s="1140"/>
    </row>
    <row r="70" spans="1:33" ht="17.850000000000001" customHeight="1" x14ac:dyDescent="0.25">
      <c r="A70" s="1072" t="s">
        <v>1560</v>
      </c>
      <c r="B70" s="1073"/>
      <c r="C70" s="1073"/>
      <c r="D70" s="1073"/>
      <c r="E70" s="1073"/>
      <c r="F70" s="1073"/>
      <c r="G70" s="1073"/>
      <c r="H70" s="1073"/>
      <c r="I70" s="1073"/>
      <c r="J70" s="1073"/>
      <c r="K70" s="1073"/>
      <c r="L70" s="1073"/>
      <c r="M70" s="1074"/>
      <c r="N70" s="1138" t="s">
        <v>479</v>
      </c>
      <c r="O70" s="1139"/>
      <c r="P70" s="1139"/>
      <c r="Q70" s="1139"/>
      <c r="R70" s="1139"/>
      <c r="S70" s="1140"/>
      <c r="T70" s="1141"/>
      <c r="U70" s="1142"/>
      <c r="V70" s="1142"/>
      <c r="W70" s="1142"/>
      <c r="X70" s="1142"/>
      <c r="Y70" s="1142"/>
      <c r="Z70" s="1142"/>
      <c r="AA70" s="1143"/>
      <c r="AB70" s="1141"/>
      <c r="AC70" s="1142"/>
      <c r="AD70" s="1142"/>
      <c r="AE70" s="1142"/>
      <c r="AF70" s="1142"/>
      <c r="AG70" s="1143"/>
    </row>
    <row r="71" spans="1:33" ht="17.100000000000001" customHeight="1" x14ac:dyDescent="0.25">
      <c r="A71" s="1066" t="s">
        <v>1561</v>
      </c>
      <c r="B71" s="1067"/>
      <c r="C71" s="1067"/>
      <c r="D71" s="1067"/>
      <c r="E71" s="1067"/>
      <c r="F71" s="1067"/>
      <c r="G71" s="1067"/>
      <c r="H71" s="1067"/>
      <c r="I71" s="1067"/>
      <c r="J71" s="1067"/>
      <c r="K71" s="1067"/>
      <c r="L71" s="1067"/>
      <c r="M71" s="1068"/>
      <c r="N71" s="1059" t="s">
        <v>479</v>
      </c>
      <c r="O71" s="1060"/>
      <c r="P71" s="1060"/>
      <c r="Q71" s="1060"/>
      <c r="R71" s="1060"/>
      <c r="S71" s="1061"/>
      <c r="T71" s="1059" t="s">
        <v>2480</v>
      </c>
      <c r="U71" s="1060"/>
      <c r="V71" s="1060"/>
      <c r="W71" s="1060"/>
      <c r="X71" s="1060"/>
      <c r="Y71" s="1060"/>
      <c r="Z71" s="1060"/>
      <c r="AA71" s="1061"/>
      <c r="AB71" s="1141"/>
      <c r="AC71" s="1142"/>
      <c r="AD71" s="1142"/>
      <c r="AE71" s="1142"/>
      <c r="AF71" s="1142"/>
      <c r="AG71" s="1143"/>
    </row>
    <row r="72" spans="1:33" ht="11.85" customHeight="1" x14ac:dyDescent="0.25">
      <c r="A72" s="941"/>
      <c r="B72" s="941"/>
      <c r="C72" s="941"/>
      <c r="D72" s="941"/>
      <c r="E72" s="941"/>
      <c r="F72" s="941"/>
      <c r="G72" s="941"/>
      <c r="H72" s="941"/>
      <c r="I72" s="941"/>
      <c r="J72" s="941"/>
      <c r="K72" s="941"/>
      <c r="L72" s="941"/>
      <c r="M72" s="941"/>
      <c r="N72" s="941"/>
      <c r="O72" s="941"/>
      <c r="P72" s="941"/>
      <c r="Q72" s="941"/>
      <c r="R72" s="941"/>
      <c r="S72" s="941"/>
      <c r="T72" s="941"/>
      <c r="U72" s="941"/>
      <c r="V72" s="941"/>
      <c r="W72" s="941"/>
      <c r="X72" s="941"/>
      <c r="Y72" s="941"/>
      <c r="Z72" s="941"/>
      <c r="AA72" s="941"/>
      <c r="AB72" s="941"/>
      <c r="AC72" s="941"/>
      <c r="AD72" s="941"/>
      <c r="AE72" s="941"/>
      <c r="AF72" s="941"/>
      <c r="AG72" s="941"/>
    </row>
    <row r="73" spans="1:33" ht="11.85" customHeight="1" x14ac:dyDescent="0.25">
      <c r="A73" s="1096" t="s">
        <v>1562</v>
      </c>
      <c r="B73" s="1097"/>
      <c r="C73" s="1097"/>
      <c r="D73" s="1097"/>
      <c r="E73" s="1097"/>
      <c r="F73" s="1097"/>
      <c r="G73" s="1097"/>
      <c r="H73" s="1097"/>
      <c r="I73" s="1097"/>
      <c r="J73" s="1098"/>
      <c r="K73" s="892" t="s">
        <v>1563</v>
      </c>
      <c r="L73" s="902"/>
      <c r="M73" s="902"/>
      <c r="N73" s="902"/>
      <c r="O73" s="902"/>
      <c r="P73" s="902"/>
      <c r="Q73" s="902"/>
      <c r="R73" s="902"/>
      <c r="S73" s="902"/>
      <c r="T73" s="902"/>
      <c r="U73" s="902"/>
      <c r="V73" s="902"/>
      <c r="W73" s="902"/>
      <c r="X73" s="902"/>
      <c r="Y73" s="902"/>
      <c r="Z73" s="902"/>
      <c r="AA73" s="902"/>
      <c r="AB73" s="902"/>
      <c r="AC73" s="902"/>
      <c r="AD73" s="902"/>
      <c r="AE73" s="902"/>
      <c r="AF73" s="902"/>
      <c r="AG73" s="903"/>
    </row>
    <row r="74" spans="1:33" ht="17.850000000000001" customHeight="1" x14ac:dyDescent="0.25">
      <c r="A74" s="1128"/>
      <c r="B74" s="1129"/>
      <c r="C74" s="1129"/>
      <c r="D74" s="1129"/>
      <c r="E74" s="1129"/>
      <c r="F74" s="1129"/>
      <c r="G74" s="1129"/>
      <c r="H74" s="1129"/>
      <c r="I74" s="1129"/>
      <c r="J74" s="1130"/>
      <c r="K74" s="892" t="s">
        <v>1564</v>
      </c>
      <c r="L74" s="900"/>
      <c r="M74" s="900"/>
      <c r="N74" s="900"/>
      <c r="O74" s="900"/>
      <c r="P74" s="900"/>
      <c r="Q74" s="893"/>
      <c r="R74" s="892" t="s">
        <v>1565</v>
      </c>
      <c r="S74" s="902"/>
      <c r="T74" s="902"/>
      <c r="U74" s="902"/>
      <c r="V74" s="902"/>
      <c r="W74" s="902"/>
      <c r="X74" s="902"/>
      <c r="Y74" s="902"/>
      <c r="Z74" s="902"/>
      <c r="AA74" s="903"/>
      <c r="AB74" s="892" t="s">
        <v>1566</v>
      </c>
      <c r="AC74" s="900"/>
      <c r="AD74" s="900"/>
      <c r="AE74" s="900"/>
      <c r="AF74" s="900"/>
      <c r="AG74" s="893"/>
    </row>
    <row r="75" spans="1:33" ht="22.9" customHeight="1" x14ac:dyDescent="0.25">
      <c r="A75" s="1099"/>
      <c r="B75" s="1100"/>
      <c r="C75" s="1100"/>
      <c r="D75" s="1100"/>
      <c r="E75" s="1100"/>
      <c r="F75" s="1100"/>
      <c r="G75" s="1100"/>
      <c r="H75" s="1100"/>
      <c r="I75" s="1100"/>
      <c r="J75" s="1101"/>
      <c r="K75" s="894"/>
      <c r="L75" s="901"/>
      <c r="M75" s="901"/>
      <c r="N75" s="901"/>
      <c r="O75" s="901"/>
      <c r="P75" s="901"/>
      <c r="Q75" s="895"/>
      <c r="R75" s="892" t="s">
        <v>1567</v>
      </c>
      <c r="S75" s="902"/>
      <c r="T75" s="903"/>
      <c r="U75" s="892" t="s">
        <v>1568</v>
      </c>
      <c r="V75" s="902"/>
      <c r="W75" s="902"/>
      <c r="X75" s="903"/>
      <c r="Y75" s="892" t="s">
        <v>1569</v>
      </c>
      <c r="Z75" s="902"/>
      <c r="AA75" s="903"/>
      <c r="AB75" s="894"/>
      <c r="AC75" s="901"/>
      <c r="AD75" s="901"/>
      <c r="AE75" s="901"/>
      <c r="AF75" s="901"/>
      <c r="AG75" s="895"/>
    </row>
    <row r="76" spans="1:33" ht="11.85" customHeight="1" x14ac:dyDescent="0.25">
      <c r="A76" s="1048" t="s">
        <v>1570</v>
      </c>
      <c r="B76" s="1049"/>
      <c r="C76" s="1049"/>
      <c r="D76" s="1049"/>
      <c r="E76" s="1049"/>
      <c r="F76" s="1049"/>
      <c r="G76" s="1049"/>
      <c r="H76" s="1049"/>
      <c r="I76" s="1049"/>
      <c r="J76" s="1050"/>
      <c r="K76" s="1093" t="s">
        <v>479</v>
      </c>
      <c r="L76" s="1095"/>
      <c r="M76" s="1095"/>
      <c r="N76" s="1095"/>
      <c r="O76" s="1095"/>
      <c r="P76" s="1095"/>
      <c r="Q76" s="1094"/>
      <c r="R76" s="1093" t="s">
        <v>479</v>
      </c>
      <c r="S76" s="1095"/>
      <c r="T76" s="1094"/>
      <c r="U76" s="1093" t="s">
        <v>479</v>
      </c>
      <c r="V76" s="1095"/>
      <c r="W76" s="1095"/>
      <c r="X76" s="1094"/>
      <c r="Y76" s="1093" t="s">
        <v>479</v>
      </c>
      <c r="Z76" s="1095"/>
      <c r="AA76" s="1094"/>
      <c r="AB76" s="1093" t="s">
        <v>479</v>
      </c>
      <c r="AC76" s="1095"/>
      <c r="AD76" s="1095"/>
      <c r="AE76" s="1095"/>
      <c r="AF76" s="1095"/>
      <c r="AG76" s="1094"/>
    </row>
    <row r="77" spans="1:33" ht="11.85" customHeight="1" x14ac:dyDescent="0.25">
      <c r="A77" s="1042" t="s">
        <v>1571</v>
      </c>
      <c r="B77" s="1043"/>
      <c r="C77" s="1043"/>
      <c r="D77" s="1043"/>
      <c r="E77" s="1043"/>
      <c r="F77" s="1043"/>
      <c r="G77" s="1043"/>
      <c r="H77" s="1043"/>
      <c r="I77" s="1043"/>
      <c r="J77" s="1044"/>
      <c r="K77" s="1081" t="s">
        <v>479</v>
      </c>
      <c r="L77" s="1083"/>
      <c r="M77" s="1083"/>
      <c r="N77" s="1083"/>
      <c r="O77" s="1083"/>
      <c r="P77" s="1083"/>
      <c r="Q77" s="1082"/>
      <c r="R77" s="1081" t="s">
        <v>479</v>
      </c>
      <c r="S77" s="1083"/>
      <c r="T77" s="1082"/>
      <c r="U77" s="1081" t="s">
        <v>479</v>
      </c>
      <c r="V77" s="1083"/>
      <c r="W77" s="1083"/>
      <c r="X77" s="1082"/>
      <c r="Y77" s="1081" t="s">
        <v>479</v>
      </c>
      <c r="Z77" s="1083"/>
      <c r="AA77" s="1082"/>
      <c r="AB77" s="1081" t="s">
        <v>479</v>
      </c>
      <c r="AC77" s="1083"/>
      <c r="AD77" s="1083"/>
      <c r="AE77" s="1083"/>
      <c r="AF77" s="1083"/>
      <c r="AG77" s="1082"/>
    </row>
    <row r="78" spans="1:33" ht="11.1" customHeight="1" x14ac:dyDescent="0.25">
      <c r="A78" s="1045" t="s">
        <v>1572</v>
      </c>
      <c r="B78" s="1046"/>
      <c r="C78" s="1046"/>
      <c r="D78" s="1046"/>
      <c r="E78" s="1046"/>
      <c r="F78" s="1046"/>
      <c r="G78" s="1046"/>
      <c r="H78" s="1046"/>
      <c r="I78" s="1046"/>
      <c r="J78" s="1047"/>
      <c r="K78" s="1075" t="s">
        <v>479</v>
      </c>
      <c r="L78" s="1077"/>
      <c r="M78" s="1077"/>
      <c r="N78" s="1077"/>
      <c r="O78" s="1077"/>
      <c r="P78" s="1077"/>
      <c r="Q78" s="1076"/>
      <c r="R78" s="1075" t="s">
        <v>479</v>
      </c>
      <c r="S78" s="1077"/>
      <c r="T78" s="1076"/>
      <c r="U78" s="1075" t="s">
        <v>479</v>
      </c>
      <c r="V78" s="1077"/>
      <c r="W78" s="1077"/>
      <c r="X78" s="1076"/>
      <c r="Y78" s="1075" t="s">
        <v>479</v>
      </c>
      <c r="Z78" s="1077"/>
      <c r="AA78" s="1076"/>
      <c r="AB78" s="1075" t="s">
        <v>479</v>
      </c>
      <c r="AC78" s="1077"/>
      <c r="AD78" s="1077"/>
      <c r="AE78" s="1077"/>
      <c r="AF78" s="1077"/>
      <c r="AG78" s="1076"/>
    </row>
    <row r="79" spans="1:33" ht="11.85" customHeight="1" x14ac:dyDescent="0.25">
      <c r="A79" s="1102" t="s">
        <v>1573</v>
      </c>
      <c r="B79" s="1103"/>
      <c r="C79" s="1103"/>
      <c r="D79" s="1103"/>
      <c r="E79" s="1103"/>
      <c r="F79" s="1103"/>
      <c r="G79" s="1103"/>
      <c r="H79" s="1103"/>
      <c r="I79" s="1103"/>
      <c r="J79" s="1104"/>
      <c r="K79" s="1069" t="s">
        <v>479</v>
      </c>
      <c r="L79" s="1071"/>
      <c r="M79" s="1071"/>
      <c r="N79" s="1071"/>
      <c r="O79" s="1071"/>
      <c r="P79" s="1071"/>
      <c r="Q79" s="1070"/>
      <c r="R79" s="1069" t="s">
        <v>479</v>
      </c>
      <c r="S79" s="1071"/>
      <c r="T79" s="1070"/>
      <c r="U79" s="1069" t="s">
        <v>479</v>
      </c>
      <c r="V79" s="1071"/>
      <c r="W79" s="1071"/>
      <c r="X79" s="1070"/>
      <c r="Y79" s="1069" t="s">
        <v>479</v>
      </c>
      <c r="Z79" s="1071"/>
      <c r="AA79" s="1070"/>
      <c r="AB79" s="1069" t="s">
        <v>479</v>
      </c>
      <c r="AC79" s="1071"/>
      <c r="AD79" s="1071"/>
      <c r="AE79" s="1071"/>
      <c r="AF79" s="1071"/>
      <c r="AG79" s="1070"/>
    </row>
    <row r="80" spans="1:33" ht="11.85" customHeight="1" x14ac:dyDescent="0.25">
      <c r="A80" s="941"/>
      <c r="B80" s="941"/>
      <c r="C80" s="941"/>
      <c r="D80" s="941"/>
      <c r="E80" s="941"/>
      <c r="F80" s="941"/>
      <c r="G80" s="941"/>
      <c r="H80" s="941"/>
      <c r="I80" s="941"/>
      <c r="J80" s="941"/>
      <c r="K80" s="941"/>
      <c r="L80" s="941"/>
      <c r="M80" s="941"/>
      <c r="N80" s="941"/>
      <c r="O80" s="941"/>
      <c r="P80" s="941"/>
      <c r="Q80" s="941"/>
      <c r="R80" s="941"/>
      <c r="S80" s="941"/>
      <c r="T80" s="941"/>
      <c r="U80" s="941"/>
      <c r="V80" s="941"/>
      <c r="W80" s="941"/>
      <c r="X80" s="941"/>
      <c r="Y80" s="941"/>
      <c r="Z80" s="941"/>
      <c r="AA80" s="941"/>
      <c r="AB80" s="941"/>
      <c r="AC80" s="941"/>
      <c r="AD80" s="941"/>
      <c r="AE80" s="941"/>
      <c r="AF80" s="941"/>
      <c r="AG80" s="941"/>
    </row>
    <row r="81" spans="1:33" ht="17.100000000000001" customHeight="1" x14ac:dyDescent="0.25">
      <c r="A81" s="897" t="s">
        <v>1574</v>
      </c>
      <c r="B81" s="898"/>
      <c r="C81" s="898"/>
      <c r="D81" s="898"/>
      <c r="E81" s="898"/>
      <c r="F81" s="898"/>
      <c r="G81" s="898"/>
      <c r="H81" s="898"/>
      <c r="I81" s="898"/>
      <c r="J81" s="898"/>
      <c r="K81" s="898"/>
      <c r="L81" s="898"/>
      <c r="M81" s="898"/>
      <c r="N81" s="898"/>
      <c r="O81" s="898"/>
      <c r="P81" s="898"/>
      <c r="Q81" s="898"/>
      <c r="R81" s="898"/>
      <c r="S81" s="898"/>
      <c r="T81" s="898"/>
      <c r="U81" s="898"/>
      <c r="V81" s="898"/>
      <c r="W81" s="898"/>
      <c r="X81" s="898"/>
      <c r="Y81" s="898"/>
      <c r="Z81" s="898"/>
      <c r="AA81" s="898"/>
      <c r="AB81" s="898"/>
      <c r="AC81" s="898"/>
      <c r="AD81" s="898"/>
      <c r="AE81" s="898"/>
      <c r="AF81" s="898"/>
      <c r="AG81" s="899"/>
    </row>
    <row r="82" spans="1:33" ht="41.45" customHeight="1" x14ac:dyDescent="0.25">
      <c r="A82" s="890" t="s">
        <v>1575</v>
      </c>
      <c r="B82" s="1137"/>
      <c r="C82" s="787" t="s">
        <v>1576</v>
      </c>
      <c r="D82" s="787" t="s">
        <v>1577</v>
      </c>
      <c r="E82" s="892" t="s">
        <v>1578</v>
      </c>
      <c r="F82" s="903"/>
      <c r="G82" s="892" t="s">
        <v>1579</v>
      </c>
      <c r="H82" s="903"/>
      <c r="I82" s="892" t="s">
        <v>1580</v>
      </c>
      <c r="J82" s="902"/>
      <c r="K82" s="902"/>
      <c r="L82" s="903"/>
      <c r="M82" s="892" t="s">
        <v>1581</v>
      </c>
      <c r="N82" s="902"/>
      <c r="O82" s="902"/>
      <c r="P82" s="903"/>
      <c r="Q82" s="892" t="s">
        <v>1582</v>
      </c>
      <c r="R82" s="902"/>
      <c r="S82" s="902"/>
      <c r="T82" s="903"/>
      <c r="U82" s="892" t="s">
        <v>1583</v>
      </c>
      <c r="V82" s="902"/>
      <c r="W82" s="902"/>
      <c r="X82" s="902"/>
      <c r="Y82" s="903"/>
      <c r="Z82" s="892" t="s">
        <v>1584</v>
      </c>
      <c r="AA82" s="902"/>
      <c r="AB82" s="902"/>
      <c r="AC82" s="903"/>
      <c r="AD82" s="892" t="s">
        <v>1585</v>
      </c>
      <c r="AE82" s="902"/>
      <c r="AF82" s="902"/>
      <c r="AG82" s="903"/>
    </row>
    <row r="83" spans="1:33" ht="11.1" customHeight="1" x14ac:dyDescent="0.25">
      <c r="A83" s="1048" t="s">
        <v>1586</v>
      </c>
      <c r="B83" s="1050"/>
      <c r="C83" s="816" t="s">
        <v>2477</v>
      </c>
      <c r="D83" s="816" t="s">
        <v>2473</v>
      </c>
      <c r="E83" s="1093" t="s">
        <v>2478</v>
      </c>
      <c r="F83" s="1094"/>
      <c r="G83" s="1093" t="s">
        <v>479</v>
      </c>
      <c r="H83" s="1094"/>
      <c r="I83" s="1093" t="s">
        <v>479</v>
      </c>
      <c r="J83" s="1095"/>
      <c r="K83" s="1095"/>
      <c r="L83" s="1094"/>
      <c r="M83" s="1093" t="s">
        <v>479</v>
      </c>
      <c r="N83" s="1095"/>
      <c r="O83" s="1095"/>
      <c r="P83" s="1094"/>
      <c r="Q83" s="1093" t="s">
        <v>479</v>
      </c>
      <c r="R83" s="1095"/>
      <c r="S83" s="1095"/>
      <c r="T83" s="1094"/>
      <c r="U83" s="1093" t="s">
        <v>479</v>
      </c>
      <c r="V83" s="1095"/>
      <c r="W83" s="1095"/>
      <c r="X83" s="1095"/>
      <c r="Y83" s="1094"/>
      <c r="Z83" s="1093" t="s">
        <v>479</v>
      </c>
      <c r="AA83" s="1095"/>
      <c r="AB83" s="1095"/>
      <c r="AC83" s="1094"/>
      <c r="AD83" s="1093" t="s">
        <v>2478</v>
      </c>
      <c r="AE83" s="1095"/>
      <c r="AF83" s="1095"/>
      <c r="AG83" s="1094"/>
    </row>
    <row r="84" spans="1:33" ht="11.85" customHeight="1" x14ac:dyDescent="0.25">
      <c r="A84" s="1042" t="s">
        <v>1587</v>
      </c>
      <c r="B84" s="1044"/>
      <c r="C84" s="817" t="s">
        <v>479</v>
      </c>
      <c r="D84" s="817" t="s">
        <v>479</v>
      </c>
      <c r="E84" s="1081" t="s">
        <v>479</v>
      </c>
      <c r="F84" s="1082"/>
      <c r="G84" s="1081" t="s">
        <v>479</v>
      </c>
      <c r="H84" s="1082"/>
      <c r="I84" s="1081" t="s">
        <v>479</v>
      </c>
      <c r="J84" s="1083"/>
      <c r="K84" s="1083"/>
      <c r="L84" s="1082"/>
      <c r="M84" s="1081" t="s">
        <v>479</v>
      </c>
      <c r="N84" s="1083"/>
      <c r="O84" s="1083"/>
      <c r="P84" s="1082"/>
      <c r="Q84" s="1081" t="s">
        <v>479</v>
      </c>
      <c r="R84" s="1083"/>
      <c r="S84" s="1083"/>
      <c r="T84" s="1082"/>
      <c r="U84" s="1081" t="s">
        <v>479</v>
      </c>
      <c r="V84" s="1083"/>
      <c r="W84" s="1083"/>
      <c r="X84" s="1083"/>
      <c r="Y84" s="1082"/>
      <c r="Z84" s="1081" t="s">
        <v>479</v>
      </c>
      <c r="AA84" s="1083"/>
      <c r="AB84" s="1083"/>
      <c r="AC84" s="1082"/>
      <c r="AD84" s="1081" t="s">
        <v>479</v>
      </c>
      <c r="AE84" s="1083"/>
      <c r="AF84" s="1083"/>
      <c r="AG84" s="1082"/>
    </row>
    <row r="85" spans="1:33" ht="11.85" customHeight="1" x14ac:dyDescent="0.25">
      <c r="A85" s="1042" t="s">
        <v>1588</v>
      </c>
      <c r="B85" s="1044"/>
      <c r="C85" s="817" t="s">
        <v>479</v>
      </c>
      <c r="D85" s="817" t="s">
        <v>479</v>
      </c>
      <c r="E85" s="1081" t="s">
        <v>479</v>
      </c>
      <c r="F85" s="1082"/>
      <c r="G85" s="1081" t="s">
        <v>479</v>
      </c>
      <c r="H85" s="1082"/>
      <c r="I85" s="1081" t="s">
        <v>479</v>
      </c>
      <c r="J85" s="1083"/>
      <c r="K85" s="1083"/>
      <c r="L85" s="1082"/>
      <c r="M85" s="1081" t="s">
        <v>479</v>
      </c>
      <c r="N85" s="1083"/>
      <c r="O85" s="1083"/>
      <c r="P85" s="1082"/>
      <c r="Q85" s="1081" t="s">
        <v>479</v>
      </c>
      <c r="R85" s="1083"/>
      <c r="S85" s="1083"/>
      <c r="T85" s="1082"/>
      <c r="U85" s="1081" t="s">
        <v>479</v>
      </c>
      <c r="V85" s="1083"/>
      <c r="W85" s="1083"/>
      <c r="X85" s="1083"/>
      <c r="Y85" s="1082"/>
      <c r="Z85" s="1081" t="s">
        <v>479</v>
      </c>
      <c r="AA85" s="1083"/>
      <c r="AB85" s="1083"/>
      <c r="AC85" s="1082"/>
      <c r="AD85" s="1081" t="s">
        <v>479</v>
      </c>
      <c r="AE85" s="1083"/>
      <c r="AF85" s="1083"/>
      <c r="AG85" s="1082"/>
    </row>
    <row r="86" spans="1:33" ht="11.85" customHeight="1" x14ac:dyDescent="0.25">
      <c r="A86" s="1042" t="s">
        <v>1589</v>
      </c>
      <c r="B86" s="1044"/>
      <c r="C86" s="817" t="s">
        <v>479</v>
      </c>
      <c r="D86" s="817" t="s">
        <v>479</v>
      </c>
      <c r="E86" s="1081" t="s">
        <v>479</v>
      </c>
      <c r="F86" s="1082"/>
      <c r="G86" s="1081" t="s">
        <v>479</v>
      </c>
      <c r="H86" s="1082"/>
      <c r="I86" s="1081" t="s">
        <v>479</v>
      </c>
      <c r="J86" s="1083"/>
      <c r="K86" s="1083"/>
      <c r="L86" s="1082"/>
      <c r="M86" s="1081" t="s">
        <v>479</v>
      </c>
      <c r="N86" s="1083"/>
      <c r="O86" s="1083"/>
      <c r="P86" s="1082"/>
      <c r="Q86" s="1081" t="s">
        <v>479</v>
      </c>
      <c r="R86" s="1083"/>
      <c r="S86" s="1083"/>
      <c r="T86" s="1082"/>
      <c r="U86" s="1081" t="s">
        <v>479</v>
      </c>
      <c r="V86" s="1083"/>
      <c r="W86" s="1083"/>
      <c r="X86" s="1083"/>
      <c r="Y86" s="1082"/>
      <c r="Z86" s="1081" t="s">
        <v>479</v>
      </c>
      <c r="AA86" s="1083"/>
      <c r="AB86" s="1083"/>
      <c r="AC86" s="1082"/>
      <c r="AD86" s="1081" t="s">
        <v>479</v>
      </c>
      <c r="AE86" s="1083"/>
      <c r="AF86" s="1083"/>
      <c r="AG86" s="1082"/>
    </row>
    <row r="87" spans="1:33" ht="5.0999999999999996" customHeight="1" x14ac:dyDescent="0.25"/>
    <row r="88" spans="1:33" ht="11.85" customHeight="1" x14ac:dyDescent="0.25">
      <c r="A88" s="920" t="s">
        <v>2468</v>
      </c>
      <c r="B88" s="920"/>
      <c r="C88" s="920"/>
      <c r="D88" s="920"/>
      <c r="E88" s="920"/>
      <c r="F88" s="920"/>
      <c r="G88" s="920"/>
      <c r="H88" s="920"/>
      <c r="I88" s="920"/>
      <c r="J88" s="920"/>
      <c r="K88" s="920"/>
      <c r="L88" s="920"/>
      <c r="M88" s="920"/>
      <c r="N88" s="920"/>
      <c r="O88" s="920"/>
      <c r="P88" s="920"/>
      <c r="Q88" s="920"/>
      <c r="R88" s="920"/>
      <c r="S88" s="920"/>
      <c r="T88" s="920"/>
      <c r="U88" s="920"/>
      <c r="V88" s="920"/>
      <c r="W88" s="920"/>
      <c r="X88" s="920"/>
      <c r="Y88" s="920"/>
      <c r="Z88" s="920"/>
      <c r="AA88" s="920"/>
      <c r="AB88" s="920"/>
      <c r="AC88" s="920"/>
      <c r="AD88" s="920"/>
      <c r="AE88" s="920"/>
      <c r="AF88" s="920"/>
    </row>
    <row r="89" spans="1:33" ht="5.85" customHeight="1" x14ac:dyDescent="0.25"/>
    <row r="90" spans="1:33" ht="11.85" customHeight="1" x14ac:dyDescent="0.25">
      <c r="A90" s="904" t="s">
        <v>539</v>
      </c>
      <c r="B90" s="904"/>
      <c r="C90" s="904"/>
      <c r="D90" s="904"/>
      <c r="E90" s="904"/>
      <c r="F90" s="904"/>
      <c r="G90" s="904"/>
      <c r="AE90" s="980" t="s">
        <v>990</v>
      </c>
      <c r="AF90" s="980"/>
    </row>
    <row r="91" spans="1:33" ht="11.1" customHeight="1" x14ac:dyDescent="0.25">
      <c r="A91" s="904" t="s">
        <v>467</v>
      </c>
      <c r="B91" s="904"/>
      <c r="C91" s="904"/>
      <c r="D91" s="904"/>
      <c r="E91" s="904"/>
      <c r="F91" s="904"/>
      <c r="G91" s="904"/>
    </row>
    <row r="92" spans="1:33" ht="11.85" customHeight="1" x14ac:dyDescent="0.25">
      <c r="A92" s="905" t="s">
        <v>1490</v>
      </c>
      <c r="B92" s="905"/>
      <c r="C92" s="905"/>
      <c r="D92" s="905"/>
      <c r="E92" s="905"/>
      <c r="F92" s="905"/>
      <c r="G92" s="905"/>
    </row>
    <row r="93" spans="1:33" ht="11.85" customHeight="1" x14ac:dyDescent="0.25">
      <c r="A93" s="904" t="s">
        <v>587</v>
      </c>
      <c r="B93" s="904"/>
      <c r="C93" s="904"/>
      <c r="D93" s="904"/>
      <c r="E93" s="904"/>
      <c r="F93" s="904"/>
      <c r="G93" s="904"/>
    </row>
    <row r="94" spans="1:33" ht="11.85" customHeight="1" x14ac:dyDescent="0.25">
      <c r="A94" s="904" t="s">
        <v>2400</v>
      </c>
      <c r="B94" s="904"/>
      <c r="C94" s="904"/>
      <c r="D94" s="904"/>
      <c r="E94" s="904"/>
      <c r="F94" s="904"/>
      <c r="G94" s="904"/>
    </row>
    <row r="95" spans="1:33" ht="5.85" customHeight="1" x14ac:dyDescent="0.25"/>
    <row r="96" spans="1:33" ht="11.1" customHeight="1" x14ac:dyDescent="0.25">
      <c r="A96" s="906" t="s">
        <v>1491</v>
      </c>
      <c r="B96" s="906"/>
      <c r="C96" s="906"/>
      <c r="D96" s="906"/>
      <c r="E96" s="906"/>
      <c r="F96" s="906"/>
      <c r="G96" s="906"/>
      <c r="H96" s="425"/>
      <c r="I96" s="425"/>
      <c r="J96" s="425"/>
      <c r="K96" s="425"/>
      <c r="L96" s="425"/>
      <c r="M96" s="425"/>
      <c r="N96" s="425"/>
      <c r="O96" s="425"/>
      <c r="P96" s="425"/>
      <c r="Q96" s="425"/>
      <c r="R96" s="425"/>
      <c r="S96" s="425"/>
      <c r="T96" s="425"/>
      <c r="U96" s="425"/>
      <c r="V96" s="425"/>
      <c r="W96" s="425"/>
      <c r="X96" s="425"/>
      <c r="Y96" s="425"/>
      <c r="Z96" s="425"/>
      <c r="AA96" s="425"/>
      <c r="AB96" s="425"/>
      <c r="AC96" s="425"/>
      <c r="AD96" s="425"/>
      <c r="AE96" s="425"/>
      <c r="AF96" s="425"/>
      <c r="AG96" s="425"/>
    </row>
    <row r="97" spans="1:33" ht="17.850000000000001" customHeight="1" x14ac:dyDescent="0.25">
      <c r="A97" s="897" t="s">
        <v>1574</v>
      </c>
      <c r="B97" s="898"/>
      <c r="C97" s="898"/>
      <c r="D97" s="898"/>
      <c r="E97" s="898"/>
      <c r="F97" s="898"/>
      <c r="G97" s="898"/>
      <c r="H97" s="898"/>
      <c r="I97" s="898"/>
      <c r="J97" s="898"/>
      <c r="K97" s="898"/>
      <c r="L97" s="898"/>
      <c r="M97" s="898"/>
      <c r="N97" s="898"/>
      <c r="O97" s="898"/>
      <c r="P97" s="898"/>
      <c r="Q97" s="898"/>
      <c r="R97" s="898"/>
      <c r="S97" s="898"/>
      <c r="T97" s="898"/>
      <c r="U97" s="898"/>
      <c r="V97" s="898"/>
      <c r="W97" s="898"/>
      <c r="X97" s="898"/>
      <c r="Y97" s="898"/>
      <c r="Z97" s="898"/>
      <c r="AA97" s="898"/>
      <c r="AB97" s="898"/>
      <c r="AC97" s="898"/>
      <c r="AD97" s="898"/>
      <c r="AE97" s="898"/>
      <c r="AF97" s="898"/>
      <c r="AG97" s="899"/>
    </row>
    <row r="98" spans="1:33" ht="40.700000000000003" customHeight="1" x14ac:dyDescent="0.25">
      <c r="A98" s="890" t="s">
        <v>1575</v>
      </c>
      <c r="B98" s="1137"/>
      <c r="C98" s="787" t="s">
        <v>1576</v>
      </c>
      <c r="D98" s="787" t="s">
        <v>1577</v>
      </c>
      <c r="E98" s="892" t="s">
        <v>1578</v>
      </c>
      <c r="F98" s="903"/>
      <c r="G98" s="892" t="s">
        <v>1579</v>
      </c>
      <c r="H98" s="903"/>
      <c r="I98" s="892" t="s">
        <v>1580</v>
      </c>
      <c r="J98" s="902"/>
      <c r="K98" s="902"/>
      <c r="L98" s="903"/>
      <c r="M98" s="892" t="s">
        <v>1581</v>
      </c>
      <c r="N98" s="902"/>
      <c r="O98" s="902"/>
      <c r="P98" s="903"/>
      <c r="Q98" s="892" t="s">
        <v>1582</v>
      </c>
      <c r="R98" s="902"/>
      <c r="S98" s="902"/>
      <c r="T98" s="903"/>
      <c r="U98" s="892" t="s">
        <v>1583</v>
      </c>
      <c r="V98" s="902"/>
      <c r="W98" s="902"/>
      <c r="X98" s="902"/>
      <c r="Y98" s="903"/>
      <c r="Z98" s="892" t="s">
        <v>1584</v>
      </c>
      <c r="AA98" s="902"/>
      <c r="AB98" s="902"/>
      <c r="AC98" s="903"/>
      <c r="AD98" s="892" t="s">
        <v>1585</v>
      </c>
      <c r="AE98" s="902"/>
      <c r="AF98" s="902"/>
      <c r="AG98" s="903"/>
    </row>
    <row r="99" spans="1:33" ht="11.85" customHeight="1" x14ac:dyDescent="0.25">
      <c r="A99" s="1135" t="s">
        <v>1590</v>
      </c>
      <c r="B99" s="1136"/>
      <c r="C99" s="819" t="s">
        <v>479</v>
      </c>
      <c r="D99" s="819" t="s">
        <v>479</v>
      </c>
      <c r="E99" s="1131" t="s">
        <v>479</v>
      </c>
      <c r="F99" s="1133"/>
      <c r="G99" s="1131" t="s">
        <v>479</v>
      </c>
      <c r="H99" s="1133"/>
      <c r="I99" s="1131" t="s">
        <v>479</v>
      </c>
      <c r="J99" s="1132"/>
      <c r="K99" s="1132"/>
      <c r="L99" s="1133"/>
      <c r="M99" s="1131" t="s">
        <v>479</v>
      </c>
      <c r="N99" s="1132"/>
      <c r="O99" s="1132"/>
      <c r="P99" s="1133"/>
      <c r="Q99" s="1131" t="s">
        <v>479</v>
      </c>
      <c r="R99" s="1132"/>
      <c r="S99" s="1132"/>
      <c r="T99" s="1133"/>
      <c r="U99" s="1131" t="s">
        <v>479</v>
      </c>
      <c r="V99" s="1132"/>
      <c r="W99" s="1132"/>
      <c r="X99" s="1132"/>
      <c r="Y99" s="1133"/>
      <c r="Z99" s="1131" t="s">
        <v>479</v>
      </c>
      <c r="AA99" s="1132"/>
      <c r="AB99" s="1132"/>
      <c r="AC99" s="1133"/>
      <c r="AD99" s="1093" t="s">
        <v>479</v>
      </c>
      <c r="AE99" s="1132"/>
      <c r="AF99" s="1132"/>
      <c r="AG99" s="1094"/>
    </row>
    <row r="100" spans="1:33" ht="11.85" customHeight="1" x14ac:dyDescent="0.25">
      <c r="A100" s="1134"/>
      <c r="B100" s="941"/>
      <c r="C100" s="941"/>
      <c r="D100" s="941"/>
      <c r="E100" s="941"/>
      <c r="F100" s="941"/>
      <c r="G100" s="941"/>
      <c r="H100" s="941"/>
      <c r="I100" s="941"/>
      <c r="J100" s="941"/>
      <c r="K100" s="941"/>
      <c r="L100" s="941"/>
      <c r="M100" s="941"/>
      <c r="N100" s="941"/>
      <c r="O100" s="941"/>
      <c r="P100" s="941"/>
      <c r="Q100" s="941"/>
      <c r="R100" s="941"/>
      <c r="S100" s="941"/>
      <c r="T100" s="941"/>
      <c r="U100" s="941"/>
      <c r="V100" s="941"/>
      <c r="W100" s="941"/>
      <c r="X100" s="941"/>
      <c r="Y100" s="941"/>
      <c r="Z100" s="941"/>
      <c r="AA100" s="941"/>
      <c r="AB100" s="941"/>
      <c r="AC100" s="941"/>
      <c r="AD100" s="941"/>
      <c r="AE100" s="941"/>
      <c r="AF100" s="941"/>
      <c r="AG100" s="1134"/>
    </row>
    <row r="101" spans="1:33" ht="11.1" customHeight="1" x14ac:dyDescent="0.25">
      <c r="A101" s="1122" t="s">
        <v>1591</v>
      </c>
      <c r="B101" s="1123"/>
      <c r="C101" s="1123"/>
      <c r="D101" s="1123"/>
      <c r="E101" s="1123"/>
      <c r="F101" s="1123"/>
      <c r="G101" s="1123"/>
      <c r="H101" s="1123"/>
      <c r="I101" s="1123"/>
      <c r="J101" s="1123"/>
      <c r="K101" s="1123"/>
      <c r="L101" s="1123"/>
      <c r="M101" s="1123"/>
      <c r="N101" s="1123"/>
      <c r="O101" s="1123"/>
      <c r="P101" s="1123"/>
      <c r="Q101" s="1123"/>
      <c r="R101" s="1123"/>
      <c r="S101" s="1123"/>
      <c r="T101" s="1123"/>
      <c r="U101" s="1123"/>
      <c r="V101" s="1123"/>
      <c r="W101" s="1123"/>
      <c r="X101" s="1123"/>
      <c r="Y101" s="1123"/>
      <c r="Z101" s="1123"/>
      <c r="AA101" s="1123"/>
      <c r="AB101" s="1123"/>
      <c r="AC101" s="1124"/>
      <c r="AD101" s="1125" t="s">
        <v>479</v>
      </c>
      <c r="AE101" s="1126"/>
      <c r="AF101" s="1126"/>
      <c r="AG101" s="1127"/>
    </row>
    <row r="102" spans="1:33" ht="11.85" customHeight="1" x14ac:dyDescent="0.25">
      <c r="A102" s="1122" t="s">
        <v>1592</v>
      </c>
      <c r="B102" s="1123"/>
      <c r="C102" s="1123"/>
      <c r="D102" s="1123"/>
      <c r="E102" s="1123"/>
      <c r="F102" s="1123"/>
      <c r="G102" s="1123"/>
      <c r="H102" s="1123"/>
      <c r="I102" s="1123"/>
      <c r="J102" s="1123"/>
      <c r="K102" s="1123"/>
      <c r="L102" s="1123"/>
      <c r="M102" s="1123"/>
      <c r="N102" s="1123"/>
      <c r="O102" s="1123"/>
      <c r="P102" s="1123"/>
      <c r="Q102" s="1123"/>
      <c r="R102" s="1123"/>
      <c r="S102" s="1123"/>
      <c r="T102" s="1123"/>
      <c r="U102" s="1123"/>
      <c r="V102" s="1123"/>
      <c r="W102" s="1123"/>
      <c r="X102" s="1123"/>
      <c r="Y102" s="1123"/>
      <c r="Z102" s="1123"/>
      <c r="AA102" s="1123"/>
      <c r="AB102" s="1123"/>
      <c r="AC102" s="1124"/>
      <c r="AD102" s="1125" t="s">
        <v>479</v>
      </c>
      <c r="AE102" s="1126"/>
      <c r="AF102" s="1126"/>
      <c r="AG102" s="1127"/>
    </row>
    <row r="103" spans="1:33" ht="11.85" customHeight="1" x14ac:dyDescent="0.25">
      <c r="A103" s="1122" t="s">
        <v>1593</v>
      </c>
      <c r="B103" s="1123"/>
      <c r="C103" s="1123"/>
      <c r="D103" s="1123"/>
      <c r="E103" s="1123"/>
      <c r="F103" s="1123"/>
      <c r="G103" s="1123"/>
      <c r="H103" s="1123"/>
      <c r="I103" s="1123"/>
      <c r="J103" s="1123"/>
      <c r="K103" s="1123"/>
      <c r="L103" s="1123"/>
      <c r="M103" s="1123"/>
      <c r="N103" s="1123"/>
      <c r="O103" s="1123"/>
      <c r="P103" s="1123"/>
      <c r="Q103" s="1123"/>
      <c r="R103" s="1123"/>
      <c r="S103" s="1123"/>
      <c r="T103" s="1123"/>
      <c r="U103" s="1123"/>
      <c r="V103" s="1123"/>
      <c r="W103" s="1123"/>
      <c r="X103" s="1123"/>
      <c r="Y103" s="1123"/>
      <c r="Z103" s="1123"/>
      <c r="AA103" s="1123"/>
      <c r="AB103" s="1123"/>
      <c r="AC103" s="1124"/>
      <c r="AD103" s="1125" t="s">
        <v>479</v>
      </c>
      <c r="AE103" s="1126"/>
      <c r="AF103" s="1126"/>
      <c r="AG103" s="1127"/>
    </row>
    <row r="104" spans="1:33" ht="11.85" customHeight="1" x14ac:dyDescent="0.25">
      <c r="A104" s="941"/>
      <c r="B104" s="941"/>
      <c r="C104" s="941"/>
      <c r="D104" s="941"/>
      <c r="E104" s="941"/>
      <c r="F104" s="941"/>
      <c r="G104" s="941"/>
      <c r="H104" s="941"/>
      <c r="I104" s="941"/>
      <c r="J104" s="941"/>
      <c r="K104" s="941"/>
      <c r="L104" s="941"/>
      <c r="M104" s="941"/>
      <c r="N104" s="941"/>
      <c r="O104" s="941"/>
      <c r="P104" s="941"/>
      <c r="Q104" s="941"/>
      <c r="R104" s="941"/>
      <c r="S104" s="941"/>
      <c r="T104" s="941"/>
      <c r="U104" s="941"/>
      <c r="V104" s="941"/>
      <c r="W104" s="941"/>
      <c r="X104" s="941"/>
      <c r="Y104" s="941"/>
      <c r="Z104" s="941"/>
      <c r="AA104" s="941"/>
      <c r="AB104" s="941"/>
      <c r="AC104" s="941"/>
      <c r="AD104" s="941"/>
      <c r="AE104" s="941"/>
      <c r="AF104" s="941"/>
      <c r="AG104" s="941"/>
    </row>
    <row r="105" spans="1:33" ht="11.1" customHeight="1" x14ac:dyDescent="0.25">
      <c r="A105" s="1096" t="s">
        <v>1594</v>
      </c>
      <c r="B105" s="1097"/>
      <c r="C105" s="1097"/>
      <c r="D105" s="1097"/>
      <c r="E105" s="1097"/>
      <c r="F105" s="1097"/>
      <c r="G105" s="1097"/>
      <c r="H105" s="1097"/>
      <c r="I105" s="1097"/>
      <c r="J105" s="1098"/>
      <c r="K105" s="892" t="s">
        <v>1595</v>
      </c>
      <c r="L105" s="902"/>
      <c r="M105" s="902"/>
      <c r="N105" s="902"/>
      <c r="O105" s="902"/>
      <c r="P105" s="902"/>
      <c r="Q105" s="902"/>
      <c r="R105" s="902"/>
      <c r="S105" s="902"/>
      <c r="T105" s="902"/>
      <c r="U105" s="902"/>
      <c r="V105" s="902"/>
      <c r="W105" s="902"/>
      <c r="X105" s="902"/>
      <c r="Y105" s="902"/>
      <c r="Z105" s="902"/>
      <c r="AA105" s="902"/>
      <c r="AB105" s="902"/>
      <c r="AC105" s="902"/>
      <c r="AD105" s="902"/>
      <c r="AE105" s="902"/>
      <c r="AF105" s="902"/>
      <c r="AG105" s="903"/>
    </row>
    <row r="106" spans="1:33" ht="17.850000000000001" customHeight="1" x14ac:dyDescent="0.25">
      <c r="A106" s="1128"/>
      <c r="B106" s="1129"/>
      <c r="C106" s="1129"/>
      <c r="D106" s="1129"/>
      <c r="E106" s="1129"/>
      <c r="F106" s="1129"/>
      <c r="G106" s="1129"/>
      <c r="H106" s="1129"/>
      <c r="I106" s="1129"/>
      <c r="J106" s="1130"/>
      <c r="K106" s="892" t="s">
        <v>1596</v>
      </c>
      <c r="L106" s="900"/>
      <c r="M106" s="900"/>
      <c r="N106" s="900"/>
      <c r="O106" s="900"/>
      <c r="P106" s="900"/>
      <c r="Q106" s="893"/>
      <c r="R106" s="892" t="s">
        <v>1565</v>
      </c>
      <c r="S106" s="902"/>
      <c r="T106" s="902"/>
      <c r="U106" s="902"/>
      <c r="V106" s="902"/>
      <c r="W106" s="902"/>
      <c r="X106" s="902"/>
      <c r="Y106" s="902"/>
      <c r="Z106" s="902"/>
      <c r="AA106" s="903"/>
      <c r="AB106" s="892" t="s">
        <v>1597</v>
      </c>
      <c r="AC106" s="900"/>
      <c r="AD106" s="900"/>
      <c r="AE106" s="900"/>
      <c r="AF106" s="900"/>
      <c r="AG106" s="893"/>
    </row>
    <row r="107" spans="1:33" ht="22.9" customHeight="1" x14ac:dyDescent="0.25">
      <c r="A107" s="1099"/>
      <c r="B107" s="1100"/>
      <c r="C107" s="1100"/>
      <c r="D107" s="1100"/>
      <c r="E107" s="1100"/>
      <c r="F107" s="1100"/>
      <c r="G107" s="1100"/>
      <c r="H107" s="1100"/>
      <c r="I107" s="1100"/>
      <c r="J107" s="1101"/>
      <c r="K107" s="894"/>
      <c r="L107" s="901"/>
      <c r="M107" s="901"/>
      <c r="N107" s="901"/>
      <c r="O107" s="901"/>
      <c r="P107" s="901"/>
      <c r="Q107" s="895"/>
      <c r="R107" s="892" t="s">
        <v>1598</v>
      </c>
      <c r="S107" s="902"/>
      <c r="T107" s="903"/>
      <c r="U107" s="892" t="s">
        <v>1599</v>
      </c>
      <c r="V107" s="902"/>
      <c r="W107" s="902"/>
      <c r="X107" s="903"/>
      <c r="Y107" s="892" t="s">
        <v>1600</v>
      </c>
      <c r="Z107" s="902"/>
      <c r="AA107" s="903"/>
      <c r="AB107" s="894"/>
      <c r="AC107" s="901"/>
      <c r="AD107" s="901"/>
      <c r="AE107" s="901"/>
      <c r="AF107" s="901"/>
      <c r="AG107" s="895"/>
    </row>
    <row r="108" spans="1:33" ht="11.85" customHeight="1" x14ac:dyDescent="0.25">
      <c r="A108" s="1119" t="s">
        <v>1601</v>
      </c>
      <c r="B108" s="1120"/>
      <c r="C108" s="1120"/>
      <c r="D108" s="1120"/>
      <c r="E108" s="1120"/>
      <c r="F108" s="1120"/>
      <c r="G108" s="1120"/>
      <c r="H108" s="1120"/>
      <c r="I108" s="1120"/>
      <c r="J108" s="1121"/>
      <c r="K108" s="1093" t="s">
        <v>479</v>
      </c>
      <c r="L108" s="1095"/>
      <c r="M108" s="1095"/>
      <c r="N108" s="1095"/>
      <c r="O108" s="1095"/>
      <c r="P108" s="1095"/>
      <c r="Q108" s="1094"/>
      <c r="R108" s="1093" t="s">
        <v>479</v>
      </c>
      <c r="S108" s="1095"/>
      <c r="T108" s="1094"/>
      <c r="U108" s="1093" t="s">
        <v>479</v>
      </c>
      <c r="V108" s="1095"/>
      <c r="W108" s="1095"/>
      <c r="X108" s="1094"/>
      <c r="Y108" s="1093" t="s">
        <v>479</v>
      </c>
      <c r="Z108" s="1095"/>
      <c r="AA108" s="1094"/>
      <c r="AB108" s="1093" t="s">
        <v>479</v>
      </c>
      <c r="AC108" s="1095"/>
      <c r="AD108" s="1095"/>
      <c r="AE108" s="1095"/>
      <c r="AF108" s="1095"/>
      <c r="AG108" s="1094"/>
    </row>
    <row r="109" spans="1:33" ht="11.85" customHeight="1" x14ac:dyDescent="0.25">
      <c r="A109" s="1116" t="s">
        <v>1602</v>
      </c>
      <c r="B109" s="1117"/>
      <c r="C109" s="1117"/>
      <c r="D109" s="1117"/>
      <c r="E109" s="1117"/>
      <c r="F109" s="1117"/>
      <c r="G109" s="1117"/>
      <c r="H109" s="1117"/>
      <c r="I109" s="1117"/>
      <c r="J109" s="1118"/>
      <c r="K109" s="1081" t="s">
        <v>1603</v>
      </c>
      <c r="L109" s="1083"/>
      <c r="M109" s="1083"/>
      <c r="N109" s="1083"/>
      <c r="O109" s="1083"/>
      <c r="P109" s="1083"/>
      <c r="Q109" s="1082"/>
      <c r="R109" s="1081" t="s">
        <v>479</v>
      </c>
      <c r="S109" s="1083"/>
      <c r="T109" s="1082"/>
      <c r="U109" s="1081" t="s">
        <v>479</v>
      </c>
      <c r="V109" s="1083"/>
      <c r="W109" s="1083"/>
      <c r="X109" s="1082"/>
      <c r="Y109" s="1081" t="s">
        <v>479</v>
      </c>
      <c r="Z109" s="1083"/>
      <c r="AA109" s="1082"/>
      <c r="AB109" s="1081" t="s">
        <v>1603</v>
      </c>
      <c r="AC109" s="1083"/>
      <c r="AD109" s="1083"/>
      <c r="AE109" s="1083"/>
      <c r="AF109" s="1083"/>
      <c r="AG109" s="1082"/>
    </row>
    <row r="110" spans="1:33" ht="11.85" customHeight="1" x14ac:dyDescent="0.25">
      <c r="A110" s="1113" t="s">
        <v>1604</v>
      </c>
      <c r="B110" s="1114"/>
      <c r="C110" s="1114"/>
      <c r="D110" s="1114"/>
      <c r="E110" s="1114"/>
      <c r="F110" s="1114"/>
      <c r="G110" s="1114"/>
      <c r="H110" s="1114"/>
      <c r="I110" s="1114"/>
      <c r="J110" s="1115"/>
      <c r="K110" s="1075" t="s">
        <v>1605</v>
      </c>
      <c r="L110" s="1077"/>
      <c r="M110" s="1077"/>
      <c r="N110" s="1077"/>
      <c r="O110" s="1077"/>
      <c r="P110" s="1077"/>
      <c r="Q110" s="1076"/>
      <c r="R110" s="1075" t="s">
        <v>479</v>
      </c>
      <c r="S110" s="1077"/>
      <c r="T110" s="1076"/>
      <c r="U110" s="1075" t="s">
        <v>479</v>
      </c>
      <c r="V110" s="1077"/>
      <c r="W110" s="1077"/>
      <c r="X110" s="1076"/>
      <c r="Y110" s="1075" t="s">
        <v>479</v>
      </c>
      <c r="Z110" s="1077"/>
      <c r="AA110" s="1076"/>
      <c r="AB110" s="1075" t="s">
        <v>1605</v>
      </c>
      <c r="AC110" s="1077"/>
      <c r="AD110" s="1077"/>
      <c r="AE110" s="1077"/>
      <c r="AF110" s="1077"/>
      <c r="AG110" s="1076"/>
    </row>
    <row r="111" spans="1:33" ht="11.1" customHeight="1" x14ac:dyDescent="0.25">
      <c r="A111" s="1110" t="s">
        <v>1606</v>
      </c>
      <c r="B111" s="1111"/>
      <c r="C111" s="1111"/>
      <c r="D111" s="1111"/>
      <c r="E111" s="1111"/>
      <c r="F111" s="1111"/>
      <c r="G111" s="1111"/>
      <c r="H111" s="1111"/>
      <c r="I111" s="1111"/>
      <c r="J111" s="1112"/>
      <c r="K111" s="1069" t="s">
        <v>1607</v>
      </c>
      <c r="L111" s="1071"/>
      <c r="M111" s="1071"/>
      <c r="N111" s="1071"/>
      <c r="O111" s="1071"/>
      <c r="P111" s="1071"/>
      <c r="Q111" s="1070"/>
      <c r="R111" s="1069" t="s">
        <v>479</v>
      </c>
      <c r="S111" s="1071"/>
      <c r="T111" s="1070"/>
      <c r="U111" s="1069" t="s">
        <v>479</v>
      </c>
      <c r="V111" s="1071"/>
      <c r="W111" s="1071"/>
      <c r="X111" s="1070"/>
      <c r="Y111" s="1069" t="s">
        <v>479</v>
      </c>
      <c r="Z111" s="1071"/>
      <c r="AA111" s="1070"/>
      <c r="AB111" s="1069" t="s">
        <v>1607</v>
      </c>
      <c r="AC111" s="1071"/>
      <c r="AD111" s="1071"/>
      <c r="AE111" s="1071"/>
      <c r="AF111" s="1071"/>
      <c r="AG111" s="1070"/>
    </row>
    <row r="112" spans="1:33" ht="11.85" customHeight="1" x14ac:dyDescent="0.25">
      <c r="A112" s="941"/>
      <c r="B112" s="941"/>
      <c r="C112" s="941"/>
      <c r="D112" s="941"/>
      <c r="E112" s="941"/>
      <c r="F112" s="941"/>
      <c r="G112" s="941"/>
      <c r="H112" s="941"/>
      <c r="I112" s="941"/>
      <c r="J112" s="941"/>
      <c r="K112" s="941"/>
      <c r="L112" s="941"/>
      <c r="M112" s="941"/>
      <c r="N112" s="941"/>
      <c r="O112" s="941"/>
      <c r="P112" s="941"/>
      <c r="Q112" s="941"/>
      <c r="R112" s="941"/>
      <c r="S112" s="941"/>
      <c r="T112" s="941"/>
      <c r="U112" s="941"/>
      <c r="V112" s="941"/>
      <c r="W112" s="941"/>
      <c r="X112" s="941"/>
      <c r="Y112" s="941"/>
      <c r="Z112" s="941"/>
      <c r="AA112" s="941"/>
      <c r="AB112" s="941"/>
      <c r="AC112" s="941"/>
      <c r="AD112" s="941"/>
      <c r="AE112" s="941"/>
      <c r="AF112" s="941"/>
      <c r="AG112" s="941"/>
    </row>
    <row r="113" spans="1:33" ht="11.85" customHeight="1" x14ac:dyDescent="0.25">
      <c r="A113" s="890" t="s">
        <v>1608</v>
      </c>
      <c r="B113" s="1105"/>
      <c r="C113" s="1105"/>
      <c r="D113" s="1105"/>
      <c r="E113" s="1105"/>
      <c r="F113" s="1105"/>
      <c r="G113" s="1105"/>
      <c r="H113" s="1105"/>
      <c r="I113" s="1106"/>
      <c r="J113" s="892" t="s">
        <v>544</v>
      </c>
      <c r="K113" s="900"/>
      <c r="L113" s="900"/>
      <c r="M113" s="900"/>
      <c r="N113" s="900"/>
      <c r="O113" s="893"/>
      <c r="P113" s="892" t="s">
        <v>545</v>
      </c>
      <c r="Q113" s="900"/>
      <c r="R113" s="900"/>
      <c r="S113" s="900"/>
      <c r="T113" s="900"/>
      <c r="U113" s="900"/>
      <c r="V113" s="893"/>
      <c r="W113" s="897" t="s">
        <v>546</v>
      </c>
      <c r="X113" s="898"/>
      <c r="Y113" s="898"/>
      <c r="Z113" s="898"/>
      <c r="AA113" s="898"/>
      <c r="AB113" s="898"/>
      <c r="AC113" s="898"/>
      <c r="AD113" s="898"/>
      <c r="AE113" s="898"/>
      <c r="AF113" s="898"/>
      <c r="AG113" s="899"/>
    </row>
    <row r="114" spans="1:33" ht="17.850000000000001" customHeight="1" x14ac:dyDescent="0.25">
      <c r="A114" s="1107"/>
      <c r="B114" s="1108"/>
      <c r="C114" s="1108"/>
      <c r="D114" s="1108"/>
      <c r="E114" s="1108"/>
      <c r="F114" s="1108"/>
      <c r="G114" s="1108"/>
      <c r="H114" s="1108"/>
      <c r="I114" s="1109"/>
      <c r="J114" s="894"/>
      <c r="K114" s="901"/>
      <c r="L114" s="901"/>
      <c r="M114" s="901"/>
      <c r="N114" s="901"/>
      <c r="O114" s="895"/>
      <c r="P114" s="894"/>
      <c r="Q114" s="901"/>
      <c r="R114" s="901"/>
      <c r="S114" s="901"/>
      <c r="T114" s="901"/>
      <c r="U114" s="901"/>
      <c r="V114" s="895"/>
      <c r="W114" s="892" t="s">
        <v>1493</v>
      </c>
      <c r="X114" s="902"/>
      <c r="Y114" s="902"/>
      <c r="Z114" s="902"/>
      <c r="AA114" s="902"/>
      <c r="AB114" s="903"/>
      <c r="AC114" s="892" t="s">
        <v>1494</v>
      </c>
      <c r="AD114" s="902"/>
      <c r="AE114" s="902"/>
      <c r="AF114" s="902"/>
      <c r="AG114" s="903"/>
    </row>
    <row r="115" spans="1:33" ht="11.1" customHeight="1" x14ac:dyDescent="0.25">
      <c r="A115" s="1048" t="s">
        <v>1609</v>
      </c>
      <c r="B115" s="1049"/>
      <c r="C115" s="1049"/>
      <c r="D115" s="1049"/>
      <c r="E115" s="1049"/>
      <c r="F115" s="1049"/>
      <c r="G115" s="1049"/>
      <c r="H115" s="1049"/>
      <c r="I115" s="1050"/>
      <c r="J115" s="1093" t="s">
        <v>1610</v>
      </c>
      <c r="K115" s="1095"/>
      <c r="L115" s="1095"/>
      <c r="M115" s="1095"/>
      <c r="N115" s="1095"/>
      <c r="O115" s="1094"/>
      <c r="P115" s="1093" t="s">
        <v>2481</v>
      </c>
      <c r="Q115" s="1095"/>
      <c r="R115" s="1095"/>
      <c r="S115" s="1095"/>
      <c r="T115" s="1095"/>
      <c r="U115" s="1095"/>
      <c r="V115" s="1094"/>
      <c r="W115" s="1093" t="s">
        <v>2482</v>
      </c>
      <c r="X115" s="1095"/>
      <c r="Y115" s="1095"/>
      <c r="Z115" s="1095"/>
      <c r="AA115" s="1095"/>
      <c r="AB115" s="1094"/>
      <c r="AC115" s="1093" t="s">
        <v>2483</v>
      </c>
      <c r="AD115" s="1095"/>
      <c r="AE115" s="1095"/>
      <c r="AF115" s="1095"/>
      <c r="AG115" s="1094"/>
    </row>
    <row r="116" spans="1:33" ht="11.85" customHeight="1" x14ac:dyDescent="0.25">
      <c r="A116" s="1042" t="s">
        <v>1611</v>
      </c>
      <c r="B116" s="1043"/>
      <c r="C116" s="1043"/>
      <c r="D116" s="1043"/>
      <c r="E116" s="1043"/>
      <c r="F116" s="1043"/>
      <c r="G116" s="1043"/>
      <c r="H116" s="1043"/>
      <c r="I116" s="1044"/>
      <c r="J116" s="1081" t="s">
        <v>1612</v>
      </c>
      <c r="K116" s="1083"/>
      <c r="L116" s="1083"/>
      <c r="M116" s="1083"/>
      <c r="N116" s="1083"/>
      <c r="O116" s="1082"/>
      <c r="P116" s="1081" t="s">
        <v>2484</v>
      </c>
      <c r="Q116" s="1083"/>
      <c r="R116" s="1083"/>
      <c r="S116" s="1083"/>
      <c r="T116" s="1083"/>
      <c r="U116" s="1083"/>
      <c r="V116" s="1082"/>
      <c r="W116" s="1081" t="s">
        <v>2485</v>
      </c>
      <c r="X116" s="1083"/>
      <c r="Y116" s="1083"/>
      <c r="Z116" s="1083"/>
      <c r="AA116" s="1083"/>
      <c r="AB116" s="1082"/>
      <c r="AC116" s="1081" t="s">
        <v>2486</v>
      </c>
      <c r="AD116" s="1083"/>
      <c r="AE116" s="1083"/>
      <c r="AF116" s="1083"/>
      <c r="AG116" s="1082"/>
    </row>
    <row r="117" spans="1:33" ht="11.85" customHeight="1" x14ac:dyDescent="0.25">
      <c r="A117" s="1042" t="s">
        <v>1613</v>
      </c>
      <c r="B117" s="1043"/>
      <c r="C117" s="1043"/>
      <c r="D117" s="1043"/>
      <c r="E117" s="1043"/>
      <c r="F117" s="1043"/>
      <c r="G117" s="1043"/>
      <c r="H117" s="1043"/>
      <c r="I117" s="1044"/>
      <c r="J117" s="1081" t="s">
        <v>1614</v>
      </c>
      <c r="K117" s="1083"/>
      <c r="L117" s="1083"/>
      <c r="M117" s="1083"/>
      <c r="N117" s="1083"/>
      <c r="O117" s="1082"/>
      <c r="P117" s="1081" t="s">
        <v>1615</v>
      </c>
      <c r="Q117" s="1083"/>
      <c r="R117" s="1083"/>
      <c r="S117" s="1083"/>
      <c r="T117" s="1083"/>
      <c r="U117" s="1083"/>
      <c r="V117" s="1082"/>
      <c r="W117" s="1081" t="s">
        <v>2487</v>
      </c>
      <c r="X117" s="1083"/>
      <c r="Y117" s="1083"/>
      <c r="Z117" s="1083"/>
      <c r="AA117" s="1083"/>
      <c r="AB117" s="1082"/>
      <c r="AC117" s="1081" t="s">
        <v>2488</v>
      </c>
      <c r="AD117" s="1083"/>
      <c r="AE117" s="1083"/>
      <c r="AF117" s="1083"/>
      <c r="AG117" s="1082"/>
    </row>
    <row r="118" spans="1:33" ht="11.85" customHeight="1" x14ac:dyDescent="0.25">
      <c r="A118" s="1042" t="s">
        <v>1617</v>
      </c>
      <c r="B118" s="1043"/>
      <c r="C118" s="1043"/>
      <c r="D118" s="1043"/>
      <c r="E118" s="1043"/>
      <c r="F118" s="1043"/>
      <c r="G118" s="1043"/>
      <c r="H118" s="1043"/>
      <c r="I118" s="1044"/>
      <c r="J118" s="1081" t="s">
        <v>479</v>
      </c>
      <c r="K118" s="1083"/>
      <c r="L118" s="1083"/>
      <c r="M118" s="1083"/>
      <c r="N118" s="1083"/>
      <c r="O118" s="1082"/>
      <c r="P118" s="1081" t="s">
        <v>479</v>
      </c>
      <c r="Q118" s="1083"/>
      <c r="R118" s="1083"/>
      <c r="S118" s="1083"/>
      <c r="T118" s="1083"/>
      <c r="U118" s="1083"/>
      <c r="V118" s="1082"/>
      <c r="W118" s="1081" t="s">
        <v>479</v>
      </c>
      <c r="X118" s="1083"/>
      <c r="Y118" s="1083"/>
      <c r="Z118" s="1083"/>
      <c r="AA118" s="1083"/>
      <c r="AB118" s="1082"/>
      <c r="AC118" s="1081" t="s">
        <v>479</v>
      </c>
      <c r="AD118" s="1083"/>
      <c r="AE118" s="1083"/>
      <c r="AF118" s="1083"/>
      <c r="AG118" s="1082"/>
    </row>
    <row r="119" spans="1:33" ht="11.1" customHeight="1" x14ac:dyDescent="0.25">
      <c r="A119" s="1042" t="s">
        <v>1618</v>
      </c>
      <c r="B119" s="1043"/>
      <c r="C119" s="1043"/>
      <c r="D119" s="1043"/>
      <c r="E119" s="1043"/>
      <c r="F119" s="1043"/>
      <c r="G119" s="1043"/>
      <c r="H119" s="1043"/>
      <c r="I119" s="1044"/>
      <c r="J119" s="1081" t="s">
        <v>479</v>
      </c>
      <c r="K119" s="1083"/>
      <c r="L119" s="1083"/>
      <c r="M119" s="1083"/>
      <c r="N119" s="1083"/>
      <c r="O119" s="1082"/>
      <c r="P119" s="1081" t="s">
        <v>479</v>
      </c>
      <c r="Q119" s="1083"/>
      <c r="R119" s="1083"/>
      <c r="S119" s="1083"/>
      <c r="T119" s="1083"/>
      <c r="U119" s="1083"/>
      <c r="V119" s="1082"/>
      <c r="W119" s="1081" t="s">
        <v>479</v>
      </c>
      <c r="X119" s="1083"/>
      <c r="Y119" s="1083"/>
      <c r="Z119" s="1083"/>
      <c r="AA119" s="1083"/>
      <c r="AB119" s="1082"/>
      <c r="AC119" s="1081" t="s">
        <v>479</v>
      </c>
      <c r="AD119" s="1083"/>
      <c r="AE119" s="1083"/>
      <c r="AF119" s="1083"/>
      <c r="AG119" s="1082"/>
    </row>
    <row r="120" spans="1:33" ht="11.85" customHeight="1" x14ac:dyDescent="0.25">
      <c r="A120" s="1045" t="s">
        <v>1619</v>
      </c>
      <c r="B120" s="1046"/>
      <c r="C120" s="1046"/>
      <c r="D120" s="1046"/>
      <c r="E120" s="1046"/>
      <c r="F120" s="1046"/>
      <c r="G120" s="1046"/>
      <c r="H120" s="1046"/>
      <c r="I120" s="1047"/>
      <c r="J120" s="1075" t="s">
        <v>2489</v>
      </c>
      <c r="K120" s="1077"/>
      <c r="L120" s="1077"/>
      <c r="M120" s="1077"/>
      <c r="N120" s="1077"/>
      <c r="O120" s="1076"/>
      <c r="P120" s="1075" t="s">
        <v>2489</v>
      </c>
      <c r="Q120" s="1077"/>
      <c r="R120" s="1077"/>
      <c r="S120" s="1077"/>
      <c r="T120" s="1077"/>
      <c r="U120" s="1077"/>
      <c r="V120" s="1076"/>
      <c r="W120" s="1075" t="s">
        <v>2490</v>
      </c>
      <c r="X120" s="1077"/>
      <c r="Y120" s="1077"/>
      <c r="Z120" s="1077"/>
      <c r="AA120" s="1077"/>
      <c r="AB120" s="1076"/>
      <c r="AC120" s="1075" t="s">
        <v>2491</v>
      </c>
      <c r="AD120" s="1077"/>
      <c r="AE120" s="1077"/>
      <c r="AF120" s="1077"/>
      <c r="AG120" s="1076"/>
    </row>
    <row r="121" spans="1:33" ht="11.85" customHeight="1" x14ac:dyDescent="0.25">
      <c r="A121" s="1102" t="s">
        <v>1620</v>
      </c>
      <c r="B121" s="1103"/>
      <c r="C121" s="1103"/>
      <c r="D121" s="1103"/>
      <c r="E121" s="1103"/>
      <c r="F121" s="1103"/>
      <c r="G121" s="1103"/>
      <c r="H121" s="1103"/>
      <c r="I121" s="1104"/>
      <c r="J121" s="1069" t="s">
        <v>2492</v>
      </c>
      <c r="K121" s="1071"/>
      <c r="L121" s="1071"/>
      <c r="M121" s="1071"/>
      <c r="N121" s="1071"/>
      <c r="O121" s="1070"/>
      <c r="P121" s="1069" t="s">
        <v>2493</v>
      </c>
      <c r="Q121" s="1071"/>
      <c r="R121" s="1071"/>
      <c r="S121" s="1071"/>
      <c r="T121" s="1071"/>
      <c r="U121" s="1071"/>
      <c r="V121" s="1070"/>
      <c r="W121" s="1069" t="s">
        <v>2494</v>
      </c>
      <c r="X121" s="1071"/>
      <c r="Y121" s="1071"/>
      <c r="Z121" s="1071"/>
      <c r="AA121" s="1071"/>
      <c r="AB121" s="1070"/>
      <c r="AC121" s="1069" t="s">
        <v>2495</v>
      </c>
      <c r="AD121" s="1071"/>
      <c r="AE121" s="1071"/>
      <c r="AF121" s="1071"/>
      <c r="AG121" s="1070"/>
    </row>
    <row r="122" spans="1:33" ht="11.85" customHeight="1" x14ac:dyDescent="0.25">
      <c r="A122" s="941"/>
      <c r="B122" s="941"/>
      <c r="C122" s="941"/>
      <c r="D122" s="941"/>
      <c r="E122" s="941"/>
      <c r="F122" s="941"/>
      <c r="G122" s="941"/>
      <c r="H122" s="941"/>
      <c r="I122" s="941"/>
      <c r="J122" s="941"/>
      <c r="K122" s="941"/>
      <c r="L122" s="941"/>
      <c r="M122" s="941"/>
      <c r="N122" s="941"/>
      <c r="O122" s="941"/>
      <c r="P122" s="941"/>
      <c r="Q122" s="941"/>
      <c r="R122" s="941"/>
      <c r="S122" s="941"/>
      <c r="T122" s="941"/>
      <c r="U122" s="941"/>
      <c r="V122" s="941"/>
      <c r="W122" s="941"/>
      <c r="X122" s="941"/>
      <c r="Y122" s="941"/>
      <c r="Z122" s="941"/>
      <c r="AA122" s="941"/>
      <c r="AB122" s="941"/>
      <c r="AC122" s="941"/>
      <c r="AD122" s="941"/>
      <c r="AE122" s="941"/>
      <c r="AF122" s="941"/>
      <c r="AG122" s="941"/>
    </row>
    <row r="123" spans="1:33" ht="17.100000000000001" customHeight="1" x14ac:dyDescent="0.25">
      <c r="A123" s="897" t="s">
        <v>1621</v>
      </c>
      <c r="B123" s="898"/>
      <c r="C123" s="898"/>
      <c r="D123" s="898"/>
      <c r="E123" s="898"/>
      <c r="F123" s="898"/>
      <c r="G123" s="898"/>
      <c r="H123" s="898"/>
      <c r="I123" s="898"/>
      <c r="J123" s="898"/>
      <c r="K123" s="898"/>
      <c r="L123" s="898"/>
      <c r="M123" s="898"/>
      <c r="N123" s="898"/>
      <c r="O123" s="898"/>
      <c r="P123" s="898"/>
      <c r="Q123" s="898"/>
      <c r="R123" s="898"/>
      <c r="S123" s="898"/>
      <c r="T123" s="898"/>
      <c r="U123" s="898"/>
      <c r="V123" s="898"/>
      <c r="W123" s="898"/>
      <c r="X123" s="898"/>
      <c r="Y123" s="898"/>
      <c r="Z123" s="898"/>
      <c r="AA123" s="898"/>
      <c r="AB123" s="898"/>
      <c r="AC123" s="898"/>
      <c r="AD123" s="898"/>
      <c r="AE123" s="898"/>
      <c r="AF123" s="898"/>
      <c r="AG123" s="899"/>
    </row>
    <row r="124" spans="1:33" ht="11.85" customHeight="1" x14ac:dyDescent="0.25">
      <c r="A124" s="1096" t="s">
        <v>1622</v>
      </c>
      <c r="B124" s="1097"/>
      <c r="C124" s="1097"/>
      <c r="D124" s="1097"/>
      <c r="E124" s="1098"/>
      <c r="F124" s="892" t="s">
        <v>1511</v>
      </c>
      <c r="G124" s="893"/>
      <c r="H124" s="892" t="s">
        <v>962</v>
      </c>
      <c r="I124" s="900"/>
      <c r="J124" s="900"/>
      <c r="K124" s="893"/>
      <c r="L124" s="897" t="s">
        <v>562</v>
      </c>
      <c r="M124" s="898"/>
      <c r="N124" s="898"/>
      <c r="O124" s="898"/>
      <c r="P124" s="898"/>
      <c r="Q124" s="898"/>
      <c r="R124" s="899"/>
      <c r="S124" s="897" t="s">
        <v>564</v>
      </c>
      <c r="T124" s="898"/>
      <c r="U124" s="898"/>
      <c r="V124" s="898"/>
      <c r="W124" s="898"/>
      <c r="X124" s="898"/>
      <c r="Y124" s="898"/>
      <c r="Z124" s="899"/>
      <c r="AA124" s="897" t="s">
        <v>1512</v>
      </c>
      <c r="AB124" s="898"/>
      <c r="AC124" s="898"/>
      <c r="AD124" s="898"/>
      <c r="AE124" s="898"/>
      <c r="AF124" s="898"/>
      <c r="AG124" s="899"/>
    </row>
    <row r="125" spans="1:33" ht="17.850000000000001" customHeight="1" x14ac:dyDescent="0.25">
      <c r="A125" s="1099"/>
      <c r="B125" s="1100"/>
      <c r="C125" s="1100"/>
      <c r="D125" s="1100"/>
      <c r="E125" s="1101"/>
      <c r="F125" s="894"/>
      <c r="G125" s="895"/>
      <c r="H125" s="894"/>
      <c r="I125" s="901"/>
      <c r="J125" s="901"/>
      <c r="K125" s="895"/>
      <c r="L125" s="892" t="s">
        <v>1513</v>
      </c>
      <c r="M125" s="902"/>
      <c r="N125" s="903"/>
      <c r="O125" s="892" t="s">
        <v>1514</v>
      </c>
      <c r="P125" s="902"/>
      <c r="Q125" s="902"/>
      <c r="R125" s="903"/>
      <c r="S125" s="892" t="s">
        <v>1515</v>
      </c>
      <c r="T125" s="902"/>
      <c r="U125" s="902"/>
      <c r="V125" s="902"/>
      <c r="W125" s="903"/>
      <c r="X125" s="892" t="s">
        <v>1516</v>
      </c>
      <c r="Y125" s="902"/>
      <c r="Z125" s="903"/>
      <c r="AA125" s="892" t="s">
        <v>1517</v>
      </c>
      <c r="AB125" s="902"/>
      <c r="AC125" s="902"/>
      <c r="AD125" s="903"/>
      <c r="AE125" s="892" t="s">
        <v>1518</v>
      </c>
      <c r="AF125" s="902"/>
      <c r="AG125" s="903"/>
    </row>
    <row r="126" spans="1:33" ht="17.100000000000001" customHeight="1" x14ac:dyDescent="0.25">
      <c r="A126" s="1090" t="s">
        <v>1623</v>
      </c>
      <c r="B126" s="1091"/>
      <c r="C126" s="1091"/>
      <c r="D126" s="1091"/>
      <c r="E126" s="1092"/>
      <c r="F126" s="1087" t="s">
        <v>1624</v>
      </c>
      <c r="G126" s="1089"/>
      <c r="H126" s="1087" t="s">
        <v>2496</v>
      </c>
      <c r="I126" s="1088"/>
      <c r="J126" s="1088"/>
      <c r="K126" s="1089"/>
      <c r="L126" s="1087" t="s">
        <v>2497</v>
      </c>
      <c r="M126" s="1088"/>
      <c r="N126" s="1089"/>
      <c r="O126" s="1087" t="s">
        <v>2498</v>
      </c>
      <c r="P126" s="1088"/>
      <c r="Q126" s="1088"/>
      <c r="R126" s="1089"/>
      <c r="S126" s="1087" t="s">
        <v>2499</v>
      </c>
      <c r="T126" s="1088"/>
      <c r="U126" s="1088"/>
      <c r="V126" s="1088"/>
      <c r="W126" s="1089"/>
      <c r="X126" s="1087" t="s">
        <v>2500</v>
      </c>
      <c r="Y126" s="1088"/>
      <c r="Z126" s="1089"/>
      <c r="AA126" s="1087" t="s">
        <v>2501</v>
      </c>
      <c r="AB126" s="1088"/>
      <c r="AC126" s="1088"/>
      <c r="AD126" s="1089"/>
      <c r="AE126" s="1087" t="s">
        <v>2502</v>
      </c>
      <c r="AF126" s="1088"/>
      <c r="AG126" s="1089"/>
    </row>
    <row r="127" spans="1:33" ht="17.850000000000001" customHeight="1" x14ac:dyDescent="0.25">
      <c r="A127" s="1078" t="s">
        <v>1521</v>
      </c>
      <c r="B127" s="1079"/>
      <c r="C127" s="1079"/>
      <c r="D127" s="1079"/>
      <c r="E127" s="1080"/>
      <c r="F127" s="1084" t="s">
        <v>1625</v>
      </c>
      <c r="G127" s="1086"/>
      <c r="H127" s="1084" t="s">
        <v>2503</v>
      </c>
      <c r="I127" s="1085"/>
      <c r="J127" s="1085"/>
      <c r="K127" s="1086"/>
      <c r="L127" s="1084" t="s">
        <v>2504</v>
      </c>
      <c r="M127" s="1085"/>
      <c r="N127" s="1086"/>
      <c r="O127" s="1084" t="s">
        <v>2505</v>
      </c>
      <c r="P127" s="1085"/>
      <c r="Q127" s="1085"/>
      <c r="R127" s="1086"/>
      <c r="S127" s="1084" t="s">
        <v>2506</v>
      </c>
      <c r="T127" s="1085"/>
      <c r="U127" s="1085"/>
      <c r="V127" s="1085"/>
      <c r="W127" s="1086"/>
      <c r="X127" s="1084" t="s">
        <v>2507</v>
      </c>
      <c r="Y127" s="1085"/>
      <c r="Z127" s="1086"/>
      <c r="AA127" s="1084" t="s">
        <v>2508</v>
      </c>
      <c r="AB127" s="1085"/>
      <c r="AC127" s="1085"/>
      <c r="AD127" s="1086"/>
      <c r="AE127" s="1084" t="s">
        <v>2509</v>
      </c>
      <c r="AF127" s="1085"/>
      <c r="AG127" s="1086"/>
    </row>
    <row r="128" spans="1:33" ht="17.100000000000001" customHeight="1" x14ac:dyDescent="0.25">
      <c r="A128" s="1078" t="s">
        <v>1479</v>
      </c>
      <c r="B128" s="1079"/>
      <c r="C128" s="1079"/>
      <c r="D128" s="1079"/>
      <c r="E128" s="1080"/>
      <c r="F128" s="1084" t="s">
        <v>1626</v>
      </c>
      <c r="G128" s="1086"/>
      <c r="H128" s="1084" t="s">
        <v>2510</v>
      </c>
      <c r="I128" s="1085"/>
      <c r="J128" s="1085"/>
      <c r="K128" s="1086"/>
      <c r="L128" s="1084" t="s">
        <v>2511</v>
      </c>
      <c r="M128" s="1085"/>
      <c r="N128" s="1086"/>
      <c r="O128" s="1084" t="s">
        <v>2512</v>
      </c>
      <c r="P128" s="1085"/>
      <c r="Q128" s="1085"/>
      <c r="R128" s="1086"/>
      <c r="S128" s="1084" t="s">
        <v>2511</v>
      </c>
      <c r="T128" s="1085"/>
      <c r="U128" s="1085"/>
      <c r="V128" s="1085"/>
      <c r="W128" s="1086"/>
      <c r="X128" s="1084" t="s">
        <v>2512</v>
      </c>
      <c r="Y128" s="1085"/>
      <c r="Z128" s="1086"/>
      <c r="AA128" s="1084" t="s">
        <v>2511</v>
      </c>
      <c r="AB128" s="1085"/>
      <c r="AC128" s="1085"/>
      <c r="AD128" s="1086"/>
      <c r="AE128" s="1084" t="s">
        <v>2512</v>
      </c>
      <c r="AF128" s="1085"/>
      <c r="AG128" s="1086"/>
    </row>
    <row r="129" spans="1:33" ht="11.85" customHeight="1" x14ac:dyDescent="0.25">
      <c r="A129" s="920" t="s">
        <v>2468</v>
      </c>
      <c r="B129" s="920"/>
      <c r="C129" s="920"/>
      <c r="D129" s="920"/>
      <c r="E129" s="920"/>
      <c r="F129" s="920"/>
      <c r="G129" s="920"/>
      <c r="H129" s="920"/>
      <c r="I129" s="920"/>
      <c r="J129" s="920"/>
      <c r="K129" s="920"/>
      <c r="L129" s="920"/>
      <c r="M129" s="920"/>
      <c r="N129" s="920"/>
      <c r="O129" s="920"/>
      <c r="P129" s="920"/>
      <c r="Q129" s="920"/>
      <c r="R129" s="920"/>
      <c r="S129" s="920"/>
      <c r="T129" s="920"/>
      <c r="U129" s="920"/>
      <c r="V129" s="920"/>
      <c r="W129" s="920"/>
      <c r="X129" s="920"/>
      <c r="Y129" s="920"/>
      <c r="Z129" s="920"/>
      <c r="AA129" s="920"/>
      <c r="AB129" s="920"/>
      <c r="AC129" s="920"/>
      <c r="AD129" s="920"/>
      <c r="AE129" s="920"/>
      <c r="AF129" s="920"/>
    </row>
    <row r="130" spans="1:33" ht="5.85" customHeight="1" x14ac:dyDescent="0.25"/>
    <row r="131" spans="1:33" ht="11.85" customHeight="1" x14ac:dyDescent="0.25">
      <c r="A131" s="904" t="s">
        <v>539</v>
      </c>
      <c r="B131" s="904"/>
      <c r="C131" s="904"/>
      <c r="D131" s="904"/>
      <c r="E131" s="904"/>
      <c r="F131" s="904"/>
      <c r="G131" s="904"/>
      <c r="AE131" s="980" t="s">
        <v>1000</v>
      </c>
      <c r="AF131" s="980"/>
    </row>
    <row r="132" spans="1:33" ht="11.1" customHeight="1" x14ac:dyDescent="0.25">
      <c r="A132" s="904" t="s">
        <v>467</v>
      </c>
      <c r="B132" s="904"/>
      <c r="C132" s="904"/>
      <c r="D132" s="904"/>
      <c r="E132" s="904"/>
      <c r="F132" s="904"/>
      <c r="G132" s="904"/>
    </row>
    <row r="133" spans="1:33" ht="11.85" customHeight="1" x14ac:dyDescent="0.25">
      <c r="A133" s="905" t="s">
        <v>1490</v>
      </c>
      <c r="B133" s="905"/>
      <c r="C133" s="905"/>
      <c r="D133" s="905"/>
      <c r="E133" s="905"/>
      <c r="F133" s="905"/>
      <c r="G133" s="905"/>
    </row>
    <row r="134" spans="1:33" ht="11.85" customHeight="1" x14ac:dyDescent="0.25">
      <c r="A134" s="904" t="s">
        <v>587</v>
      </c>
      <c r="B134" s="904"/>
      <c r="C134" s="904"/>
      <c r="D134" s="904"/>
      <c r="E134" s="904"/>
      <c r="F134" s="904"/>
      <c r="G134" s="904"/>
    </row>
    <row r="135" spans="1:33" ht="11.85" customHeight="1" x14ac:dyDescent="0.25">
      <c r="A135" s="904" t="s">
        <v>2400</v>
      </c>
      <c r="B135" s="904"/>
      <c r="C135" s="904"/>
      <c r="D135" s="904"/>
      <c r="E135" s="904"/>
      <c r="F135" s="904"/>
      <c r="G135" s="904"/>
    </row>
    <row r="136" spans="1:33" ht="5.85" customHeight="1" x14ac:dyDescent="0.25"/>
    <row r="137" spans="1:33" ht="11.1" customHeight="1" x14ac:dyDescent="0.25">
      <c r="A137" s="906" t="s">
        <v>1491</v>
      </c>
      <c r="B137" s="906"/>
      <c r="C137" s="906"/>
      <c r="D137" s="906"/>
      <c r="E137" s="906"/>
      <c r="F137" s="906"/>
      <c r="G137" s="906"/>
      <c r="H137" s="425"/>
      <c r="I137" s="425"/>
      <c r="J137" s="425"/>
      <c r="K137" s="425"/>
      <c r="L137" s="425"/>
      <c r="M137" s="425"/>
      <c r="N137" s="425"/>
      <c r="O137" s="425"/>
      <c r="P137" s="425"/>
      <c r="Q137" s="425"/>
      <c r="R137" s="425"/>
      <c r="S137" s="425"/>
      <c r="T137" s="425"/>
      <c r="U137" s="425"/>
      <c r="V137" s="425"/>
      <c r="W137" s="425"/>
      <c r="X137" s="425"/>
      <c r="Y137" s="425"/>
      <c r="Z137" s="425"/>
      <c r="AA137" s="425"/>
      <c r="AB137" s="425"/>
      <c r="AC137" s="425"/>
      <c r="AD137" s="425"/>
      <c r="AE137" s="425"/>
      <c r="AF137" s="425"/>
      <c r="AG137" s="425"/>
    </row>
    <row r="138" spans="1:33" ht="17.850000000000001" customHeight="1" x14ac:dyDescent="0.25">
      <c r="A138" s="897" t="s">
        <v>1621</v>
      </c>
      <c r="B138" s="898"/>
      <c r="C138" s="898"/>
      <c r="D138" s="898"/>
      <c r="E138" s="898"/>
      <c r="F138" s="898"/>
      <c r="G138" s="898"/>
      <c r="H138" s="898"/>
      <c r="I138" s="898"/>
      <c r="J138" s="898"/>
      <c r="K138" s="898"/>
      <c r="L138" s="898"/>
      <c r="M138" s="898"/>
      <c r="N138" s="898"/>
      <c r="O138" s="898"/>
      <c r="P138" s="898"/>
      <c r="Q138" s="898"/>
      <c r="R138" s="898"/>
      <c r="S138" s="898"/>
      <c r="T138" s="898"/>
      <c r="U138" s="898"/>
      <c r="V138" s="898"/>
      <c r="W138" s="898"/>
      <c r="X138" s="898"/>
      <c r="Y138" s="898"/>
      <c r="Z138" s="898"/>
      <c r="AA138" s="898"/>
      <c r="AB138" s="898"/>
      <c r="AC138" s="898"/>
      <c r="AD138" s="898"/>
      <c r="AE138" s="898"/>
      <c r="AF138" s="898"/>
      <c r="AG138" s="899"/>
    </row>
    <row r="139" spans="1:33" ht="11.85" customHeight="1" x14ac:dyDescent="0.25">
      <c r="A139" s="1096" t="s">
        <v>1622</v>
      </c>
      <c r="B139" s="1097"/>
      <c r="C139" s="1097"/>
      <c r="D139" s="1097"/>
      <c r="E139" s="1098"/>
      <c r="F139" s="892" t="s">
        <v>1511</v>
      </c>
      <c r="G139" s="893"/>
      <c r="H139" s="892" t="s">
        <v>962</v>
      </c>
      <c r="I139" s="900"/>
      <c r="J139" s="900"/>
      <c r="K139" s="893"/>
      <c r="L139" s="897" t="s">
        <v>562</v>
      </c>
      <c r="M139" s="898"/>
      <c r="N139" s="898"/>
      <c r="O139" s="898"/>
      <c r="P139" s="898"/>
      <c r="Q139" s="898"/>
      <c r="R139" s="899"/>
      <c r="S139" s="897" t="s">
        <v>564</v>
      </c>
      <c r="T139" s="898"/>
      <c r="U139" s="898"/>
      <c r="V139" s="898"/>
      <c r="W139" s="898"/>
      <c r="X139" s="898"/>
      <c r="Y139" s="898"/>
      <c r="Z139" s="899"/>
      <c r="AA139" s="897" t="s">
        <v>1512</v>
      </c>
      <c r="AB139" s="898"/>
      <c r="AC139" s="898"/>
      <c r="AD139" s="898"/>
      <c r="AE139" s="898"/>
      <c r="AF139" s="898"/>
      <c r="AG139" s="899"/>
    </row>
    <row r="140" spans="1:33" ht="17.100000000000001" customHeight="1" x14ac:dyDescent="0.25">
      <c r="A140" s="1099"/>
      <c r="B140" s="1100"/>
      <c r="C140" s="1100"/>
      <c r="D140" s="1100"/>
      <c r="E140" s="1101"/>
      <c r="F140" s="894"/>
      <c r="G140" s="895"/>
      <c r="H140" s="894"/>
      <c r="I140" s="901"/>
      <c r="J140" s="901"/>
      <c r="K140" s="895"/>
      <c r="L140" s="892" t="s">
        <v>1513</v>
      </c>
      <c r="M140" s="902"/>
      <c r="N140" s="903"/>
      <c r="O140" s="892" t="s">
        <v>1514</v>
      </c>
      <c r="P140" s="902"/>
      <c r="Q140" s="902"/>
      <c r="R140" s="903"/>
      <c r="S140" s="892" t="s">
        <v>1515</v>
      </c>
      <c r="T140" s="902"/>
      <c r="U140" s="902"/>
      <c r="V140" s="902"/>
      <c r="W140" s="903"/>
      <c r="X140" s="892" t="s">
        <v>1516</v>
      </c>
      <c r="Y140" s="902"/>
      <c r="Z140" s="903"/>
      <c r="AA140" s="892" t="s">
        <v>1517</v>
      </c>
      <c r="AB140" s="902"/>
      <c r="AC140" s="902"/>
      <c r="AD140" s="903"/>
      <c r="AE140" s="892" t="s">
        <v>1518</v>
      </c>
      <c r="AF140" s="902"/>
      <c r="AG140" s="903"/>
    </row>
    <row r="141" spans="1:33" ht="17.850000000000001" customHeight="1" x14ac:dyDescent="0.25">
      <c r="A141" s="1090" t="s">
        <v>1627</v>
      </c>
      <c r="B141" s="1091"/>
      <c r="C141" s="1091"/>
      <c r="D141" s="1091"/>
      <c r="E141" s="1092"/>
      <c r="F141" s="1087" t="s">
        <v>1628</v>
      </c>
      <c r="G141" s="1089"/>
      <c r="H141" s="1087" t="s">
        <v>1629</v>
      </c>
      <c r="I141" s="1088"/>
      <c r="J141" s="1088"/>
      <c r="K141" s="1089"/>
      <c r="L141" s="1087" t="s">
        <v>2513</v>
      </c>
      <c r="M141" s="1088"/>
      <c r="N141" s="1089"/>
      <c r="O141" s="1087" t="s">
        <v>2514</v>
      </c>
      <c r="P141" s="1088"/>
      <c r="Q141" s="1088"/>
      <c r="R141" s="1089"/>
      <c r="S141" s="1087" t="s">
        <v>2515</v>
      </c>
      <c r="T141" s="1088"/>
      <c r="U141" s="1088"/>
      <c r="V141" s="1088"/>
      <c r="W141" s="1089"/>
      <c r="X141" s="1087" t="s">
        <v>2516</v>
      </c>
      <c r="Y141" s="1088"/>
      <c r="Z141" s="1089"/>
      <c r="AA141" s="1087" t="s">
        <v>2517</v>
      </c>
      <c r="AB141" s="1088"/>
      <c r="AC141" s="1088"/>
      <c r="AD141" s="1089"/>
      <c r="AE141" s="1087" t="s">
        <v>1616</v>
      </c>
      <c r="AF141" s="1088"/>
      <c r="AG141" s="1089"/>
    </row>
    <row r="142" spans="1:33" ht="17.850000000000001" customHeight="1" x14ac:dyDescent="0.25">
      <c r="A142" s="1078" t="s">
        <v>1521</v>
      </c>
      <c r="B142" s="1079"/>
      <c r="C142" s="1079"/>
      <c r="D142" s="1079"/>
      <c r="E142" s="1080"/>
      <c r="F142" s="1084" t="s">
        <v>1630</v>
      </c>
      <c r="G142" s="1086"/>
      <c r="H142" s="1084" t="s">
        <v>1631</v>
      </c>
      <c r="I142" s="1085"/>
      <c r="J142" s="1085"/>
      <c r="K142" s="1086"/>
      <c r="L142" s="1084" t="s">
        <v>2513</v>
      </c>
      <c r="M142" s="1085"/>
      <c r="N142" s="1086"/>
      <c r="O142" s="1084" t="s">
        <v>2514</v>
      </c>
      <c r="P142" s="1085"/>
      <c r="Q142" s="1085"/>
      <c r="R142" s="1086"/>
      <c r="S142" s="1084" t="s">
        <v>2515</v>
      </c>
      <c r="T142" s="1085"/>
      <c r="U142" s="1085"/>
      <c r="V142" s="1085"/>
      <c r="W142" s="1086"/>
      <c r="X142" s="1084" t="s">
        <v>2516</v>
      </c>
      <c r="Y142" s="1085"/>
      <c r="Z142" s="1086"/>
      <c r="AA142" s="1084" t="s">
        <v>2517</v>
      </c>
      <c r="AB142" s="1085"/>
      <c r="AC142" s="1085"/>
      <c r="AD142" s="1086"/>
      <c r="AE142" s="1084" t="s">
        <v>1616</v>
      </c>
      <c r="AF142" s="1085"/>
      <c r="AG142" s="1086"/>
    </row>
    <row r="143" spans="1:33" ht="17.100000000000001" customHeight="1" x14ac:dyDescent="0.25">
      <c r="A143" s="1078" t="s">
        <v>1479</v>
      </c>
      <c r="B143" s="1079"/>
      <c r="C143" s="1079"/>
      <c r="D143" s="1079"/>
      <c r="E143" s="1080"/>
      <c r="F143" s="1084" t="s">
        <v>1632</v>
      </c>
      <c r="G143" s="1086"/>
      <c r="H143" s="1084" t="s">
        <v>1632</v>
      </c>
      <c r="I143" s="1085"/>
      <c r="J143" s="1085"/>
      <c r="K143" s="1086"/>
      <c r="L143" s="1084" t="s">
        <v>479</v>
      </c>
      <c r="M143" s="1085"/>
      <c r="N143" s="1086"/>
      <c r="O143" s="1084" t="s">
        <v>479</v>
      </c>
      <c r="P143" s="1085"/>
      <c r="Q143" s="1085"/>
      <c r="R143" s="1086"/>
      <c r="S143" s="1084" t="s">
        <v>479</v>
      </c>
      <c r="T143" s="1085"/>
      <c r="U143" s="1085"/>
      <c r="V143" s="1085"/>
      <c r="W143" s="1086"/>
      <c r="X143" s="1084" t="s">
        <v>479</v>
      </c>
      <c r="Y143" s="1085"/>
      <c r="Z143" s="1086"/>
      <c r="AA143" s="1084" t="s">
        <v>479</v>
      </c>
      <c r="AB143" s="1085"/>
      <c r="AC143" s="1085"/>
      <c r="AD143" s="1086"/>
      <c r="AE143" s="1084" t="s">
        <v>479</v>
      </c>
      <c r="AF143" s="1085"/>
      <c r="AG143" s="1086"/>
    </row>
    <row r="144" spans="1:33" ht="17.850000000000001" customHeight="1" x14ac:dyDescent="0.25">
      <c r="A144" s="1078" t="s">
        <v>1633</v>
      </c>
      <c r="B144" s="1079"/>
      <c r="C144" s="1079"/>
      <c r="D144" s="1079"/>
      <c r="E144" s="1080"/>
      <c r="F144" s="1084" t="s">
        <v>1634</v>
      </c>
      <c r="G144" s="1086"/>
      <c r="H144" s="1084" t="s">
        <v>1635</v>
      </c>
      <c r="I144" s="1085"/>
      <c r="J144" s="1085"/>
      <c r="K144" s="1086"/>
      <c r="L144" s="1084" t="s">
        <v>2518</v>
      </c>
      <c r="M144" s="1085"/>
      <c r="N144" s="1086"/>
      <c r="O144" s="1084" t="s">
        <v>2519</v>
      </c>
      <c r="P144" s="1085"/>
      <c r="Q144" s="1085"/>
      <c r="R144" s="1086"/>
      <c r="S144" s="1084" t="s">
        <v>2520</v>
      </c>
      <c r="T144" s="1085"/>
      <c r="U144" s="1085"/>
      <c r="V144" s="1085"/>
      <c r="W144" s="1086"/>
      <c r="X144" s="1084" t="s">
        <v>2521</v>
      </c>
      <c r="Y144" s="1085"/>
      <c r="Z144" s="1086"/>
      <c r="AA144" s="1084" t="s">
        <v>2522</v>
      </c>
      <c r="AB144" s="1085"/>
      <c r="AC144" s="1085"/>
      <c r="AD144" s="1086"/>
      <c r="AE144" s="1084" t="s">
        <v>2523</v>
      </c>
      <c r="AF144" s="1085"/>
      <c r="AG144" s="1086"/>
    </row>
    <row r="145" spans="1:33" ht="17.100000000000001" customHeight="1" x14ac:dyDescent="0.25">
      <c r="A145" s="1078" t="s">
        <v>1521</v>
      </c>
      <c r="B145" s="1079"/>
      <c r="C145" s="1079"/>
      <c r="D145" s="1079"/>
      <c r="E145" s="1080"/>
      <c r="F145" s="1084" t="s">
        <v>1636</v>
      </c>
      <c r="G145" s="1086"/>
      <c r="H145" s="1084" t="s">
        <v>1637</v>
      </c>
      <c r="I145" s="1085"/>
      <c r="J145" s="1085"/>
      <c r="K145" s="1086"/>
      <c r="L145" s="1084" t="s">
        <v>2524</v>
      </c>
      <c r="M145" s="1085"/>
      <c r="N145" s="1086"/>
      <c r="O145" s="1084" t="s">
        <v>2525</v>
      </c>
      <c r="P145" s="1085"/>
      <c r="Q145" s="1085"/>
      <c r="R145" s="1086"/>
      <c r="S145" s="1084" t="s">
        <v>2526</v>
      </c>
      <c r="T145" s="1085"/>
      <c r="U145" s="1085"/>
      <c r="V145" s="1085"/>
      <c r="W145" s="1086"/>
      <c r="X145" s="1084" t="s">
        <v>2527</v>
      </c>
      <c r="Y145" s="1085"/>
      <c r="Z145" s="1086"/>
      <c r="AA145" s="1084" t="s">
        <v>2528</v>
      </c>
      <c r="AB145" s="1085"/>
      <c r="AC145" s="1085"/>
      <c r="AD145" s="1086"/>
      <c r="AE145" s="1084" t="s">
        <v>2529</v>
      </c>
      <c r="AF145" s="1085"/>
      <c r="AG145" s="1086"/>
    </row>
    <row r="146" spans="1:33" ht="17.850000000000001" customHeight="1" x14ac:dyDescent="0.25">
      <c r="A146" s="1078" t="s">
        <v>1479</v>
      </c>
      <c r="B146" s="1079"/>
      <c r="C146" s="1079"/>
      <c r="D146" s="1079"/>
      <c r="E146" s="1080"/>
      <c r="F146" s="1084" t="s">
        <v>583</v>
      </c>
      <c r="G146" s="1086"/>
      <c r="H146" s="1084" t="s">
        <v>1638</v>
      </c>
      <c r="I146" s="1085"/>
      <c r="J146" s="1085"/>
      <c r="K146" s="1086"/>
      <c r="L146" s="1084" t="s">
        <v>1639</v>
      </c>
      <c r="M146" s="1085"/>
      <c r="N146" s="1086"/>
      <c r="O146" s="1084" t="s">
        <v>1640</v>
      </c>
      <c r="P146" s="1085"/>
      <c r="Q146" s="1085"/>
      <c r="R146" s="1086"/>
      <c r="S146" s="1084" t="s">
        <v>1639</v>
      </c>
      <c r="T146" s="1085"/>
      <c r="U146" s="1085"/>
      <c r="V146" s="1085"/>
      <c r="W146" s="1086"/>
      <c r="X146" s="1084" t="s">
        <v>1640</v>
      </c>
      <c r="Y146" s="1085"/>
      <c r="Z146" s="1086"/>
      <c r="AA146" s="1084" t="s">
        <v>1639</v>
      </c>
      <c r="AB146" s="1085"/>
      <c r="AC146" s="1085"/>
      <c r="AD146" s="1086"/>
      <c r="AE146" s="1084" t="s">
        <v>1640</v>
      </c>
      <c r="AF146" s="1085"/>
      <c r="AG146" s="1086"/>
    </row>
    <row r="147" spans="1:33" ht="17.850000000000001" customHeight="1" x14ac:dyDescent="0.25">
      <c r="A147" s="1078" t="s">
        <v>1641</v>
      </c>
      <c r="B147" s="1079"/>
      <c r="C147" s="1079"/>
      <c r="D147" s="1079"/>
      <c r="E147" s="1080"/>
      <c r="F147" s="1084" t="s">
        <v>1642</v>
      </c>
      <c r="G147" s="1086"/>
      <c r="H147" s="1084" t="s">
        <v>1643</v>
      </c>
      <c r="I147" s="1085"/>
      <c r="J147" s="1085"/>
      <c r="K147" s="1086"/>
      <c r="L147" s="1084" t="s">
        <v>2530</v>
      </c>
      <c r="M147" s="1085"/>
      <c r="N147" s="1086"/>
      <c r="O147" s="1084" t="s">
        <v>2531</v>
      </c>
      <c r="P147" s="1085"/>
      <c r="Q147" s="1085"/>
      <c r="R147" s="1086"/>
      <c r="S147" s="1084" t="s">
        <v>2532</v>
      </c>
      <c r="T147" s="1085"/>
      <c r="U147" s="1085"/>
      <c r="V147" s="1085"/>
      <c r="W147" s="1086"/>
      <c r="X147" s="1084" t="s">
        <v>2533</v>
      </c>
      <c r="Y147" s="1085"/>
      <c r="Z147" s="1086"/>
      <c r="AA147" s="1084" t="s">
        <v>2534</v>
      </c>
      <c r="AB147" s="1085"/>
      <c r="AC147" s="1085"/>
      <c r="AD147" s="1086"/>
      <c r="AE147" s="1084" t="s">
        <v>2535</v>
      </c>
      <c r="AF147" s="1085"/>
      <c r="AG147" s="1086"/>
    </row>
    <row r="148" spans="1:33" ht="17.100000000000001" customHeight="1" x14ac:dyDescent="0.25">
      <c r="A148" s="1078" t="s">
        <v>1521</v>
      </c>
      <c r="B148" s="1079"/>
      <c r="C148" s="1079"/>
      <c r="D148" s="1079"/>
      <c r="E148" s="1080"/>
      <c r="F148" s="1084" t="s">
        <v>1642</v>
      </c>
      <c r="G148" s="1086"/>
      <c r="H148" s="1084" t="s">
        <v>1643</v>
      </c>
      <c r="I148" s="1085"/>
      <c r="J148" s="1085"/>
      <c r="K148" s="1086"/>
      <c r="L148" s="1084" t="s">
        <v>2530</v>
      </c>
      <c r="M148" s="1085"/>
      <c r="N148" s="1086"/>
      <c r="O148" s="1084" t="s">
        <v>2531</v>
      </c>
      <c r="P148" s="1085"/>
      <c r="Q148" s="1085"/>
      <c r="R148" s="1086"/>
      <c r="S148" s="1084" t="s">
        <v>2532</v>
      </c>
      <c r="T148" s="1085"/>
      <c r="U148" s="1085"/>
      <c r="V148" s="1085"/>
      <c r="W148" s="1086"/>
      <c r="X148" s="1084" t="s">
        <v>2533</v>
      </c>
      <c r="Y148" s="1085"/>
      <c r="Z148" s="1086"/>
      <c r="AA148" s="1084" t="s">
        <v>2534</v>
      </c>
      <c r="AB148" s="1085"/>
      <c r="AC148" s="1085"/>
      <c r="AD148" s="1086"/>
      <c r="AE148" s="1084" t="s">
        <v>2535</v>
      </c>
      <c r="AF148" s="1085"/>
      <c r="AG148" s="1086"/>
    </row>
    <row r="149" spans="1:33" ht="17.850000000000001" customHeight="1" x14ac:dyDescent="0.25">
      <c r="A149" s="1078" t="s">
        <v>1479</v>
      </c>
      <c r="B149" s="1079"/>
      <c r="C149" s="1079"/>
      <c r="D149" s="1079"/>
      <c r="E149" s="1080"/>
      <c r="F149" s="1084" t="s">
        <v>479</v>
      </c>
      <c r="G149" s="1086"/>
      <c r="H149" s="1084" t="s">
        <v>479</v>
      </c>
      <c r="I149" s="1085"/>
      <c r="J149" s="1085"/>
      <c r="K149" s="1086"/>
      <c r="L149" s="1084" t="s">
        <v>479</v>
      </c>
      <c r="M149" s="1085"/>
      <c r="N149" s="1086"/>
      <c r="O149" s="1084" t="s">
        <v>479</v>
      </c>
      <c r="P149" s="1085"/>
      <c r="Q149" s="1085"/>
      <c r="R149" s="1086"/>
      <c r="S149" s="1084" t="s">
        <v>479</v>
      </c>
      <c r="T149" s="1085"/>
      <c r="U149" s="1085"/>
      <c r="V149" s="1085"/>
      <c r="W149" s="1086"/>
      <c r="X149" s="1084" t="s">
        <v>479</v>
      </c>
      <c r="Y149" s="1085"/>
      <c r="Z149" s="1086"/>
      <c r="AA149" s="1084" t="s">
        <v>479</v>
      </c>
      <c r="AB149" s="1085"/>
      <c r="AC149" s="1085"/>
      <c r="AD149" s="1086"/>
      <c r="AE149" s="1084" t="s">
        <v>479</v>
      </c>
      <c r="AF149" s="1085"/>
      <c r="AG149" s="1086"/>
    </row>
    <row r="150" spans="1:33" ht="17.850000000000001" customHeight="1" x14ac:dyDescent="0.25">
      <c r="A150" s="1078" t="s">
        <v>1644</v>
      </c>
      <c r="B150" s="1079"/>
      <c r="C150" s="1079"/>
      <c r="D150" s="1079"/>
      <c r="E150" s="1080"/>
      <c r="F150" s="1084" t="s">
        <v>1645</v>
      </c>
      <c r="G150" s="1086"/>
      <c r="H150" s="1084" t="s">
        <v>2536</v>
      </c>
      <c r="I150" s="1085"/>
      <c r="J150" s="1085"/>
      <c r="K150" s="1086"/>
      <c r="L150" s="1084" t="s">
        <v>2537</v>
      </c>
      <c r="M150" s="1085"/>
      <c r="N150" s="1086"/>
      <c r="O150" s="1084" t="s">
        <v>2538</v>
      </c>
      <c r="P150" s="1085"/>
      <c r="Q150" s="1085"/>
      <c r="R150" s="1086"/>
      <c r="S150" s="1084" t="s">
        <v>2539</v>
      </c>
      <c r="T150" s="1085"/>
      <c r="U150" s="1085"/>
      <c r="V150" s="1085"/>
      <c r="W150" s="1086"/>
      <c r="X150" s="1084" t="s">
        <v>2540</v>
      </c>
      <c r="Y150" s="1085"/>
      <c r="Z150" s="1086"/>
      <c r="AA150" s="1084" t="s">
        <v>2541</v>
      </c>
      <c r="AB150" s="1085"/>
      <c r="AC150" s="1085"/>
      <c r="AD150" s="1086"/>
      <c r="AE150" s="1084" t="s">
        <v>2542</v>
      </c>
      <c r="AF150" s="1085"/>
      <c r="AG150" s="1086"/>
    </row>
    <row r="151" spans="1:33" ht="17.100000000000001" customHeight="1" x14ac:dyDescent="0.25">
      <c r="A151" s="1078" t="s">
        <v>1521</v>
      </c>
      <c r="B151" s="1079"/>
      <c r="C151" s="1079"/>
      <c r="D151" s="1079"/>
      <c r="E151" s="1080"/>
      <c r="F151" s="1084" t="s">
        <v>1646</v>
      </c>
      <c r="G151" s="1086"/>
      <c r="H151" s="1084" t="s">
        <v>2543</v>
      </c>
      <c r="I151" s="1085"/>
      <c r="J151" s="1085"/>
      <c r="K151" s="1086"/>
      <c r="L151" s="1084" t="s">
        <v>2537</v>
      </c>
      <c r="M151" s="1085"/>
      <c r="N151" s="1086"/>
      <c r="O151" s="1084" t="s">
        <v>2538</v>
      </c>
      <c r="P151" s="1085"/>
      <c r="Q151" s="1085"/>
      <c r="R151" s="1086"/>
      <c r="S151" s="1084" t="s">
        <v>2539</v>
      </c>
      <c r="T151" s="1085"/>
      <c r="U151" s="1085"/>
      <c r="V151" s="1085"/>
      <c r="W151" s="1086"/>
      <c r="X151" s="1084" t="s">
        <v>2540</v>
      </c>
      <c r="Y151" s="1085"/>
      <c r="Z151" s="1086"/>
      <c r="AA151" s="1084" t="s">
        <v>2541</v>
      </c>
      <c r="AB151" s="1085"/>
      <c r="AC151" s="1085"/>
      <c r="AD151" s="1086"/>
      <c r="AE151" s="1084" t="s">
        <v>2542</v>
      </c>
      <c r="AF151" s="1085"/>
      <c r="AG151" s="1086"/>
    </row>
    <row r="152" spans="1:33" ht="17.850000000000001" customHeight="1" x14ac:dyDescent="0.25">
      <c r="A152" s="1078" t="s">
        <v>1479</v>
      </c>
      <c r="B152" s="1079"/>
      <c r="C152" s="1079"/>
      <c r="D152" s="1079"/>
      <c r="E152" s="1080"/>
      <c r="F152" s="1084" t="s">
        <v>1647</v>
      </c>
      <c r="G152" s="1086"/>
      <c r="H152" s="1084" t="s">
        <v>1647</v>
      </c>
      <c r="I152" s="1085"/>
      <c r="J152" s="1085"/>
      <c r="K152" s="1086"/>
      <c r="L152" s="1084" t="s">
        <v>479</v>
      </c>
      <c r="M152" s="1085"/>
      <c r="N152" s="1086"/>
      <c r="O152" s="1084" t="s">
        <v>479</v>
      </c>
      <c r="P152" s="1085"/>
      <c r="Q152" s="1085"/>
      <c r="R152" s="1086"/>
      <c r="S152" s="1084" t="s">
        <v>479</v>
      </c>
      <c r="T152" s="1085"/>
      <c r="U152" s="1085"/>
      <c r="V152" s="1085"/>
      <c r="W152" s="1086"/>
      <c r="X152" s="1084" t="s">
        <v>479</v>
      </c>
      <c r="Y152" s="1085"/>
      <c r="Z152" s="1086"/>
      <c r="AA152" s="1084" t="s">
        <v>479</v>
      </c>
      <c r="AB152" s="1085"/>
      <c r="AC152" s="1085"/>
      <c r="AD152" s="1086"/>
      <c r="AE152" s="1084" t="s">
        <v>479</v>
      </c>
      <c r="AF152" s="1085"/>
      <c r="AG152" s="1086"/>
    </row>
    <row r="153" spans="1:33" ht="17.100000000000001" customHeight="1" x14ac:dyDescent="0.25">
      <c r="A153" s="1078" t="s">
        <v>1648</v>
      </c>
      <c r="B153" s="1079"/>
      <c r="C153" s="1079"/>
      <c r="D153" s="1079"/>
      <c r="E153" s="1080"/>
      <c r="F153" s="1084" t="s">
        <v>479</v>
      </c>
      <c r="G153" s="1086"/>
      <c r="H153" s="1084" t="s">
        <v>479</v>
      </c>
      <c r="I153" s="1085"/>
      <c r="J153" s="1085"/>
      <c r="K153" s="1086"/>
      <c r="L153" s="1084" t="s">
        <v>479</v>
      </c>
      <c r="M153" s="1085"/>
      <c r="N153" s="1086"/>
      <c r="O153" s="1084" t="s">
        <v>479</v>
      </c>
      <c r="P153" s="1085"/>
      <c r="Q153" s="1085"/>
      <c r="R153" s="1086"/>
      <c r="S153" s="1084" t="s">
        <v>479</v>
      </c>
      <c r="T153" s="1085"/>
      <c r="U153" s="1085"/>
      <c r="V153" s="1085"/>
      <c r="W153" s="1086"/>
      <c r="X153" s="1084" t="s">
        <v>479</v>
      </c>
      <c r="Y153" s="1085"/>
      <c r="Z153" s="1086"/>
      <c r="AA153" s="1084" t="s">
        <v>479</v>
      </c>
      <c r="AB153" s="1085"/>
      <c r="AC153" s="1085"/>
      <c r="AD153" s="1086"/>
      <c r="AE153" s="1084" t="s">
        <v>479</v>
      </c>
      <c r="AF153" s="1085"/>
      <c r="AG153" s="1086"/>
    </row>
    <row r="154" spans="1:33" ht="17.850000000000001" customHeight="1" x14ac:dyDescent="0.25">
      <c r="A154" s="1078" t="s">
        <v>1521</v>
      </c>
      <c r="B154" s="1079"/>
      <c r="C154" s="1079"/>
      <c r="D154" s="1079"/>
      <c r="E154" s="1080"/>
      <c r="F154" s="1084" t="s">
        <v>479</v>
      </c>
      <c r="G154" s="1086"/>
      <c r="H154" s="1084" t="s">
        <v>479</v>
      </c>
      <c r="I154" s="1085"/>
      <c r="J154" s="1085"/>
      <c r="K154" s="1086"/>
      <c r="L154" s="1084" t="s">
        <v>479</v>
      </c>
      <c r="M154" s="1085"/>
      <c r="N154" s="1086"/>
      <c r="O154" s="1084" t="s">
        <v>479</v>
      </c>
      <c r="P154" s="1085"/>
      <c r="Q154" s="1085"/>
      <c r="R154" s="1086"/>
      <c r="S154" s="1084" t="s">
        <v>479</v>
      </c>
      <c r="T154" s="1085"/>
      <c r="U154" s="1085"/>
      <c r="V154" s="1085"/>
      <c r="W154" s="1086"/>
      <c r="X154" s="1084" t="s">
        <v>479</v>
      </c>
      <c r="Y154" s="1085"/>
      <c r="Z154" s="1086"/>
      <c r="AA154" s="1084" t="s">
        <v>479</v>
      </c>
      <c r="AB154" s="1085"/>
      <c r="AC154" s="1085"/>
      <c r="AD154" s="1086"/>
      <c r="AE154" s="1084" t="s">
        <v>479</v>
      </c>
      <c r="AF154" s="1085"/>
      <c r="AG154" s="1086"/>
    </row>
    <row r="155" spans="1:33" ht="17.850000000000001" customHeight="1" x14ac:dyDescent="0.25">
      <c r="A155" s="1078" t="s">
        <v>1479</v>
      </c>
      <c r="B155" s="1079"/>
      <c r="C155" s="1079"/>
      <c r="D155" s="1079"/>
      <c r="E155" s="1080"/>
      <c r="F155" s="1084" t="s">
        <v>479</v>
      </c>
      <c r="G155" s="1086"/>
      <c r="H155" s="1084" t="s">
        <v>479</v>
      </c>
      <c r="I155" s="1085"/>
      <c r="J155" s="1085"/>
      <c r="K155" s="1086"/>
      <c r="L155" s="1084" t="s">
        <v>479</v>
      </c>
      <c r="M155" s="1085"/>
      <c r="N155" s="1086"/>
      <c r="O155" s="1084" t="s">
        <v>479</v>
      </c>
      <c r="P155" s="1085"/>
      <c r="Q155" s="1085"/>
      <c r="R155" s="1086"/>
      <c r="S155" s="1084" t="s">
        <v>479</v>
      </c>
      <c r="T155" s="1085"/>
      <c r="U155" s="1085"/>
      <c r="V155" s="1085"/>
      <c r="W155" s="1086"/>
      <c r="X155" s="1084" t="s">
        <v>479</v>
      </c>
      <c r="Y155" s="1085"/>
      <c r="Z155" s="1086"/>
      <c r="AA155" s="1084" t="s">
        <v>479</v>
      </c>
      <c r="AB155" s="1085"/>
      <c r="AC155" s="1085"/>
      <c r="AD155" s="1086"/>
      <c r="AE155" s="1084" t="s">
        <v>479</v>
      </c>
      <c r="AF155" s="1085"/>
      <c r="AG155" s="1086"/>
    </row>
    <row r="156" spans="1:33" ht="17.100000000000001" customHeight="1" x14ac:dyDescent="0.25">
      <c r="A156" s="1078" t="s">
        <v>1649</v>
      </c>
      <c r="B156" s="1079"/>
      <c r="C156" s="1079"/>
      <c r="D156" s="1079"/>
      <c r="E156" s="1080"/>
      <c r="F156" s="1084" t="s">
        <v>1650</v>
      </c>
      <c r="G156" s="1086"/>
      <c r="H156" s="1084" t="s">
        <v>2544</v>
      </c>
      <c r="I156" s="1085"/>
      <c r="J156" s="1085"/>
      <c r="K156" s="1086"/>
      <c r="L156" s="1084" t="s">
        <v>1651</v>
      </c>
      <c r="M156" s="1085"/>
      <c r="N156" s="1086"/>
      <c r="O156" s="1084" t="s">
        <v>2545</v>
      </c>
      <c r="P156" s="1085"/>
      <c r="Q156" s="1085"/>
      <c r="R156" s="1086"/>
      <c r="S156" s="1084" t="s">
        <v>1651</v>
      </c>
      <c r="T156" s="1085"/>
      <c r="U156" s="1085"/>
      <c r="V156" s="1085"/>
      <c r="W156" s="1086"/>
      <c r="X156" s="1084" t="s">
        <v>2545</v>
      </c>
      <c r="Y156" s="1085"/>
      <c r="Z156" s="1086"/>
      <c r="AA156" s="1084" t="s">
        <v>1651</v>
      </c>
      <c r="AB156" s="1085"/>
      <c r="AC156" s="1085"/>
      <c r="AD156" s="1086"/>
      <c r="AE156" s="1084" t="s">
        <v>2545</v>
      </c>
      <c r="AF156" s="1085"/>
      <c r="AG156" s="1086"/>
    </row>
    <row r="157" spans="1:33" ht="17.850000000000001" customHeight="1" x14ac:dyDescent="0.25">
      <c r="A157" s="1078" t="s">
        <v>1521</v>
      </c>
      <c r="B157" s="1079"/>
      <c r="C157" s="1079"/>
      <c r="D157" s="1079"/>
      <c r="E157" s="1080"/>
      <c r="F157" s="1084" t="s">
        <v>1652</v>
      </c>
      <c r="G157" s="1086"/>
      <c r="H157" s="1084" t="s">
        <v>2546</v>
      </c>
      <c r="I157" s="1085"/>
      <c r="J157" s="1085"/>
      <c r="K157" s="1086"/>
      <c r="L157" s="1084" t="s">
        <v>1651</v>
      </c>
      <c r="M157" s="1085"/>
      <c r="N157" s="1086"/>
      <c r="O157" s="1084" t="s">
        <v>2547</v>
      </c>
      <c r="P157" s="1085"/>
      <c r="Q157" s="1085"/>
      <c r="R157" s="1086"/>
      <c r="S157" s="1084" t="s">
        <v>1651</v>
      </c>
      <c r="T157" s="1085"/>
      <c r="U157" s="1085"/>
      <c r="V157" s="1085"/>
      <c r="W157" s="1086"/>
      <c r="X157" s="1084" t="s">
        <v>2547</v>
      </c>
      <c r="Y157" s="1085"/>
      <c r="Z157" s="1086"/>
      <c r="AA157" s="1084" t="s">
        <v>1651</v>
      </c>
      <c r="AB157" s="1085"/>
      <c r="AC157" s="1085"/>
      <c r="AD157" s="1086"/>
      <c r="AE157" s="1084" t="s">
        <v>2547</v>
      </c>
      <c r="AF157" s="1085"/>
      <c r="AG157" s="1086"/>
    </row>
    <row r="158" spans="1:33" ht="17.850000000000001" customHeight="1" x14ac:dyDescent="0.25">
      <c r="A158" s="1072" t="s">
        <v>1479</v>
      </c>
      <c r="B158" s="1073"/>
      <c r="C158" s="1073"/>
      <c r="D158" s="1073"/>
      <c r="E158" s="1074"/>
      <c r="F158" s="1063" t="s">
        <v>1653</v>
      </c>
      <c r="G158" s="1065"/>
      <c r="H158" s="1063" t="s">
        <v>1654</v>
      </c>
      <c r="I158" s="1064"/>
      <c r="J158" s="1064"/>
      <c r="K158" s="1065"/>
      <c r="L158" s="1063" t="s">
        <v>479</v>
      </c>
      <c r="M158" s="1064"/>
      <c r="N158" s="1065"/>
      <c r="O158" s="1063" t="s">
        <v>479</v>
      </c>
      <c r="P158" s="1064"/>
      <c r="Q158" s="1064"/>
      <c r="R158" s="1065"/>
      <c r="S158" s="1063" t="s">
        <v>479</v>
      </c>
      <c r="T158" s="1064"/>
      <c r="U158" s="1064"/>
      <c r="V158" s="1064"/>
      <c r="W158" s="1065"/>
      <c r="X158" s="1063" t="s">
        <v>479</v>
      </c>
      <c r="Y158" s="1064"/>
      <c r="Z158" s="1065"/>
      <c r="AA158" s="1063" t="s">
        <v>479</v>
      </c>
      <c r="AB158" s="1064"/>
      <c r="AC158" s="1064"/>
      <c r="AD158" s="1065"/>
      <c r="AE158" s="1063" t="s">
        <v>479</v>
      </c>
      <c r="AF158" s="1064"/>
      <c r="AG158" s="1065"/>
    </row>
    <row r="159" spans="1:33" ht="17.100000000000001" customHeight="1" x14ac:dyDescent="0.25">
      <c r="A159" s="1066" t="s">
        <v>1655</v>
      </c>
      <c r="B159" s="1067"/>
      <c r="C159" s="1067"/>
      <c r="D159" s="1067"/>
      <c r="E159" s="1068"/>
      <c r="F159" s="1059" t="s">
        <v>1656</v>
      </c>
      <c r="G159" s="1061"/>
      <c r="H159" s="1059" t="s">
        <v>2548</v>
      </c>
      <c r="I159" s="1060"/>
      <c r="J159" s="1060"/>
      <c r="K159" s="1061"/>
      <c r="L159" s="1059" t="s">
        <v>2549</v>
      </c>
      <c r="M159" s="1060"/>
      <c r="N159" s="1061"/>
      <c r="O159" s="1059" t="s">
        <v>2550</v>
      </c>
      <c r="P159" s="1060"/>
      <c r="Q159" s="1060"/>
      <c r="R159" s="1061"/>
      <c r="S159" s="1059" t="s">
        <v>2551</v>
      </c>
      <c r="T159" s="1060"/>
      <c r="U159" s="1060"/>
      <c r="V159" s="1060"/>
      <c r="W159" s="1061"/>
      <c r="X159" s="1059" t="s">
        <v>2552</v>
      </c>
      <c r="Y159" s="1060"/>
      <c r="Z159" s="1061"/>
      <c r="AA159" s="1059" t="s">
        <v>2553</v>
      </c>
      <c r="AB159" s="1060"/>
      <c r="AC159" s="1060"/>
      <c r="AD159" s="1061"/>
      <c r="AE159" s="1059" t="s">
        <v>2554</v>
      </c>
      <c r="AF159" s="1060"/>
      <c r="AG159" s="1061"/>
    </row>
    <row r="160" spans="1:33" ht="11.85" customHeight="1" x14ac:dyDescent="0.25">
      <c r="A160" s="941"/>
      <c r="B160" s="941"/>
      <c r="C160" s="941"/>
      <c r="D160" s="941"/>
      <c r="E160" s="941"/>
      <c r="F160" s="941"/>
      <c r="G160" s="941"/>
      <c r="H160" s="941"/>
      <c r="I160" s="941"/>
      <c r="J160" s="941"/>
      <c r="K160" s="941"/>
      <c r="L160" s="941"/>
      <c r="M160" s="941"/>
      <c r="N160" s="941"/>
      <c r="O160" s="941"/>
      <c r="P160" s="941"/>
      <c r="Q160" s="941"/>
      <c r="R160" s="941"/>
      <c r="S160" s="941"/>
      <c r="T160" s="941"/>
      <c r="U160" s="941"/>
      <c r="V160" s="941"/>
      <c r="W160" s="941"/>
      <c r="X160" s="941"/>
      <c r="Y160" s="941"/>
      <c r="Z160" s="941"/>
      <c r="AA160" s="941"/>
      <c r="AB160" s="941"/>
      <c r="AC160" s="941"/>
      <c r="AD160" s="941"/>
      <c r="AE160" s="941"/>
      <c r="AF160" s="941"/>
      <c r="AG160" s="941"/>
    </row>
    <row r="161" spans="1:33" ht="11.85" customHeight="1" x14ac:dyDescent="0.25">
      <c r="A161" s="1096" t="s">
        <v>1657</v>
      </c>
      <c r="B161" s="1097"/>
      <c r="C161" s="1097"/>
      <c r="D161" s="1097"/>
      <c r="E161" s="1098"/>
      <c r="F161" s="892" t="s">
        <v>1511</v>
      </c>
      <c r="G161" s="893"/>
      <c r="H161" s="892" t="s">
        <v>962</v>
      </c>
      <c r="I161" s="900"/>
      <c r="J161" s="900"/>
      <c r="K161" s="893"/>
      <c r="L161" s="897" t="s">
        <v>562</v>
      </c>
      <c r="M161" s="898"/>
      <c r="N161" s="898"/>
      <c r="O161" s="898"/>
      <c r="P161" s="898"/>
      <c r="Q161" s="898"/>
      <c r="R161" s="899"/>
      <c r="S161" s="897" t="s">
        <v>564</v>
      </c>
      <c r="T161" s="898"/>
      <c r="U161" s="898"/>
      <c r="V161" s="898"/>
      <c r="W161" s="898"/>
      <c r="X161" s="898"/>
      <c r="Y161" s="898"/>
      <c r="Z161" s="899"/>
      <c r="AA161" s="897" t="s">
        <v>1512</v>
      </c>
      <c r="AB161" s="898"/>
      <c r="AC161" s="898"/>
      <c r="AD161" s="898"/>
      <c r="AE161" s="898"/>
      <c r="AF161" s="898"/>
      <c r="AG161" s="899"/>
    </row>
    <row r="162" spans="1:33" ht="17.100000000000001" customHeight="1" x14ac:dyDescent="0.25">
      <c r="A162" s="1099"/>
      <c r="B162" s="1100"/>
      <c r="C162" s="1100"/>
      <c r="D162" s="1100"/>
      <c r="E162" s="1101"/>
      <c r="F162" s="894"/>
      <c r="G162" s="895"/>
      <c r="H162" s="894"/>
      <c r="I162" s="901"/>
      <c r="J162" s="901"/>
      <c r="K162" s="895"/>
      <c r="L162" s="892" t="s">
        <v>1513</v>
      </c>
      <c r="M162" s="902"/>
      <c r="N162" s="903"/>
      <c r="O162" s="892" t="s">
        <v>1514</v>
      </c>
      <c r="P162" s="902"/>
      <c r="Q162" s="902"/>
      <c r="R162" s="903"/>
      <c r="S162" s="892" t="s">
        <v>1515</v>
      </c>
      <c r="T162" s="902"/>
      <c r="U162" s="902"/>
      <c r="V162" s="902"/>
      <c r="W162" s="903"/>
      <c r="X162" s="892" t="s">
        <v>1516</v>
      </c>
      <c r="Y162" s="902"/>
      <c r="Z162" s="903"/>
      <c r="AA162" s="892" t="s">
        <v>1517</v>
      </c>
      <c r="AB162" s="902"/>
      <c r="AC162" s="902"/>
      <c r="AD162" s="903"/>
      <c r="AE162" s="892" t="s">
        <v>1518</v>
      </c>
      <c r="AF162" s="902"/>
      <c r="AG162" s="903"/>
    </row>
    <row r="163" spans="1:33" ht="17.850000000000001" customHeight="1" x14ac:dyDescent="0.25">
      <c r="A163" s="1090" t="s">
        <v>1658</v>
      </c>
      <c r="B163" s="1091"/>
      <c r="C163" s="1091"/>
      <c r="D163" s="1091"/>
      <c r="E163" s="1092"/>
      <c r="F163" s="1093" t="s">
        <v>1659</v>
      </c>
      <c r="G163" s="1094"/>
      <c r="H163" s="1093" t="s">
        <v>2555</v>
      </c>
      <c r="I163" s="1095"/>
      <c r="J163" s="1095"/>
      <c r="K163" s="1094"/>
      <c r="L163" s="1087" t="s">
        <v>2556</v>
      </c>
      <c r="M163" s="1088"/>
      <c r="N163" s="1089"/>
      <c r="O163" s="1087" t="s">
        <v>2557</v>
      </c>
      <c r="P163" s="1088"/>
      <c r="Q163" s="1088"/>
      <c r="R163" s="1089"/>
      <c r="S163" s="1087" t="s">
        <v>2558</v>
      </c>
      <c r="T163" s="1088"/>
      <c r="U163" s="1088"/>
      <c r="V163" s="1088"/>
      <c r="W163" s="1089"/>
      <c r="X163" s="1087" t="s">
        <v>2559</v>
      </c>
      <c r="Y163" s="1088"/>
      <c r="Z163" s="1089"/>
      <c r="AA163" s="1087" t="s">
        <v>2560</v>
      </c>
      <c r="AB163" s="1088"/>
      <c r="AC163" s="1088"/>
      <c r="AD163" s="1089"/>
      <c r="AE163" s="1087" t="s">
        <v>2561</v>
      </c>
      <c r="AF163" s="1088"/>
      <c r="AG163" s="1089"/>
    </row>
    <row r="164" spans="1:33" ht="17.850000000000001" customHeight="1" x14ac:dyDescent="0.25">
      <c r="A164" s="1078" t="s">
        <v>1660</v>
      </c>
      <c r="B164" s="1079"/>
      <c r="C164" s="1079"/>
      <c r="D164" s="1079"/>
      <c r="E164" s="1080"/>
      <c r="F164" s="1081" t="s">
        <v>1661</v>
      </c>
      <c r="G164" s="1082"/>
      <c r="H164" s="1081" t="s">
        <v>2562</v>
      </c>
      <c r="I164" s="1083"/>
      <c r="J164" s="1083"/>
      <c r="K164" s="1082"/>
      <c r="L164" s="1084" t="s">
        <v>2563</v>
      </c>
      <c r="M164" s="1085"/>
      <c r="N164" s="1086"/>
      <c r="O164" s="1084" t="s">
        <v>2564</v>
      </c>
      <c r="P164" s="1085"/>
      <c r="Q164" s="1085"/>
      <c r="R164" s="1086"/>
      <c r="S164" s="1084" t="s">
        <v>2565</v>
      </c>
      <c r="T164" s="1085"/>
      <c r="U164" s="1085"/>
      <c r="V164" s="1085"/>
      <c r="W164" s="1086"/>
      <c r="X164" s="1084" t="s">
        <v>2566</v>
      </c>
      <c r="Y164" s="1085"/>
      <c r="Z164" s="1086"/>
      <c r="AA164" s="1084" t="s">
        <v>2567</v>
      </c>
      <c r="AB164" s="1085"/>
      <c r="AC164" s="1085"/>
      <c r="AD164" s="1086"/>
      <c r="AE164" s="1084" t="s">
        <v>2568</v>
      </c>
      <c r="AF164" s="1085"/>
      <c r="AG164" s="1086"/>
    </row>
    <row r="165" spans="1:33" ht="5.0999999999999996" customHeight="1" x14ac:dyDescent="0.25"/>
    <row r="166" spans="1:33" ht="11.85" customHeight="1" x14ac:dyDescent="0.25">
      <c r="A166" s="920" t="s">
        <v>2468</v>
      </c>
      <c r="B166" s="920"/>
      <c r="C166" s="920"/>
      <c r="D166" s="920"/>
      <c r="E166" s="920"/>
      <c r="F166" s="920"/>
      <c r="G166" s="920"/>
      <c r="H166" s="920"/>
      <c r="I166" s="920"/>
      <c r="J166" s="920"/>
      <c r="K166" s="920"/>
      <c r="L166" s="920"/>
      <c r="M166" s="920"/>
      <c r="N166" s="920"/>
      <c r="O166" s="920"/>
      <c r="P166" s="920"/>
      <c r="Q166" s="920"/>
      <c r="R166" s="920"/>
      <c r="S166" s="920"/>
      <c r="T166" s="920"/>
      <c r="U166" s="920"/>
      <c r="V166" s="920"/>
      <c r="W166" s="920"/>
      <c r="X166" s="920"/>
      <c r="Y166" s="920"/>
      <c r="Z166" s="920"/>
      <c r="AA166" s="920"/>
      <c r="AB166" s="920"/>
      <c r="AC166" s="920"/>
      <c r="AD166" s="920"/>
      <c r="AE166" s="920"/>
      <c r="AF166" s="920"/>
    </row>
    <row r="167" spans="1:33" ht="5.85" customHeight="1" x14ac:dyDescent="0.25"/>
    <row r="168" spans="1:33" ht="11.85" customHeight="1" x14ac:dyDescent="0.25">
      <c r="A168" s="904" t="s">
        <v>539</v>
      </c>
      <c r="B168" s="904"/>
      <c r="C168" s="904"/>
      <c r="D168" s="904"/>
      <c r="E168" s="904"/>
      <c r="F168" s="904"/>
      <c r="G168" s="904"/>
      <c r="AE168" s="980" t="s">
        <v>1028</v>
      </c>
      <c r="AF168" s="980"/>
    </row>
    <row r="169" spans="1:33" ht="11.1" customHeight="1" x14ac:dyDescent="0.25">
      <c r="A169" s="904" t="s">
        <v>467</v>
      </c>
      <c r="B169" s="904"/>
      <c r="C169" s="904"/>
      <c r="D169" s="904"/>
      <c r="E169" s="904"/>
      <c r="F169" s="904"/>
      <c r="G169" s="904"/>
    </row>
    <row r="170" spans="1:33" ht="11.85" customHeight="1" x14ac:dyDescent="0.25">
      <c r="A170" s="905" t="s">
        <v>1490</v>
      </c>
      <c r="B170" s="905"/>
      <c r="C170" s="905"/>
      <c r="D170" s="905"/>
      <c r="E170" s="905"/>
      <c r="F170" s="905"/>
      <c r="G170" s="905"/>
    </row>
    <row r="171" spans="1:33" ht="11.85" customHeight="1" x14ac:dyDescent="0.25">
      <c r="A171" s="904" t="s">
        <v>587</v>
      </c>
      <c r="B171" s="904"/>
      <c r="C171" s="904"/>
      <c r="D171" s="904"/>
      <c r="E171" s="904"/>
      <c r="F171" s="904"/>
      <c r="G171" s="904"/>
    </row>
    <row r="172" spans="1:33" ht="11.85" customHeight="1" x14ac:dyDescent="0.25">
      <c r="A172" s="904" t="s">
        <v>2400</v>
      </c>
      <c r="B172" s="904"/>
      <c r="C172" s="904"/>
      <c r="D172" s="904"/>
      <c r="E172" s="904"/>
      <c r="F172" s="904"/>
      <c r="G172" s="904"/>
    </row>
    <row r="173" spans="1:33" ht="5.85" customHeight="1" x14ac:dyDescent="0.25"/>
    <row r="174" spans="1:33" ht="11.1" customHeight="1" x14ac:dyDescent="0.25">
      <c r="A174" s="906" t="s">
        <v>1491</v>
      </c>
      <c r="B174" s="906"/>
      <c r="C174" s="906"/>
      <c r="D174" s="906"/>
      <c r="E174" s="906"/>
      <c r="F174" s="906"/>
      <c r="G174" s="906"/>
      <c r="H174" s="425"/>
      <c r="I174" s="425"/>
      <c r="J174" s="425"/>
      <c r="K174" s="425"/>
      <c r="L174" s="425"/>
      <c r="M174" s="425"/>
      <c r="N174" s="425"/>
      <c r="O174" s="425"/>
      <c r="P174" s="425"/>
      <c r="Q174" s="425"/>
      <c r="R174" s="425"/>
      <c r="S174" s="425"/>
      <c r="T174" s="425"/>
      <c r="U174" s="425"/>
      <c r="V174" s="425"/>
      <c r="W174" s="425"/>
      <c r="X174" s="425"/>
      <c r="Y174" s="425"/>
      <c r="Z174" s="425"/>
      <c r="AA174" s="425"/>
      <c r="AB174" s="425"/>
      <c r="AC174" s="425"/>
      <c r="AD174" s="425"/>
      <c r="AE174" s="425"/>
      <c r="AF174" s="425"/>
      <c r="AG174" s="425"/>
    </row>
    <row r="175" spans="1:33" ht="11.85" customHeight="1" x14ac:dyDescent="0.25">
      <c r="A175" s="1096" t="s">
        <v>1657</v>
      </c>
      <c r="B175" s="1097"/>
      <c r="C175" s="1097"/>
      <c r="D175" s="1097"/>
      <c r="E175" s="1098"/>
      <c r="F175" s="892" t="s">
        <v>1511</v>
      </c>
      <c r="G175" s="893"/>
      <c r="H175" s="892" t="s">
        <v>962</v>
      </c>
      <c r="I175" s="900"/>
      <c r="J175" s="900"/>
      <c r="K175" s="893"/>
      <c r="L175" s="897" t="s">
        <v>562</v>
      </c>
      <c r="M175" s="898"/>
      <c r="N175" s="898"/>
      <c r="O175" s="898"/>
      <c r="P175" s="898"/>
      <c r="Q175" s="898"/>
      <c r="R175" s="899"/>
      <c r="S175" s="897" t="s">
        <v>564</v>
      </c>
      <c r="T175" s="898"/>
      <c r="U175" s="898"/>
      <c r="V175" s="898"/>
      <c r="W175" s="898"/>
      <c r="X175" s="898"/>
      <c r="Y175" s="898"/>
      <c r="Z175" s="899"/>
      <c r="AA175" s="897" t="s">
        <v>1512</v>
      </c>
      <c r="AB175" s="898"/>
      <c r="AC175" s="898"/>
      <c r="AD175" s="898"/>
      <c r="AE175" s="898"/>
      <c r="AF175" s="898"/>
      <c r="AG175" s="899"/>
    </row>
    <row r="176" spans="1:33" ht="17.850000000000001" customHeight="1" x14ac:dyDescent="0.25">
      <c r="A176" s="1099"/>
      <c r="B176" s="1100"/>
      <c r="C176" s="1100"/>
      <c r="D176" s="1100"/>
      <c r="E176" s="1101"/>
      <c r="F176" s="894"/>
      <c r="G176" s="895"/>
      <c r="H176" s="894"/>
      <c r="I176" s="901"/>
      <c r="J176" s="901"/>
      <c r="K176" s="895"/>
      <c r="L176" s="892" t="s">
        <v>1513</v>
      </c>
      <c r="M176" s="902"/>
      <c r="N176" s="903"/>
      <c r="O176" s="892" t="s">
        <v>1514</v>
      </c>
      <c r="P176" s="902"/>
      <c r="Q176" s="902"/>
      <c r="R176" s="903"/>
      <c r="S176" s="892" t="s">
        <v>1515</v>
      </c>
      <c r="T176" s="902"/>
      <c r="U176" s="902"/>
      <c r="V176" s="902"/>
      <c r="W176" s="903"/>
      <c r="X176" s="892" t="s">
        <v>1516</v>
      </c>
      <c r="Y176" s="902"/>
      <c r="Z176" s="903"/>
      <c r="AA176" s="892" t="s">
        <v>1517</v>
      </c>
      <c r="AB176" s="902"/>
      <c r="AC176" s="902"/>
      <c r="AD176" s="903"/>
      <c r="AE176" s="892" t="s">
        <v>1518</v>
      </c>
      <c r="AF176" s="902"/>
      <c r="AG176" s="903"/>
    </row>
    <row r="177" spans="1:33" ht="17.100000000000001" customHeight="1" x14ac:dyDescent="0.25">
      <c r="A177" s="1090" t="s">
        <v>1662</v>
      </c>
      <c r="B177" s="1091"/>
      <c r="C177" s="1091"/>
      <c r="D177" s="1091"/>
      <c r="E177" s="1092"/>
      <c r="F177" s="1093" t="s">
        <v>1663</v>
      </c>
      <c r="G177" s="1094"/>
      <c r="H177" s="1093" t="s">
        <v>1664</v>
      </c>
      <c r="I177" s="1095"/>
      <c r="J177" s="1095"/>
      <c r="K177" s="1094"/>
      <c r="L177" s="1087" t="s">
        <v>2569</v>
      </c>
      <c r="M177" s="1088"/>
      <c r="N177" s="1089"/>
      <c r="O177" s="1087" t="s">
        <v>2570</v>
      </c>
      <c r="P177" s="1088"/>
      <c r="Q177" s="1088"/>
      <c r="R177" s="1089"/>
      <c r="S177" s="1087" t="s">
        <v>2571</v>
      </c>
      <c r="T177" s="1088"/>
      <c r="U177" s="1088"/>
      <c r="V177" s="1088"/>
      <c r="W177" s="1089"/>
      <c r="X177" s="1087" t="s">
        <v>2572</v>
      </c>
      <c r="Y177" s="1088"/>
      <c r="Z177" s="1089"/>
      <c r="AA177" s="1087" t="s">
        <v>2573</v>
      </c>
      <c r="AB177" s="1088"/>
      <c r="AC177" s="1088"/>
      <c r="AD177" s="1089"/>
      <c r="AE177" s="1087" t="s">
        <v>2574</v>
      </c>
      <c r="AF177" s="1088"/>
      <c r="AG177" s="1089"/>
    </row>
    <row r="178" spans="1:33" ht="17.850000000000001" customHeight="1" x14ac:dyDescent="0.25">
      <c r="A178" s="1078" t="s">
        <v>1665</v>
      </c>
      <c r="B178" s="1079"/>
      <c r="C178" s="1079"/>
      <c r="D178" s="1079"/>
      <c r="E178" s="1080"/>
      <c r="F178" s="1081" t="s">
        <v>1666</v>
      </c>
      <c r="G178" s="1082"/>
      <c r="H178" s="1081" t="s">
        <v>1667</v>
      </c>
      <c r="I178" s="1083"/>
      <c r="J178" s="1083"/>
      <c r="K178" s="1082"/>
      <c r="L178" s="1084" t="s">
        <v>2575</v>
      </c>
      <c r="M178" s="1085"/>
      <c r="N178" s="1086"/>
      <c r="O178" s="1084" t="s">
        <v>2576</v>
      </c>
      <c r="P178" s="1085"/>
      <c r="Q178" s="1085"/>
      <c r="R178" s="1086"/>
      <c r="S178" s="1084" t="s">
        <v>2577</v>
      </c>
      <c r="T178" s="1085"/>
      <c r="U178" s="1085"/>
      <c r="V178" s="1085"/>
      <c r="W178" s="1086"/>
      <c r="X178" s="1084" t="s">
        <v>2578</v>
      </c>
      <c r="Y178" s="1085"/>
      <c r="Z178" s="1086"/>
      <c r="AA178" s="1084" t="s">
        <v>2579</v>
      </c>
      <c r="AB178" s="1085"/>
      <c r="AC178" s="1085"/>
      <c r="AD178" s="1086"/>
      <c r="AE178" s="1084" t="s">
        <v>2580</v>
      </c>
      <c r="AF178" s="1085"/>
      <c r="AG178" s="1086"/>
    </row>
    <row r="179" spans="1:33" ht="17.850000000000001" customHeight="1" x14ac:dyDescent="0.25">
      <c r="A179" s="1078" t="s">
        <v>1668</v>
      </c>
      <c r="B179" s="1079"/>
      <c r="C179" s="1079"/>
      <c r="D179" s="1079"/>
      <c r="E179" s="1080"/>
      <c r="F179" s="1081" t="s">
        <v>1669</v>
      </c>
      <c r="G179" s="1082"/>
      <c r="H179" s="1081" t="s">
        <v>2581</v>
      </c>
      <c r="I179" s="1083"/>
      <c r="J179" s="1083"/>
      <c r="K179" s="1082"/>
      <c r="L179" s="1084" t="s">
        <v>2582</v>
      </c>
      <c r="M179" s="1085"/>
      <c r="N179" s="1086"/>
      <c r="O179" s="1084" t="s">
        <v>2583</v>
      </c>
      <c r="P179" s="1085"/>
      <c r="Q179" s="1085"/>
      <c r="R179" s="1086"/>
      <c r="S179" s="1084" t="s">
        <v>2584</v>
      </c>
      <c r="T179" s="1085"/>
      <c r="U179" s="1085"/>
      <c r="V179" s="1085"/>
      <c r="W179" s="1086"/>
      <c r="X179" s="1084" t="s">
        <v>2585</v>
      </c>
      <c r="Y179" s="1085"/>
      <c r="Z179" s="1086"/>
      <c r="AA179" s="1084" t="s">
        <v>2586</v>
      </c>
      <c r="AB179" s="1085"/>
      <c r="AC179" s="1085"/>
      <c r="AD179" s="1086"/>
      <c r="AE179" s="1084" t="s">
        <v>2587</v>
      </c>
      <c r="AF179" s="1085"/>
      <c r="AG179" s="1086"/>
    </row>
    <row r="180" spans="1:33" ht="17.100000000000001" customHeight="1" x14ac:dyDescent="0.25">
      <c r="A180" s="1078" t="s">
        <v>1670</v>
      </c>
      <c r="B180" s="1079"/>
      <c r="C180" s="1079"/>
      <c r="D180" s="1079"/>
      <c r="E180" s="1080"/>
      <c r="F180" s="1081" t="s">
        <v>479</v>
      </c>
      <c r="G180" s="1082"/>
      <c r="H180" s="1081" t="s">
        <v>479</v>
      </c>
      <c r="I180" s="1083"/>
      <c r="J180" s="1083"/>
      <c r="K180" s="1082"/>
      <c r="L180" s="1084" t="s">
        <v>479</v>
      </c>
      <c r="M180" s="1085"/>
      <c r="N180" s="1086"/>
      <c r="O180" s="1084" t="s">
        <v>479</v>
      </c>
      <c r="P180" s="1085"/>
      <c r="Q180" s="1085"/>
      <c r="R180" s="1086"/>
      <c r="S180" s="1084" t="s">
        <v>479</v>
      </c>
      <c r="T180" s="1085"/>
      <c r="U180" s="1085"/>
      <c r="V180" s="1085"/>
      <c r="W180" s="1086"/>
      <c r="X180" s="1084" t="s">
        <v>479</v>
      </c>
      <c r="Y180" s="1085"/>
      <c r="Z180" s="1086"/>
      <c r="AA180" s="1084" t="s">
        <v>479</v>
      </c>
      <c r="AB180" s="1085"/>
      <c r="AC180" s="1085"/>
      <c r="AD180" s="1086"/>
      <c r="AE180" s="1084" t="s">
        <v>479</v>
      </c>
      <c r="AF180" s="1085"/>
      <c r="AG180" s="1086"/>
    </row>
    <row r="181" spans="1:33" ht="17.850000000000001" customHeight="1" x14ac:dyDescent="0.25">
      <c r="A181" s="1072" t="s">
        <v>1671</v>
      </c>
      <c r="B181" s="1073"/>
      <c r="C181" s="1073"/>
      <c r="D181" s="1073"/>
      <c r="E181" s="1074"/>
      <c r="F181" s="1075" t="s">
        <v>1672</v>
      </c>
      <c r="G181" s="1076"/>
      <c r="H181" s="1075" t="s">
        <v>2588</v>
      </c>
      <c r="I181" s="1077"/>
      <c r="J181" s="1077"/>
      <c r="K181" s="1076"/>
      <c r="L181" s="1063" t="s">
        <v>2589</v>
      </c>
      <c r="M181" s="1064"/>
      <c r="N181" s="1065"/>
      <c r="O181" s="1063" t="s">
        <v>2590</v>
      </c>
      <c r="P181" s="1064"/>
      <c r="Q181" s="1064"/>
      <c r="R181" s="1065"/>
      <c r="S181" s="1063" t="s">
        <v>2591</v>
      </c>
      <c r="T181" s="1064"/>
      <c r="U181" s="1064"/>
      <c r="V181" s="1064"/>
      <c r="W181" s="1065"/>
      <c r="X181" s="1063" t="s">
        <v>2592</v>
      </c>
      <c r="Y181" s="1064"/>
      <c r="Z181" s="1065"/>
      <c r="AA181" s="1063" t="s">
        <v>2593</v>
      </c>
      <c r="AB181" s="1064"/>
      <c r="AC181" s="1064"/>
      <c r="AD181" s="1065"/>
      <c r="AE181" s="1063" t="s">
        <v>2594</v>
      </c>
      <c r="AF181" s="1064"/>
      <c r="AG181" s="1065"/>
    </row>
    <row r="182" spans="1:33" ht="17.100000000000001" customHeight="1" x14ac:dyDescent="0.25">
      <c r="A182" s="1066" t="s">
        <v>1673</v>
      </c>
      <c r="B182" s="1067"/>
      <c r="C182" s="1067"/>
      <c r="D182" s="1067"/>
      <c r="E182" s="1068"/>
      <c r="F182" s="1069" t="s">
        <v>1674</v>
      </c>
      <c r="G182" s="1070"/>
      <c r="H182" s="1069" t="s">
        <v>2595</v>
      </c>
      <c r="I182" s="1071"/>
      <c r="J182" s="1071"/>
      <c r="K182" s="1070"/>
      <c r="L182" s="1059" t="s">
        <v>2596</v>
      </c>
      <c r="M182" s="1060"/>
      <c r="N182" s="1061"/>
      <c r="O182" s="1059" t="s">
        <v>2597</v>
      </c>
      <c r="P182" s="1060"/>
      <c r="Q182" s="1060"/>
      <c r="R182" s="1061"/>
      <c r="S182" s="1059" t="s">
        <v>2598</v>
      </c>
      <c r="T182" s="1060"/>
      <c r="U182" s="1060"/>
      <c r="V182" s="1060"/>
      <c r="W182" s="1061"/>
      <c r="X182" s="1059" t="s">
        <v>2599</v>
      </c>
      <c r="Y182" s="1060"/>
      <c r="Z182" s="1061"/>
      <c r="AA182" s="1059" t="s">
        <v>2600</v>
      </c>
      <c r="AB182" s="1060"/>
      <c r="AC182" s="1060"/>
      <c r="AD182" s="1061"/>
      <c r="AE182" s="1059" t="s">
        <v>2601</v>
      </c>
      <c r="AF182" s="1060"/>
      <c r="AG182" s="1061"/>
    </row>
    <row r="183" spans="1:33" ht="11.85" customHeight="1" x14ac:dyDescent="0.25">
      <c r="A183" s="941"/>
      <c r="B183" s="941"/>
      <c r="C183" s="941"/>
      <c r="D183" s="941"/>
      <c r="E183" s="941"/>
      <c r="F183" s="941"/>
      <c r="G183" s="941"/>
      <c r="H183" s="941"/>
      <c r="I183" s="941"/>
      <c r="J183" s="941"/>
      <c r="K183" s="941"/>
      <c r="L183" s="941"/>
      <c r="M183" s="941"/>
      <c r="N183" s="941"/>
      <c r="O183" s="941"/>
      <c r="P183" s="941"/>
      <c r="Q183" s="941"/>
      <c r="R183" s="941"/>
      <c r="S183" s="941"/>
      <c r="T183" s="941"/>
      <c r="U183" s="941"/>
      <c r="V183" s="941"/>
      <c r="W183" s="941"/>
      <c r="X183" s="941"/>
      <c r="Y183" s="941"/>
      <c r="Z183" s="941"/>
      <c r="AA183" s="941"/>
      <c r="AB183" s="941"/>
      <c r="AC183" s="941"/>
      <c r="AD183" s="941"/>
      <c r="AE183" s="941"/>
      <c r="AF183" s="941"/>
      <c r="AG183" s="941"/>
    </row>
    <row r="184" spans="1:33" ht="11.85" customHeight="1" x14ac:dyDescent="0.25">
      <c r="A184" s="428"/>
      <c r="B184" s="428"/>
      <c r="C184" s="428"/>
      <c r="D184" s="428"/>
      <c r="E184" s="428"/>
      <c r="F184" s="428"/>
      <c r="G184" s="428"/>
      <c r="H184" s="428"/>
      <c r="I184" s="428"/>
      <c r="J184" s="428"/>
      <c r="K184" s="428"/>
      <c r="L184" s="428"/>
      <c r="M184" s="428"/>
      <c r="N184" s="428"/>
      <c r="O184" s="428"/>
      <c r="P184" s="428"/>
      <c r="Q184" s="428"/>
      <c r="R184" s="428"/>
      <c r="S184" s="428"/>
      <c r="T184" s="428"/>
      <c r="U184" s="428"/>
      <c r="V184" s="428"/>
      <c r="W184" s="428"/>
      <c r="X184" s="428"/>
      <c r="Y184" s="428"/>
      <c r="Z184" s="428"/>
      <c r="AA184" s="428"/>
      <c r="AB184" s="428"/>
      <c r="AC184" s="428"/>
      <c r="AD184" s="428"/>
      <c r="AE184" s="428"/>
      <c r="AF184" s="428"/>
      <c r="AG184" s="428"/>
    </row>
    <row r="185" spans="1:33" ht="11.85" customHeight="1" x14ac:dyDescent="0.25">
      <c r="A185" s="804" t="s">
        <v>1675</v>
      </c>
    </row>
    <row r="186" spans="1:33" ht="11.1" customHeight="1" x14ac:dyDescent="0.25">
      <c r="A186" s="920" t="s">
        <v>1676</v>
      </c>
      <c r="B186" s="920"/>
      <c r="C186" s="920"/>
      <c r="D186" s="920"/>
      <c r="E186" s="920"/>
      <c r="F186" s="920"/>
      <c r="G186" s="920"/>
      <c r="H186" s="920"/>
      <c r="I186" s="920"/>
      <c r="J186" s="920"/>
      <c r="K186" s="920"/>
      <c r="L186" s="920"/>
      <c r="M186" s="920"/>
      <c r="N186" s="920"/>
      <c r="O186" s="920"/>
      <c r="P186" s="920"/>
      <c r="Q186" s="920"/>
      <c r="R186" s="920"/>
      <c r="S186" s="920"/>
      <c r="T186" s="920"/>
      <c r="U186" s="920"/>
    </row>
    <row r="187" spans="1:33" ht="11.85" customHeight="1" x14ac:dyDescent="0.25">
      <c r="A187" s="1062" t="s">
        <v>1677</v>
      </c>
      <c r="B187" s="1062"/>
      <c r="C187" s="1062"/>
      <c r="D187" s="1062"/>
      <c r="E187" s="1062"/>
      <c r="F187" s="1062"/>
      <c r="G187" s="1062"/>
      <c r="H187" s="1062"/>
      <c r="I187" s="1062"/>
      <c r="J187" s="1062"/>
      <c r="K187" s="1062"/>
      <c r="L187" s="1062"/>
      <c r="M187" s="1062"/>
      <c r="N187" s="1062"/>
      <c r="O187" s="1062"/>
      <c r="P187" s="1062"/>
      <c r="Q187" s="1062"/>
      <c r="R187" s="1062"/>
      <c r="S187" s="1062"/>
      <c r="T187" s="1062"/>
      <c r="U187" s="1062"/>
      <c r="V187" s="1062"/>
      <c r="W187" s="1062"/>
      <c r="X187" s="1062"/>
      <c r="Y187" s="1062"/>
      <c r="Z187" s="1062"/>
      <c r="AA187" s="1062"/>
      <c r="AB187" s="1062"/>
      <c r="AC187" s="1062"/>
      <c r="AD187" s="1062"/>
      <c r="AE187" s="1062"/>
    </row>
    <row r="188" spans="1:33" ht="5.85" customHeight="1" x14ac:dyDescent="0.25"/>
    <row r="189" spans="1:33" ht="11.85" customHeight="1" x14ac:dyDescent="0.25"/>
    <row r="190" spans="1:33" ht="17.100000000000001" customHeight="1" x14ac:dyDescent="0.25"/>
    <row r="191" spans="1:33" ht="11.85" customHeight="1" x14ac:dyDescent="0.25"/>
    <row r="195" spans="1:32" ht="11.85" customHeight="1" x14ac:dyDescent="0.25">
      <c r="A195" s="920" t="s">
        <v>2468</v>
      </c>
      <c r="B195" s="920"/>
      <c r="C195" s="920"/>
      <c r="D195" s="920"/>
      <c r="E195" s="920"/>
      <c r="F195" s="920"/>
      <c r="G195" s="920"/>
      <c r="H195" s="920"/>
      <c r="I195" s="920"/>
      <c r="J195" s="920"/>
      <c r="K195" s="920"/>
      <c r="L195" s="920"/>
      <c r="M195" s="920"/>
      <c r="N195" s="920"/>
      <c r="O195" s="920"/>
      <c r="P195" s="920"/>
      <c r="Q195" s="920"/>
      <c r="R195" s="920"/>
      <c r="S195" s="920"/>
      <c r="T195" s="920"/>
      <c r="U195" s="920"/>
      <c r="V195" s="920"/>
      <c r="W195" s="920"/>
      <c r="X195" s="920"/>
      <c r="Y195" s="920"/>
      <c r="Z195" s="920"/>
      <c r="AA195" s="920"/>
      <c r="AB195" s="920"/>
      <c r="AC195" s="920"/>
      <c r="AD195" s="920"/>
      <c r="AE195" s="920"/>
      <c r="AF195" s="920"/>
    </row>
    <row r="196" spans="1:32" ht="5.85" customHeight="1" x14ac:dyDescent="0.25"/>
  </sheetData>
  <mergeCells count="881">
    <mergeCell ref="A7:G7"/>
    <mergeCell ref="A8:I9"/>
    <mergeCell ref="J8:O9"/>
    <mergeCell ref="P8:V9"/>
    <mergeCell ref="W8:AG8"/>
    <mergeCell ref="W9:AB9"/>
    <mergeCell ref="AC9:AG9"/>
    <mergeCell ref="A1:G1"/>
    <mergeCell ref="AE1:AF1"/>
    <mergeCell ref="A2:G2"/>
    <mergeCell ref="A3:G3"/>
    <mergeCell ref="A4:G4"/>
    <mergeCell ref="A5:G5"/>
    <mergeCell ref="A10:I10"/>
    <mergeCell ref="J10:O10"/>
    <mergeCell ref="P10:V10"/>
    <mergeCell ref="W10:AB10"/>
    <mergeCell ref="AC10:AG10"/>
    <mergeCell ref="A11:I11"/>
    <mergeCell ref="J11:O11"/>
    <mergeCell ref="P11:V11"/>
    <mergeCell ref="W11:AB11"/>
    <mergeCell ref="AC11:AG11"/>
    <mergeCell ref="A12:I12"/>
    <mergeCell ref="J12:O12"/>
    <mergeCell ref="P12:V12"/>
    <mergeCell ref="W12:AB12"/>
    <mergeCell ref="AC12:AG12"/>
    <mergeCell ref="A13:I13"/>
    <mergeCell ref="J13:O13"/>
    <mergeCell ref="P13:V13"/>
    <mergeCell ref="W13:AB13"/>
    <mergeCell ref="AC13:AG13"/>
    <mergeCell ref="A14:I14"/>
    <mergeCell ref="J14:O14"/>
    <mergeCell ref="P14:V14"/>
    <mergeCell ref="W14:AB14"/>
    <mergeCell ref="AC14:AG14"/>
    <mergeCell ref="A15:I15"/>
    <mergeCell ref="J15:O15"/>
    <mergeCell ref="P15:V15"/>
    <mergeCell ref="W15:AB15"/>
    <mergeCell ref="AC15:AG15"/>
    <mergeCell ref="A16:I16"/>
    <mergeCell ref="J16:O16"/>
    <mergeCell ref="P16:V16"/>
    <mergeCell ref="W16:AB16"/>
    <mergeCell ref="AC16:AG16"/>
    <mergeCell ref="A17:I17"/>
    <mergeCell ref="J17:O17"/>
    <mergeCell ref="P17:V17"/>
    <mergeCell ref="W17:AB17"/>
    <mergeCell ref="AC17:AG17"/>
    <mergeCell ref="A18:I18"/>
    <mergeCell ref="J18:O18"/>
    <mergeCell ref="P18:V18"/>
    <mergeCell ref="W18:AB18"/>
    <mergeCell ref="AC18:AG18"/>
    <mergeCell ref="A19:I19"/>
    <mergeCell ref="J19:O19"/>
    <mergeCell ref="P19:V19"/>
    <mergeCell ref="W19:AB19"/>
    <mergeCell ref="AC19:AG19"/>
    <mergeCell ref="A22:I22"/>
    <mergeCell ref="J22:O22"/>
    <mergeCell ref="P22:V22"/>
    <mergeCell ref="W22:AB22"/>
    <mergeCell ref="AC22:AG22"/>
    <mergeCell ref="A23:AG23"/>
    <mergeCell ref="A20:I20"/>
    <mergeCell ref="J20:O20"/>
    <mergeCell ref="P20:V20"/>
    <mergeCell ref="W20:AB20"/>
    <mergeCell ref="AC20:AG20"/>
    <mergeCell ref="A21:I21"/>
    <mergeCell ref="J21:O21"/>
    <mergeCell ref="P21:V21"/>
    <mergeCell ref="W21:AB21"/>
    <mergeCell ref="AC21:AG21"/>
    <mergeCell ref="AA25:AD25"/>
    <mergeCell ref="AE25:AG25"/>
    <mergeCell ref="A26:E26"/>
    <mergeCell ref="F26:G26"/>
    <mergeCell ref="H26:K26"/>
    <mergeCell ref="L26:N26"/>
    <mergeCell ref="O26:R26"/>
    <mergeCell ref="S26:W26"/>
    <mergeCell ref="X26:Z26"/>
    <mergeCell ref="AA26:AD26"/>
    <mergeCell ref="A24:E25"/>
    <mergeCell ref="F24:G25"/>
    <mergeCell ref="H24:K25"/>
    <mergeCell ref="L24:R24"/>
    <mergeCell ref="S24:Z24"/>
    <mergeCell ref="AA24:AG24"/>
    <mergeCell ref="L25:N25"/>
    <mergeCell ref="O25:R25"/>
    <mergeCell ref="S25:W25"/>
    <mergeCell ref="X25:Z25"/>
    <mergeCell ref="AE26:AG26"/>
    <mergeCell ref="A27:E27"/>
    <mergeCell ref="F27:G27"/>
    <mergeCell ref="H27:K27"/>
    <mergeCell ref="L27:N27"/>
    <mergeCell ref="O27:R27"/>
    <mergeCell ref="S27:W27"/>
    <mergeCell ref="X27:Z27"/>
    <mergeCell ref="AA27:AD27"/>
    <mergeCell ref="AE27:AG27"/>
    <mergeCell ref="X28:Z28"/>
    <mergeCell ref="AA28:AD28"/>
    <mergeCell ref="AE28:AG28"/>
    <mergeCell ref="A29:E29"/>
    <mergeCell ref="F29:G29"/>
    <mergeCell ref="H29:K29"/>
    <mergeCell ref="L29:N29"/>
    <mergeCell ref="O29:R29"/>
    <mergeCell ref="S29:W29"/>
    <mergeCell ref="X29:Z29"/>
    <mergeCell ref="A28:E28"/>
    <mergeCell ref="F28:G28"/>
    <mergeCell ref="H28:K28"/>
    <mergeCell ref="L28:N28"/>
    <mergeCell ref="O28:R28"/>
    <mergeCell ref="S28:W28"/>
    <mergeCell ref="AA29:AD29"/>
    <mergeCell ref="AE29:AG29"/>
    <mergeCell ref="A30:E30"/>
    <mergeCell ref="F30:G30"/>
    <mergeCell ref="H30:K30"/>
    <mergeCell ref="L30:N30"/>
    <mergeCell ref="O30:R30"/>
    <mergeCell ref="S30:W30"/>
    <mergeCell ref="X30:Z30"/>
    <mergeCell ref="AA30:AD30"/>
    <mergeCell ref="AE30:AG30"/>
    <mergeCell ref="A31:E31"/>
    <mergeCell ref="F31:G31"/>
    <mergeCell ref="H31:K31"/>
    <mergeCell ref="L31:N31"/>
    <mergeCell ref="O31:R31"/>
    <mergeCell ref="S31:W31"/>
    <mergeCell ref="X31:Z31"/>
    <mergeCell ref="AA31:AD31"/>
    <mergeCell ref="AE31:AG31"/>
    <mergeCell ref="X32:Z32"/>
    <mergeCell ref="AA32:AD32"/>
    <mergeCell ref="AE32:AG32"/>
    <mergeCell ref="A33:E33"/>
    <mergeCell ref="F33:G33"/>
    <mergeCell ref="H33:K33"/>
    <mergeCell ref="L33:N33"/>
    <mergeCell ref="O33:R33"/>
    <mergeCell ref="S33:W33"/>
    <mergeCell ref="X33:Z33"/>
    <mergeCell ref="A32:E32"/>
    <mergeCell ref="F32:G32"/>
    <mergeCell ref="H32:K32"/>
    <mergeCell ref="L32:N32"/>
    <mergeCell ref="O32:R32"/>
    <mergeCell ref="S32:W32"/>
    <mergeCell ref="AA33:AD33"/>
    <mergeCell ref="AE33:AG33"/>
    <mergeCell ref="A34:E34"/>
    <mergeCell ref="F34:G34"/>
    <mergeCell ref="H34:K34"/>
    <mergeCell ref="L34:N34"/>
    <mergeCell ref="O34:R34"/>
    <mergeCell ref="S34:W34"/>
    <mergeCell ref="X34:Z34"/>
    <mergeCell ref="AA34:AD34"/>
    <mergeCell ref="AE34:AG34"/>
    <mergeCell ref="A35:E35"/>
    <mergeCell ref="F35:G35"/>
    <mergeCell ref="H35:K35"/>
    <mergeCell ref="L35:N35"/>
    <mergeCell ref="O35:R35"/>
    <mergeCell ref="S35:W35"/>
    <mergeCell ref="X35:Z35"/>
    <mergeCell ref="AA35:AD35"/>
    <mergeCell ref="AE35:AG35"/>
    <mergeCell ref="X36:Z36"/>
    <mergeCell ref="AA36:AD36"/>
    <mergeCell ref="AE36:AG36"/>
    <mergeCell ref="A37:E37"/>
    <mergeCell ref="F37:G37"/>
    <mergeCell ref="H37:K37"/>
    <mergeCell ref="L37:N37"/>
    <mergeCell ref="O37:R37"/>
    <mergeCell ref="S37:W37"/>
    <mergeCell ref="X37:Z37"/>
    <mergeCell ref="A36:E36"/>
    <mergeCell ref="F36:G36"/>
    <mergeCell ref="H36:K36"/>
    <mergeCell ref="L36:N36"/>
    <mergeCell ref="O36:R36"/>
    <mergeCell ref="S36:W36"/>
    <mergeCell ref="AA37:AD37"/>
    <mergeCell ref="AE37:AG37"/>
    <mergeCell ref="A38:E38"/>
    <mergeCell ref="F38:G38"/>
    <mergeCell ref="H38:K38"/>
    <mergeCell ref="L38:N38"/>
    <mergeCell ref="O38:R38"/>
    <mergeCell ref="S38:W38"/>
    <mergeCell ref="X38:Z38"/>
    <mergeCell ref="AA38:AD38"/>
    <mergeCell ref="AE38:AG38"/>
    <mergeCell ref="A39:E39"/>
    <mergeCell ref="F39:G39"/>
    <mergeCell ref="H39:K39"/>
    <mergeCell ref="L39:N39"/>
    <mergeCell ref="O39:R39"/>
    <mergeCell ref="S39:W39"/>
    <mergeCell ref="X39:Z39"/>
    <mergeCell ref="AA39:AD39"/>
    <mergeCell ref="AE39:AG39"/>
    <mergeCell ref="X40:Z40"/>
    <mergeCell ref="AA40:AD40"/>
    <mergeCell ref="AE40:AG40"/>
    <mergeCell ref="A41:E41"/>
    <mergeCell ref="F41:G41"/>
    <mergeCell ref="H41:K41"/>
    <mergeCell ref="L41:N41"/>
    <mergeCell ref="O41:R41"/>
    <mergeCell ref="S41:W41"/>
    <mergeCell ref="X41:Z41"/>
    <mergeCell ref="A40:E40"/>
    <mergeCell ref="F40:G40"/>
    <mergeCell ref="H40:K40"/>
    <mergeCell ref="L40:N40"/>
    <mergeCell ref="O40:R40"/>
    <mergeCell ref="S40:W40"/>
    <mergeCell ref="AA41:AD41"/>
    <mergeCell ref="AE41:AG41"/>
    <mergeCell ref="A42:E42"/>
    <mergeCell ref="F42:G42"/>
    <mergeCell ref="H42:K42"/>
    <mergeCell ref="L42:N42"/>
    <mergeCell ref="O42:R42"/>
    <mergeCell ref="S42:W42"/>
    <mergeCell ref="X42:Z42"/>
    <mergeCell ref="AA42:AD42"/>
    <mergeCell ref="AE42:AG42"/>
    <mergeCell ref="A43:E43"/>
    <mergeCell ref="F43:G43"/>
    <mergeCell ref="H43:K43"/>
    <mergeCell ref="L43:N43"/>
    <mergeCell ref="O43:R43"/>
    <mergeCell ref="S43:W43"/>
    <mergeCell ref="X43:Z43"/>
    <mergeCell ref="AA43:AD43"/>
    <mergeCell ref="AE43:AG43"/>
    <mergeCell ref="X44:Z44"/>
    <mergeCell ref="AA44:AD44"/>
    <mergeCell ref="AE44:AG44"/>
    <mergeCell ref="A45:E45"/>
    <mergeCell ref="F45:G45"/>
    <mergeCell ref="H45:K45"/>
    <mergeCell ref="L45:N45"/>
    <mergeCell ref="O45:R45"/>
    <mergeCell ref="S45:W45"/>
    <mergeCell ref="X45:Z45"/>
    <mergeCell ref="A44:E44"/>
    <mergeCell ref="F44:G44"/>
    <mergeCell ref="H44:K44"/>
    <mergeCell ref="L44:N44"/>
    <mergeCell ref="O44:R44"/>
    <mergeCell ref="S44:W44"/>
    <mergeCell ref="A51:G51"/>
    <mergeCell ref="A52:G52"/>
    <mergeCell ref="A53:G53"/>
    <mergeCell ref="A55:G55"/>
    <mergeCell ref="A56:E57"/>
    <mergeCell ref="F56:G57"/>
    <mergeCell ref="AA45:AD45"/>
    <mergeCell ref="AE45:AG45"/>
    <mergeCell ref="A47:AF47"/>
    <mergeCell ref="A49:G49"/>
    <mergeCell ref="AE49:AF49"/>
    <mergeCell ref="A50:G50"/>
    <mergeCell ref="H56:K57"/>
    <mergeCell ref="L56:R56"/>
    <mergeCell ref="S56:Z56"/>
    <mergeCell ref="AA56:AG56"/>
    <mergeCell ref="L57:N57"/>
    <mergeCell ref="O57:R57"/>
    <mergeCell ref="S57:W57"/>
    <mergeCell ref="X57:Z57"/>
    <mergeCell ref="AA57:AD57"/>
    <mergeCell ref="AE57:AG57"/>
    <mergeCell ref="X58:Z58"/>
    <mergeCell ref="AA58:AD58"/>
    <mergeCell ref="AE58:AG58"/>
    <mergeCell ref="A59:E59"/>
    <mergeCell ref="F59:G59"/>
    <mergeCell ref="H59:K59"/>
    <mergeCell ref="L59:N59"/>
    <mergeCell ref="O59:R59"/>
    <mergeCell ref="S59:W59"/>
    <mergeCell ref="X59:Z59"/>
    <mergeCell ref="A58:E58"/>
    <mergeCell ref="F58:G58"/>
    <mergeCell ref="H58:K58"/>
    <mergeCell ref="L58:N58"/>
    <mergeCell ref="O58:R58"/>
    <mergeCell ref="S58:W58"/>
    <mergeCell ref="A62:M62"/>
    <mergeCell ref="N62:S62"/>
    <mergeCell ref="T62:AA62"/>
    <mergeCell ref="AB62:AG62"/>
    <mergeCell ref="A63:M63"/>
    <mergeCell ref="N63:S63"/>
    <mergeCell ref="T63:AA63"/>
    <mergeCell ref="AB63:AG63"/>
    <mergeCell ref="AA59:AD59"/>
    <mergeCell ref="AE59:AG59"/>
    <mergeCell ref="A60:AG60"/>
    <mergeCell ref="A61:M61"/>
    <mergeCell ref="N61:S61"/>
    <mergeCell ref="T61:AA61"/>
    <mergeCell ref="AB61:AG61"/>
    <mergeCell ref="A66:M66"/>
    <mergeCell ref="N66:S66"/>
    <mergeCell ref="T66:AA66"/>
    <mergeCell ref="AB66:AG66"/>
    <mergeCell ref="A67:M67"/>
    <mergeCell ref="N67:AG67"/>
    <mergeCell ref="A64:M64"/>
    <mergeCell ref="N64:S64"/>
    <mergeCell ref="T64:AA64"/>
    <mergeCell ref="AB64:AG64"/>
    <mergeCell ref="A65:M65"/>
    <mergeCell ref="N65:S65"/>
    <mergeCell ref="T65:AA65"/>
    <mergeCell ref="AB65:AG65"/>
    <mergeCell ref="A70:M70"/>
    <mergeCell ref="N70:S70"/>
    <mergeCell ref="T70:AA70"/>
    <mergeCell ref="AB70:AG70"/>
    <mergeCell ref="A71:M71"/>
    <mergeCell ref="N71:S71"/>
    <mergeCell ref="T71:AA71"/>
    <mergeCell ref="AB71:AG71"/>
    <mergeCell ref="A68:M68"/>
    <mergeCell ref="N68:AG68"/>
    <mergeCell ref="A69:M69"/>
    <mergeCell ref="N69:S69"/>
    <mergeCell ref="T69:AA69"/>
    <mergeCell ref="AB69:AG69"/>
    <mergeCell ref="A72:AG72"/>
    <mergeCell ref="A73:J75"/>
    <mergeCell ref="K73:AG73"/>
    <mergeCell ref="K74:Q75"/>
    <mergeCell ref="R74:AA74"/>
    <mergeCell ref="AB74:AG75"/>
    <mergeCell ref="R75:T75"/>
    <mergeCell ref="U75:X75"/>
    <mergeCell ref="Y75:AA75"/>
    <mergeCell ref="A77:J77"/>
    <mergeCell ref="K77:Q77"/>
    <mergeCell ref="R77:T77"/>
    <mergeCell ref="U77:X77"/>
    <mergeCell ref="Y77:AA77"/>
    <mergeCell ref="AB77:AG77"/>
    <mergeCell ref="A76:J76"/>
    <mergeCell ref="K76:Q76"/>
    <mergeCell ref="R76:T76"/>
    <mergeCell ref="U76:X76"/>
    <mergeCell ref="Y76:AA76"/>
    <mergeCell ref="AB76:AG76"/>
    <mergeCell ref="A79:J79"/>
    <mergeCell ref="K79:Q79"/>
    <mergeCell ref="R79:T79"/>
    <mergeCell ref="U79:X79"/>
    <mergeCell ref="Y79:AA79"/>
    <mergeCell ref="AB79:AG79"/>
    <mergeCell ref="A78:J78"/>
    <mergeCell ref="K78:Q78"/>
    <mergeCell ref="R78:T78"/>
    <mergeCell ref="U78:X78"/>
    <mergeCell ref="Y78:AA78"/>
    <mergeCell ref="AB78:AG78"/>
    <mergeCell ref="A80:AG80"/>
    <mergeCell ref="A81:AG81"/>
    <mergeCell ref="A82:B82"/>
    <mergeCell ref="E82:F82"/>
    <mergeCell ref="G82:H82"/>
    <mergeCell ref="I82:L82"/>
    <mergeCell ref="M82:P82"/>
    <mergeCell ref="Q82:T82"/>
    <mergeCell ref="U82:Y82"/>
    <mergeCell ref="Z82:AC82"/>
    <mergeCell ref="AD82:AG82"/>
    <mergeCell ref="A83:B83"/>
    <mergeCell ref="E83:F83"/>
    <mergeCell ref="G83:H83"/>
    <mergeCell ref="I83:L83"/>
    <mergeCell ref="M83:P83"/>
    <mergeCell ref="Q83:T83"/>
    <mergeCell ref="U83:Y83"/>
    <mergeCell ref="Z83:AC83"/>
    <mergeCell ref="AD83:AG83"/>
    <mergeCell ref="U84:Y84"/>
    <mergeCell ref="Z84:AC84"/>
    <mergeCell ref="AD84:AG84"/>
    <mergeCell ref="A85:B85"/>
    <mergeCell ref="E85:F85"/>
    <mergeCell ref="G85:H85"/>
    <mergeCell ref="I85:L85"/>
    <mergeCell ref="M85:P85"/>
    <mergeCell ref="Q85:T85"/>
    <mergeCell ref="U85:Y85"/>
    <mergeCell ref="A84:B84"/>
    <mergeCell ref="E84:F84"/>
    <mergeCell ref="G84:H84"/>
    <mergeCell ref="I84:L84"/>
    <mergeCell ref="M84:P84"/>
    <mergeCell ref="Q84:T84"/>
    <mergeCell ref="AD86:AG86"/>
    <mergeCell ref="A88:AF88"/>
    <mergeCell ref="A90:G90"/>
    <mergeCell ref="AE90:AF90"/>
    <mergeCell ref="A91:G91"/>
    <mergeCell ref="A92:G92"/>
    <mergeCell ref="Z85:AC85"/>
    <mergeCell ref="AD85:AG85"/>
    <mergeCell ref="A86:B86"/>
    <mergeCell ref="E86:F86"/>
    <mergeCell ref="G86:H86"/>
    <mergeCell ref="I86:L86"/>
    <mergeCell ref="M86:P86"/>
    <mergeCell ref="Q86:T86"/>
    <mergeCell ref="U86:Y86"/>
    <mergeCell ref="Z86:AC86"/>
    <mergeCell ref="A93:G93"/>
    <mergeCell ref="A94:G94"/>
    <mergeCell ref="A96:G96"/>
    <mergeCell ref="A97:AG97"/>
    <mergeCell ref="A98:B98"/>
    <mergeCell ref="E98:F98"/>
    <mergeCell ref="G98:H98"/>
    <mergeCell ref="I98:L98"/>
    <mergeCell ref="M98:P98"/>
    <mergeCell ref="Q98:T98"/>
    <mergeCell ref="Z99:AC99"/>
    <mergeCell ref="AD99:AG99"/>
    <mergeCell ref="A100:AG100"/>
    <mergeCell ref="A101:AC101"/>
    <mergeCell ref="AD101:AG101"/>
    <mergeCell ref="A102:AC102"/>
    <mergeCell ref="AD102:AG102"/>
    <mergeCell ref="U98:Y98"/>
    <mergeCell ref="Z98:AC98"/>
    <mergeCell ref="AD98:AG98"/>
    <mergeCell ref="A99:B99"/>
    <mergeCell ref="E99:F99"/>
    <mergeCell ref="G99:H99"/>
    <mergeCell ref="I99:L99"/>
    <mergeCell ref="M99:P99"/>
    <mergeCell ref="Q99:T99"/>
    <mergeCell ref="U99:Y99"/>
    <mergeCell ref="Y107:AA107"/>
    <mergeCell ref="A108:J108"/>
    <mergeCell ref="K108:Q108"/>
    <mergeCell ref="R108:T108"/>
    <mergeCell ref="U108:X108"/>
    <mergeCell ref="Y108:AA108"/>
    <mergeCell ref="A103:AC103"/>
    <mergeCell ref="AD103:AG103"/>
    <mergeCell ref="A104:AG104"/>
    <mergeCell ref="A105:J107"/>
    <mergeCell ref="K105:AG105"/>
    <mergeCell ref="K106:Q107"/>
    <mergeCell ref="R106:AA106"/>
    <mergeCell ref="AB106:AG107"/>
    <mergeCell ref="R107:T107"/>
    <mergeCell ref="U107:X107"/>
    <mergeCell ref="A110:J110"/>
    <mergeCell ref="K110:Q110"/>
    <mergeCell ref="R110:T110"/>
    <mergeCell ref="U110:X110"/>
    <mergeCell ref="Y110:AA110"/>
    <mergeCell ref="AB110:AG110"/>
    <mergeCell ref="AB108:AG108"/>
    <mergeCell ref="A109:J109"/>
    <mergeCell ref="K109:Q109"/>
    <mergeCell ref="R109:T109"/>
    <mergeCell ref="U109:X109"/>
    <mergeCell ref="Y109:AA109"/>
    <mergeCell ref="AB109:AG109"/>
    <mergeCell ref="A112:AG112"/>
    <mergeCell ref="A113:I114"/>
    <mergeCell ref="J113:O114"/>
    <mergeCell ref="P113:V114"/>
    <mergeCell ref="W113:AG113"/>
    <mergeCell ref="W114:AB114"/>
    <mergeCell ref="AC114:AG114"/>
    <mergeCell ref="A111:J111"/>
    <mergeCell ref="K111:Q111"/>
    <mergeCell ref="R111:T111"/>
    <mergeCell ref="U111:X111"/>
    <mergeCell ref="Y111:AA111"/>
    <mergeCell ref="AB111:AG111"/>
    <mergeCell ref="A115:I115"/>
    <mergeCell ref="J115:O115"/>
    <mergeCell ref="P115:V115"/>
    <mergeCell ref="W115:AB115"/>
    <mergeCell ref="AC115:AG115"/>
    <mergeCell ref="A116:I116"/>
    <mergeCell ref="J116:O116"/>
    <mergeCell ref="P116:V116"/>
    <mergeCell ref="W116:AB116"/>
    <mergeCell ref="AC116:AG116"/>
    <mergeCell ref="A117:I117"/>
    <mergeCell ref="J117:O117"/>
    <mergeCell ref="P117:V117"/>
    <mergeCell ref="W117:AB117"/>
    <mergeCell ref="AC117:AG117"/>
    <mergeCell ref="A118:I118"/>
    <mergeCell ref="J118:O118"/>
    <mergeCell ref="P118:V118"/>
    <mergeCell ref="W118:AB118"/>
    <mergeCell ref="AC118:AG118"/>
    <mergeCell ref="A121:I121"/>
    <mergeCell ref="J121:O121"/>
    <mergeCell ref="P121:V121"/>
    <mergeCell ref="W121:AB121"/>
    <mergeCell ref="AC121:AG121"/>
    <mergeCell ref="A122:AG122"/>
    <mergeCell ref="A119:I119"/>
    <mergeCell ref="J119:O119"/>
    <mergeCell ref="P119:V119"/>
    <mergeCell ref="W119:AB119"/>
    <mergeCell ref="AC119:AG119"/>
    <mergeCell ref="A120:I120"/>
    <mergeCell ref="J120:O120"/>
    <mergeCell ref="P120:V120"/>
    <mergeCell ref="W120:AB120"/>
    <mergeCell ref="AC120:AG120"/>
    <mergeCell ref="A123:AG123"/>
    <mergeCell ref="A124:E125"/>
    <mergeCell ref="F124:G125"/>
    <mergeCell ref="H124:K125"/>
    <mergeCell ref="L124:R124"/>
    <mergeCell ref="S124:Z124"/>
    <mergeCell ref="AA124:AG124"/>
    <mergeCell ref="L125:N125"/>
    <mergeCell ref="O125:R125"/>
    <mergeCell ref="S125:W125"/>
    <mergeCell ref="X125:Z125"/>
    <mergeCell ref="AA125:AD125"/>
    <mergeCell ref="AE125:AG125"/>
    <mergeCell ref="A126:E126"/>
    <mergeCell ref="F126:G126"/>
    <mergeCell ref="H126:K126"/>
    <mergeCell ref="L126:N126"/>
    <mergeCell ref="O126:R126"/>
    <mergeCell ref="S126:W126"/>
    <mergeCell ref="X126:Z126"/>
    <mergeCell ref="AA126:AD126"/>
    <mergeCell ref="AE126:AG126"/>
    <mergeCell ref="A131:G131"/>
    <mergeCell ref="AE131:AF131"/>
    <mergeCell ref="A132:G132"/>
    <mergeCell ref="A133:G133"/>
    <mergeCell ref="A134:G134"/>
    <mergeCell ref="AE127:AG127"/>
    <mergeCell ref="A128:E128"/>
    <mergeCell ref="F128:G128"/>
    <mergeCell ref="H128:K128"/>
    <mergeCell ref="L128:N128"/>
    <mergeCell ref="O128:R128"/>
    <mergeCell ref="S128:W128"/>
    <mergeCell ref="X128:Z128"/>
    <mergeCell ref="AA128:AD128"/>
    <mergeCell ref="AE128:AG128"/>
    <mergeCell ref="A127:E127"/>
    <mergeCell ref="F127:G127"/>
    <mergeCell ref="H127:K127"/>
    <mergeCell ref="L127:N127"/>
    <mergeCell ref="O127:R127"/>
    <mergeCell ref="S127:W127"/>
    <mergeCell ref="X127:Z127"/>
    <mergeCell ref="AA127:AD127"/>
    <mergeCell ref="A129:AF129"/>
    <mergeCell ref="A135:G135"/>
    <mergeCell ref="A137:G137"/>
    <mergeCell ref="A138:AG138"/>
    <mergeCell ref="A139:E140"/>
    <mergeCell ref="F139:G140"/>
    <mergeCell ref="H139:K140"/>
    <mergeCell ref="L139:R139"/>
    <mergeCell ref="S139:Z139"/>
    <mergeCell ref="AA139:AG139"/>
    <mergeCell ref="L140:N140"/>
    <mergeCell ref="O140:R140"/>
    <mergeCell ref="S140:W140"/>
    <mergeCell ref="X140:Z140"/>
    <mergeCell ref="AA140:AD140"/>
    <mergeCell ref="AE140:AG140"/>
    <mergeCell ref="A141:E141"/>
    <mergeCell ref="F141:G141"/>
    <mergeCell ref="H141:K141"/>
    <mergeCell ref="L141:N141"/>
    <mergeCell ref="O141:R141"/>
    <mergeCell ref="S141:W141"/>
    <mergeCell ref="X141:Z141"/>
    <mergeCell ref="AA141:AD141"/>
    <mergeCell ref="AE141:AG141"/>
    <mergeCell ref="A142:E142"/>
    <mergeCell ref="F142:G142"/>
    <mergeCell ref="H142:K142"/>
    <mergeCell ref="L142:N142"/>
    <mergeCell ref="O142:R142"/>
    <mergeCell ref="S142:W142"/>
    <mergeCell ref="X142:Z142"/>
    <mergeCell ref="AA142:AD142"/>
    <mergeCell ref="AE142:AG142"/>
    <mergeCell ref="A143:E143"/>
    <mergeCell ref="F143:G143"/>
    <mergeCell ref="H143:K143"/>
    <mergeCell ref="L143:N143"/>
    <mergeCell ref="O143:R143"/>
    <mergeCell ref="S143:W143"/>
    <mergeCell ref="X143:Z143"/>
    <mergeCell ref="AA143:AD143"/>
    <mergeCell ref="AE143:AG143"/>
    <mergeCell ref="A144:E144"/>
    <mergeCell ref="F144:G144"/>
    <mergeCell ref="H144:K144"/>
    <mergeCell ref="L144:N144"/>
    <mergeCell ref="O144:R144"/>
    <mergeCell ref="S144:W144"/>
    <mergeCell ref="X144:Z144"/>
    <mergeCell ref="AA144:AD144"/>
    <mergeCell ref="AE144:AG144"/>
    <mergeCell ref="A145:E145"/>
    <mergeCell ref="F145:G145"/>
    <mergeCell ref="H145:K145"/>
    <mergeCell ref="L145:N145"/>
    <mergeCell ref="O145:R145"/>
    <mergeCell ref="S145:W145"/>
    <mergeCell ref="X145:Z145"/>
    <mergeCell ref="AA145:AD145"/>
    <mergeCell ref="AE145:AG145"/>
    <mergeCell ref="X146:Z146"/>
    <mergeCell ref="AA146:AD146"/>
    <mergeCell ref="AE146:AG146"/>
    <mergeCell ref="A147:E147"/>
    <mergeCell ref="F147:G147"/>
    <mergeCell ref="H147:K147"/>
    <mergeCell ref="L147:N147"/>
    <mergeCell ref="O147:R147"/>
    <mergeCell ref="S147:W147"/>
    <mergeCell ref="X147:Z147"/>
    <mergeCell ref="A146:E146"/>
    <mergeCell ref="F146:G146"/>
    <mergeCell ref="H146:K146"/>
    <mergeCell ref="L146:N146"/>
    <mergeCell ref="O146:R146"/>
    <mergeCell ref="S146:W146"/>
    <mergeCell ref="AA147:AD147"/>
    <mergeCell ref="AE147:AG147"/>
    <mergeCell ref="A148:E148"/>
    <mergeCell ref="F148:G148"/>
    <mergeCell ref="H148:K148"/>
    <mergeCell ref="L148:N148"/>
    <mergeCell ref="O148:R148"/>
    <mergeCell ref="S148:W148"/>
    <mergeCell ref="X148:Z148"/>
    <mergeCell ref="AA148:AD148"/>
    <mergeCell ref="AE148:AG148"/>
    <mergeCell ref="A149:E149"/>
    <mergeCell ref="F149:G149"/>
    <mergeCell ref="H149:K149"/>
    <mergeCell ref="L149:N149"/>
    <mergeCell ref="O149:R149"/>
    <mergeCell ref="S149:W149"/>
    <mergeCell ref="X149:Z149"/>
    <mergeCell ref="AA149:AD149"/>
    <mergeCell ref="AE149:AG149"/>
    <mergeCell ref="X150:Z150"/>
    <mergeCell ref="AA150:AD150"/>
    <mergeCell ref="AE150:AG150"/>
    <mergeCell ref="A151:E151"/>
    <mergeCell ref="F151:G151"/>
    <mergeCell ref="H151:K151"/>
    <mergeCell ref="L151:N151"/>
    <mergeCell ref="O151:R151"/>
    <mergeCell ref="S151:W151"/>
    <mergeCell ref="X151:Z151"/>
    <mergeCell ref="A150:E150"/>
    <mergeCell ref="F150:G150"/>
    <mergeCell ref="H150:K150"/>
    <mergeCell ref="L150:N150"/>
    <mergeCell ref="O150:R150"/>
    <mergeCell ref="S150:W150"/>
    <mergeCell ref="AA151:AD151"/>
    <mergeCell ref="AE151:AG151"/>
    <mergeCell ref="A152:E152"/>
    <mergeCell ref="F152:G152"/>
    <mergeCell ref="H152:K152"/>
    <mergeCell ref="L152:N152"/>
    <mergeCell ref="O152:R152"/>
    <mergeCell ref="S152:W152"/>
    <mergeCell ref="X152:Z152"/>
    <mergeCell ref="AA152:AD152"/>
    <mergeCell ref="AE152:AG152"/>
    <mergeCell ref="A153:E153"/>
    <mergeCell ref="F153:G153"/>
    <mergeCell ref="H153:K153"/>
    <mergeCell ref="L153:N153"/>
    <mergeCell ref="O153:R153"/>
    <mergeCell ref="S153:W153"/>
    <mergeCell ref="X153:Z153"/>
    <mergeCell ref="AA153:AD153"/>
    <mergeCell ref="AE153:AG153"/>
    <mergeCell ref="X154:Z154"/>
    <mergeCell ref="AA154:AD154"/>
    <mergeCell ref="AE154:AG154"/>
    <mergeCell ref="A155:E155"/>
    <mergeCell ref="F155:G155"/>
    <mergeCell ref="H155:K155"/>
    <mergeCell ref="L155:N155"/>
    <mergeCell ref="O155:R155"/>
    <mergeCell ref="S155:W155"/>
    <mergeCell ref="X155:Z155"/>
    <mergeCell ref="A154:E154"/>
    <mergeCell ref="F154:G154"/>
    <mergeCell ref="H154:K154"/>
    <mergeCell ref="L154:N154"/>
    <mergeCell ref="O154:R154"/>
    <mergeCell ref="S154:W154"/>
    <mergeCell ref="AA155:AD155"/>
    <mergeCell ref="AE155:AG155"/>
    <mergeCell ref="A156:E156"/>
    <mergeCell ref="F156:G156"/>
    <mergeCell ref="H156:K156"/>
    <mergeCell ref="L156:N156"/>
    <mergeCell ref="O156:R156"/>
    <mergeCell ref="S156:W156"/>
    <mergeCell ref="X156:Z156"/>
    <mergeCell ref="AA156:AD156"/>
    <mergeCell ref="AE156:AG156"/>
    <mergeCell ref="A157:E157"/>
    <mergeCell ref="F157:G157"/>
    <mergeCell ref="H157:K157"/>
    <mergeCell ref="L157:N157"/>
    <mergeCell ref="O157:R157"/>
    <mergeCell ref="S157:W157"/>
    <mergeCell ref="X157:Z157"/>
    <mergeCell ref="AA157:AD157"/>
    <mergeCell ref="AE157:AG157"/>
    <mergeCell ref="X158:Z158"/>
    <mergeCell ref="AA158:AD158"/>
    <mergeCell ref="AE158:AG158"/>
    <mergeCell ref="A159:E159"/>
    <mergeCell ref="F159:G159"/>
    <mergeCell ref="H159:K159"/>
    <mergeCell ref="L159:N159"/>
    <mergeCell ref="O159:R159"/>
    <mergeCell ref="S159:W159"/>
    <mergeCell ref="X159:Z159"/>
    <mergeCell ref="A158:E158"/>
    <mergeCell ref="F158:G158"/>
    <mergeCell ref="H158:K158"/>
    <mergeCell ref="L158:N158"/>
    <mergeCell ref="O158:R158"/>
    <mergeCell ref="S158:W158"/>
    <mergeCell ref="AA159:AD159"/>
    <mergeCell ref="AE159:AG159"/>
    <mergeCell ref="A160:AG160"/>
    <mergeCell ref="A161:E162"/>
    <mergeCell ref="F161:G162"/>
    <mergeCell ref="H161:K162"/>
    <mergeCell ref="L161:R161"/>
    <mergeCell ref="S161:Z161"/>
    <mergeCell ref="AA161:AG161"/>
    <mergeCell ref="L162:N162"/>
    <mergeCell ref="O162:R162"/>
    <mergeCell ref="S162:W162"/>
    <mergeCell ref="X162:Z162"/>
    <mergeCell ref="AA162:AD162"/>
    <mergeCell ref="AE162:AG162"/>
    <mergeCell ref="A163:E163"/>
    <mergeCell ref="F163:G163"/>
    <mergeCell ref="H163:K163"/>
    <mergeCell ref="L163:N163"/>
    <mergeCell ref="O163:R163"/>
    <mergeCell ref="AE164:AG164"/>
    <mergeCell ref="A166:AF166"/>
    <mergeCell ref="A168:G168"/>
    <mergeCell ref="AE168:AF168"/>
    <mergeCell ref="S163:W163"/>
    <mergeCell ref="X163:Z163"/>
    <mergeCell ref="AA163:AD163"/>
    <mergeCell ref="AE163:AG163"/>
    <mergeCell ref="A164:E164"/>
    <mergeCell ref="F164:G164"/>
    <mergeCell ref="H164:K164"/>
    <mergeCell ref="L164:N164"/>
    <mergeCell ref="O164:R164"/>
    <mergeCell ref="S164:W164"/>
    <mergeCell ref="A169:G169"/>
    <mergeCell ref="A170:G170"/>
    <mergeCell ref="A171:G171"/>
    <mergeCell ref="A172:G172"/>
    <mergeCell ref="A174:G174"/>
    <mergeCell ref="A175:E176"/>
    <mergeCell ref="F175:G176"/>
    <mergeCell ref="X164:Z164"/>
    <mergeCell ref="AA164:AD164"/>
    <mergeCell ref="H175:K176"/>
    <mergeCell ref="L175:R175"/>
    <mergeCell ref="S175:Z175"/>
    <mergeCell ref="AA175:AG175"/>
    <mergeCell ref="L176:N176"/>
    <mergeCell ref="O176:R176"/>
    <mergeCell ref="S176:W176"/>
    <mergeCell ref="X176:Z176"/>
    <mergeCell ref="AA176:AD176"/>
    <mergeCell ref="AE176:AG176"/>
    <mergeCell ref="X177:Z177"/>
    <mergeCell ref="AA177:AD177"/>
    <mergeCell ref="AE177:AG177"/>
    <mergeCell ref="A178:E178"/>
    <mergeCell ref="F178:G178"/>
    <mergeCell ref="H178:K178"/>
    <mergeCell ref="L178:N178"/>
    <mergeCell ref="O178:R178"/>
    <mergeCell ref="S178:W178"/>
    <mergeCell ref="X178:Z178"/>
    <mergeCell ref="A177:E177"/>
    <mergeCell ref="F177:G177"/>
    <mergeCell ref="H177:K177"/>
    <mergeCell ref="L177:N177"/>
    <mergeCell ref="O177:R177"/>
    <mergeCell ref="S177:W177"/>
    <mergeCell ref="AA178:AD178"/>
    <mergeCell ref="AE178:AG178"/>
    <mergeCell ref="A179:E179"/>
    <mergeCell ref="F179:G179"/>
    <mergeCell ref="H179:K179"/>
    <mergeCell ref="L179:N179"/>
    <mergeCell ref="O179:R179"/>
    <mergeCell ref="S179:W179"/>
    <mergeCell ref="X179:Z179"/>
    <mergeCell ref="AA179:AD179"/>
    <mergeCell ref="AE179:AG179"/>
    <mergeCell ref="A180:E180"/>
    <mergeCell ref="F180:G180"/>
    <mergeCell ref="H180:K180"/>
    <mergeCell ref="L180:N180"/>
    <mergeCell ref="O180:R180"/>
    <mergeCell ref="S180:W180"/>
    <mergeCell ref="X180:Z180"/>
    <mergeCell ref="AA180:AD180"/>
    <mergeCell ref="AE180:AG180"/>
    <mergeCell ref="AA182:AD182"/>
    <mergeCell ref="AE182:AG182"/>
    <mergeCell ref="A183:AG183"/>
    <mergeCell ref="A186:U186"/>
    <mergeCell ref="A187:AE187"/>
    <mergeCell ref="A195:AF195"/>
    <mergeCell ref="X181:Z181"/>
    <mergeCell ref="AA181:AD181"/>
    <mergeCell ref="AE181:AG181"/>
    <mergeCell ref="A182:E182"/>
    <mergeCell ref="F182:G182"/>
    <mergeCell ref="H182:K182"/>
    <mergeCell ref="L182:N182"/>
    <mergeCell ref="O182:R182"/>
    <mergeCell ref="S182:W182"/>
    <mergeCell ref="X182:Z182"/>
    <mergeCell ref="A181:E181"/>
    <mergeCell ref="F181:G181"/>
    <mergeCell ref="H181:K181"/>
    <mergeCell ref="L181:N181"/>
    <mergeCell ref="O181:R181"/>
    <mergeCell ref="S181:W181"/>
  </mergeCells>
  <pageMargins left="0.511811024" right="0.511811024" top="0.78740157499999996" bottom="0.78740157499999996" header="0.31496062000000002" footer="0.31496062000000002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0"/>
  <sheetViews>
    <sheetView workbookViewId="0">
      <selection activeCell="N18" sqref="N18"/>
    </sheetView>
  </sheetViews>
  <sheetFormatPr defaultRowHeight="15" x14ac:dyDescent="0.25"/>
  <cols>
    <col min="1" max="1" width="1" customWidth="1"/>
    <col min="2" max="2" width="11" customWidth="1"/>
    <col min="3" max="3" width="1" customWidth="1"/>
    <col min="4" max="4" width="19.28515625" customWidth="1"/>
    <col min="5" max="5" width="7" customWidth="1"/>
    <col min="6" max="6" width="13.140625" customWidth="1"/>
    <col min="7" max="7" width="5.140625" customWidth="1"/>
    <col min="8" max="8" width="20.140625" customWidth="1"/>
    <col min="9" max="9" width="6.140625" customWidth="1"/>
    <col min="10" max="10" width="4" customWidth="1"/>
    <col min="11" max="11" width="5" customWidth="1"/>
    <col min="12" max="12" width="3.140625" customWidth="1"/>
  </cols>
  <sheetData>
    <row r="1" spans="1:12" ht="11.85" customHeight="1" x14ac:dyDescent="0.25">
      <c r="J1" s="1187" t="s">
        <v>1444</v>
      </c>
      <c r="K1" s="1187"/>
      <c r="L1" s="1187"/>
    </row>
    <row r="2" spans="1:12" ht="5.85" customHeight="1" x14ac:dyDescent="0.25"/>
    <row r="3" spans="1:12" ht="11.1" customHeight="1" x14ac:dyDescent="0.25">
      <c r="B3" s="1023"/>
      <c r="D3" s="1023" t="s">
        <v>1445</v>
      </c>
      <c r="E3" s="1023"/>
      <c r="F3" s="1023"/>
    </row>
    <row r="4" spans="1:12" ht="11.85" customHeight="1" x14ac:dyDescent="0.25">
      <c r="B4" s="1023"/>
      <c r="D4" s="1023" t="s">
        <v>707</v>
      </c>
      <c r="E4" s="1023"/>
      <c r="F4" s="1023"/>
      <c r="G4" s="1023"/>
      <c r="H4" s="1023"/>
      <c r="I4" s="1023"/>
      <c r="J4" s="1023"/>
      <c r="K4" s="1023"/>
    </row>
    <row r="5" spans="1:12" ht="11.85" customHeight="1" x14ac:dyDescent="0.25">
      <c r="B5" s="1023"/>
      <c r="D5" s="1188" t="s">
        <v>1446</v>
      </c>
      <c r="E5" s="1188"/>
      <c r="F5" s="1188"/>
      <c r="G5" s="1188"/>
      <c r="H5" s="1188"/>
      <c r="I5" s="1188"/>
      <c r="J5" s="1188"/>
      <c r="K5" s="1188"/>
    </row>
    <row r="6" spans="1:12" ht="11.85" customHeight="1" x14ac:dyDescent="0.25">
      <c r="B6" s="1023"/>
      <c r="D6" s="1023" t="s">
        <v>536</v>
      </c>
      <c r="E6" s="1023"/>
      <c r="F6" s="1023"/>
      <c r="G6" s="1023"/>
      <c r="H6" s="1023"/>
      <c r="I6" s="1023"/>
      <c r="J6" s="1023"/>
      <c r="K6" s="1023"/>
    </row>
    <row r="7" spans="1:12" ht="10.35" customHeight="1" x14ac:dyDescent="0.25">
      <c r="B7" s="1023"/>
      <c r="D7" s="1023" t="s">
        <v>2602</v>
      </c>
      <c r="E7" s="1023"/>
      <c r="F7" s="1023"/>
      <c r="G7" s="1023"/>
      <c r="H7" s="1023"/>
      <c r="I7" s="1023"/>
      <c r="J7" s="1023"/>
      <c r="K7" s="1023"/>
    </row>
    <row r="8" spans="1:12" ht="0.75" customHeight="1" x14ac:dyDescent="0.25">
      <c r="B8" s="1023"/>
    </row>
    <row r="9" spans="1:12" ht="11.85" customHeight="1" x14ac:dyDescent="0.25"/>
    <row r="10" spans="1:12" ht="5.85" customHeight="1" x14ac:dyDescent="0.25"/>
    <row r="11" spans="1:12" ht="11.85" customHeight="1" x14ac:dyDescent="0.25">
      <c r="A11" s="1185" t="s">
        <v>1447</v>
      </c>
      <c r="B11" s="1185"/>
      <c r="C11" s="1185"/>
      <c r="D11" s="1185"/>
      <c r="E11" s="425"/>
      <c r="F11" s="425"/>
      <c r="G11" s="425"/>
      <c r="H11" s="425"/>
      <c r="I11" s="425"/>
      <c r="J11" s="425"/>
      <c r="K11" s="1186" t="s">
        <v>471</v>
      </c>
      <c r="L11" s="1186"/>
    </row>
    <row r="12" spans="1:12" ht="11.1" customHeight="1" x14ac:dyDescent="0.25">
      <c r="A12" s="1165" t="s">
        <v>474</v>
      </c>
      <c r="B12" s="1166"/>
      <c r="C12" s="1166"/>
      <c r="D12" s="1166"/>
      <c r="E12" s="1167"/>
      <c r="F12" s="1174" t="s">
        <v>1448</v>
      </c>
      <c r="G12" s="1175"/>
      <c r="H12" s="811" t="s">
        <v>546</v>
      </c>
      <c r="I12" s="1174" t="s">
        <v>1449</v>
      </c>
      <c r="J12" s="1176"/>
      <c r="K12" s="1176"/>
      <c r="L12" s="1175"/>
    </row>
    <row r="13" spans="1:12" ht="11.85" customHeight="1" x14ac:dyDescent="0.25">
      <c r="A13" s="1171"/>
      <c r="B13" s="1172"/>
      <c r="C13" s="1172"/>
      <c r="D13" s="1172"/>
      <c r="E13" s="1173"/>
      <c r="F13" s="1182" t="s">
        <v>504</v>
      </c>
      <c r="G13" s="1183"/>
      <c r="H13" s="812" t="s">
        <v>505</v>
      </c>
      <c r="I13" s="1182" t="s">
        <v>1450</v>
      </c>
      <c r="J13" s="1184"/>
      <c r="K13" s="1184"/>
      <c r="L13" s="1183"/>
    </row>
    <row r="14" spans="1:12" ht="11.85" customHeight="1" x14ac:dyDescent="0.25">
      <c r="A14" s="1159" t="s">
        <v>1451</v>
      </c>
      <c r="B14" s="1160"/>
      <c r="C14" s="1160"/>
      <c r="D14" s="1160"/>
      <c r="E14" s="1161"/>
      <c r="F14" s="1162">
        <v>2</v>
      </c>
      <c r="G14" s="1163"/>
      <c r="H14" s="813" t="s">
        <v>479</v>
      </c>
      <c r="I14" s="1162">
        <v>2</v>
      </c>
      <c r="J14" s="1164"/>
      <c r="K14" s="1164"/>
      <c r="L14" s="1163"/>
    </row>
    <row r="15" spans="1:12" ht="11.85" customHeight="1" x14ac:dyDescent="0.25">
      <c r="A15" s="427"/>
      <c r="B15" s="427"/>
      <c r="C15" s="427"/>
      <c r="D15" s="427"/>
      <c r="E15" s="427"/>
      <c r="F15" s="427"/>
      <c r="G15" s="427"/>
      <c r="H15" s="427"/>
      <c r="I15" s="427"/>
      <c r="J15" s="427"/>
      <c r="K15" s="427"/>
      <c r="L15" s="427"/>
    </row>
    <row r="16" spans="1:12" ht="11.1" customHeight="1" x14ac:dyDescent="0.25">
      <c r="A16" s="1165" t="s">
        <v>481</v>
      </c>
      <c r="B16" s="1166"/>
      <c r="C16" s="1166"/>
      <c r="D16" s="1166"/>
      <c r="E16" s="1167"/>
      <c r="F16" s="1174" t="s">
        <v>1452</v>
      </c>
      <c r="G16" s="1175"/>
      <c r="H16" s="811" t="s">
        <v>481</v>
      </c>
      <c r="I16" s="1174" t="s">
        <v>1453</v>
      </c>
      <c r="J16" s="1176"/>
      <c r="K16" s="1176"/>
      <c r="L16" s="1175"/>
    </row>
    <row r="17" spans="1:12" ht="11.85" customHeight="1" x14ac:dyDescent="0.25">
      <c r="A17" s="1168"/>
      <c r="B17" s="1169"/>
      <c r="C17" s="1169"/>
      <c r="D17" s="1169"/>
      <c r="E17" s="1170"/>
      <c r="F17" s="1177"/>
      <c r="G17" s="1178"/>
      <c r="H17" s="701" t="s">
        <v>1454</v>
      </c>
      <c r="I17" s="1179"/>
      <c r="J17" s="1180"/>
      <c r="K17" s="1180"/>
      <c r="L17" s="1181"/>
    </row>
    <row r="18" spans="1:12" ht="11.85" customHeight="1" x14ac:dyDescent="0.25">
      <c r="A18" s="1171"/>
      <c r="B18" s="1172"/>
      <c r="C18" s="1172"/>
      <c r="D18" s="1172"/>
      <c r="E18" s="1173"/>
      <c r="F18" s="1182" t="s">
        <v>597</v>
      </c>
      <c r="G18" s="1183"/>
      <c r="H18" s="812" t="s">
        <v>1455</v>
      </c>
      <c r="I18" s="1182" t="s">
        <v>1456</v>
      </c>
      <c r="J18" s="1184"/>
      <c r="K18" s="1184"/>
      <c r="L18" s="1183"/>
    </row>
    <row r="19" spans="1:12" ht="11.85" customHeight="1" x14ac:dyDescent="0.25">
      <c r="A19" s="1159" t="s">
        <v>805</v>
      </c>
      <c r="B19" s="1160"/>
      <c r="C19" s="1160"/>
      <c r="D19" s="1160"/>
      <c r="E19" s="1161"/>
      <c r="F19" s="1162" t="s">
        <v>2603</v>
      </c>
      <c r="G19" s="1163"/>
      <c r="H19" s="813" t="s">
        <v>2047</v>
      </c>
      <c r="I19" s="1162" t="s">
        <v>2604</v>
      </c>
      <c r="J19" s="1164"/>
      <c r="K19" s="1164"/>
      <c r="L19" s="1163"/>
    </row>
    <row r="20" spans="1:12" ht="11.1" customHeight="1" x14ac:dyDescent="0.25">
      <c r="A20" s="1159" t="s">
        <v>226</v>
      </c>
      <c r="B20" s="1160"/>
      <c r="C20" s="1160"/>
      <c r="D20" s="1160"/>
      <c r="E20" s="1161"/>
      <c r="F20" s="1162" t="s">
        <v>2050</v>
      </c>
      <c r="G20" s="1163"/>
      <c r="H20" s="813" t="s">
        <v>2047</v>
      </c>
      <c r="I20" s="1162" t="s">
        <v>2051</v>
      </c>
      <c r="J20" s="1164"/>
      <c r="K20" s="1164"/>
      <c r="L20" s="1163"/>
    </row>
    <row r="21" spans="1:12" ht="11.85" customHeight="1" x14ac:dyDescent="0.25">
      <c r="A21" s="1159" t="s">
        <v>438</v>
      </c>
      <c r="B21" s="1160"/>
      <c r="C21" s="1160"/>
      <c r="D21" s="1160"/>
      <c r="E21" s="1161"/>
      <c r="F21" s="1162">
        <v>252</v>
      </c>
      <c r="G21" s="1163"/>
      <c r="H21" s="813" t="s">
        <v>479</v>
      </c>
      <c r="I21" s="1162">
        <v>252</v>
      </c>
      <c r="J21" s="1164"/>
      <c r="K21" s="1164"/>
      <c r="L21" s="1163"/>
    </row>
    <row r="22" spans="1:12" ht="11.85" customHeight="1" x14ac:dyDescent="0.25">
      <c r="A22" s="1159" t="s">
        <v>230</v>
      </c>
      <c r="B22" s="1160"/>
      <c r="C22" s="1160"/>
      <c r="D22" s="1160"/>
      <c r="E22" s="1161"/>
      <c r="F22" s="1162">
        <v>913</v>
      </c>
      <c r="G22" s="1163"/>
      <c r="H22" s="813" t="s">
        <v>479</v>
      </c>
      <c r="I22" s="1162">
        <v>913</v>
      </c>
      <c r="J22" s="1164"/>
      <c r="K22" s="1164"/>
      <c r="L22" s="1163"/>
    </row>
    <row r="23" spans="1:12" ht="11.85" customHeight="1" x14ac:dyDescent="0.25">
      <c r="A23" s="1159" t="s">
        <v>1457</v>
      </c>
      <c r="B23" s="1160"/>
      <c r="C23" s="1160"/>
      <c r="D23" s="1160"/>
      <c r="E23" s="1161"/>
      <c r="F23" s="1162" t="s">
        <v>479</v>
      </c>
      <c r="G23" s="1163"/>
      <c r="H23" s="813" t="s">
        <v>479</v>
      </c>
      <c r="I23" s="1162" t="s">
        <v>479</v>
      </c>
      <c r="J23" s="1164"/>
      <c r="K23" s="1164"/>
      <c r="L23" s="1163"/>
    </row>
    <row r="24" spans="1:12" ht="11.1" customHeight="1" x14ac:dyDescent="0.25">
      <c r="A24" s="1159" t="s">
        <v>1458</v>
      </c>
      <c r="B24" s="1160"/>
      <c r="C24" s="1160"/>
      <c r="D24" s="1160"/>
      <c r="E24" s="1161"/>
      <c r="F24" s="1162" t="s">
        <v>479</v>
      </c>
      <c r="G24" s="1163"/>
      <c r="H24" s="813" t="s">
        <v>479</v>
      </c>
      <c r="I24" s="1162" t="s">
        <v>479</v>
      </c>
      <c r="J24" s="1164"/>
      <c r="K24" s="1164"/>
      <c r="L24" s="1163"/>
    </row>
    <row r="25" spans="1:12" ht="11.85" customHeight="1" x14ac:dyDescent="0.25">
      <c r="A25" s="1159" t="s">
        <v>1459</v>
      </c>
      <c r="B25" s="1160"/>
      <c r="C25" s="1160"/>
      <c r="D25" s="1160"/>
      <c r="E25" s="1161"/>
      <c r="F25" s="1162" t="s">
        <v>2603</v>
      </c>
      <c r="G25" s="1163"/>
      <c r="H25" s="813" t="s">
        <v>2047</v>
      </c>
      <c r="I25" s="1162" t="s">
        <v>2604</v>
      </c>
      <c r="J25" s="1164"/>
      <c r="K25" s="1164"/>
      <c r="L25" s="1163"/>
    </row>
    <row r="26" spans="1:12" ht="11.85" customHeight="1" x14ac:dyDescent="0.25">
      <c r="A26" s="427"/>
      <c r="B26" s="427"/>
      <c r="C26" s="427"/>
      <c r="D26" s="427"/>
      <c r="E26" s="427"/>
      <c r="F26" s="427"/>
      <c r="G26" s="427"/>
      <c r="H26" s="427"/>
      <c r="I26" s="427"/>
      <c r="J26" s="427"/>
      <c r="K26" s="427"/>
      <c r="L26" s="427"/>
    </row>
    <row r="27" spans="1:12" ht="11.85" customHeight="1" x14ac:dyDescent="0.25">
      <c r="A27" s="1159" t="s">
        <v>1460</v>
      </c>
      <c r="B27" s="1160"/>
      <c r="C27" s="1160"/>
      <c r="D27" s="1160"/>
      <c r="E27" s="1161"/>
      <c r="F27" s="1162" t="s">
        <v>2605</v>
      </c>
      <c r="G27" s="1163"/>
      <c r="H27" s="813" t="s">
        <v>2047</v>
      </c>
      <c r="I27" s="1162" t="s">
        <v>2606</v>
      </c>
      <c r="J27" s="1164"/>
      <c r="K27" s="1164"/>
      <c r="L27" s="1163"/>
    </row>
    <row r="28" spans="1:12" ht="22.9" customHeight="1" x14ac:dyDescent="0.25">
      <c r="A28" s="1158" t="s">
        <v>1461</v>
      </c>
      <c r="B28" s="1158"/>
      <c r="C28" s="1158"/>
      <c r="D28" s="1158"/>
      <c r="E28" s="1158"/>
      <c r="F28" s="1158"/>
      <c r="G28" s="1158"/>
      <c r="H28" s="1158"/>
      <c r="I28" s="1158"/>
      <c r="J28" s="1158"/>
      <c r="K28" s="1158"/>
      <c r="L28" s="1158"/>
    </row>
    <row r="29" spans="1:12" ht="11.85" customHeight="1" x14ac:dyDescent="0.25"/>
    <row r="30" spans="1:12" ht="11.85" customHeight="1" x14ac:dyDescent="0.25"/>
    <row r="31" spans="1:12" ht="5.85" customHeight="1" x14ac:dyDescent="0.25"/>
    <row r="32" spans="1:12" ht="11.1" customHeight="1" x14ac:dyDescent="0.25"/>
    <row r="33" spans="1:16" ht="11.85" customHeight="1" x14ac:dyDescent="0.25">
      <c r="D33" s="1037" t="s">
        <v>1132</v>
      </c>
      <c r="E33" s="1037"/>
      <c r="F33" s="1037"/>
      <c r="G33" s="1037"/>
      <c r="H33" s="1037"/>
      <c r="I33" s="1037"/>
      <c r="J33" s="1037"/>
      <c r="K33" s="1037"/>
      <c r="L33" s="1037"/>
      <c r="M33" s="1037"/>
      <c r="N33" s="1037"/>
      <c r="O33" s="1037"/>
      <c r="P33" s="1037"/>
    </row>
    <row r="34" spans="1:16" x14ac:dyDescent="0.25">
      <c r="D34" s="1037" t="s">
        <v>1133</v>
      </c>
      <c r="E34" s="1037"/>
      <c r="F34" s="1037"/>
      <c r="G34" s="1037"/>
      <c r="H34" s="1037"/>
      <c r="I34" s="1037"/>
      <c r="J34" s="1037"/>
      <c r="K34" s="1037"/>
      <c r="L34" s="1037"/>
      <c r="M34" s="1037"/>
      <c r="N34" s="1037"/>
      <c r="O34" s="1037"/>
      <c r="P34" s="1037"/>
    </row>
    <row r="35" spans="1:16" x14ac:dyDescent="0.25">
      <c r="G35" s="40" t="s">
        <v>26</v>
      </c>
      <c r="I35" s="40" t="s">
        <v>27</v>
      </c>
      <c r="L35" s="1" t="s">
        <v>2608</v>
      </c>
      <c r="N35" s="642"/>
      <c r="O35" s="642"/>
      <c r="P35" s="642"/>
    </row>
    <row r="36" spans="1:16" x14ac:dyDescent="0.25">
      <c r="D36" s="1037" t="s">
        <v>1135</v>
      </c>
      <c r="E36" s="1037"/>
      <c r="F36" s="1037"/>
      <c r="G36" s="1037"/>
      <c r="H36" s="1037"/>
      <c r="I36" s="1037"/>
      <c r="J36" s="1037"/>
      <c r="K36" s="1037"/>
      <c r="L36" s="1037"/>
      <c r="M36" s="1037"/>
      <c r="N36" s="1037"/>
      <c r="O36" s="1037"/>
      <c r="P36" s="1037"/>
    </row>
    <row r="40" spans="1:16" ht="11.85" customHeight="1" x14ac:dyDescent="0.25">
      <c r="A40" s="920" t="s">
        <v>2607</v>
      </c>
      <c r="B40" s="920"/>
      <c r="C40" s="920"/>
      <c r="D40" s="920"/>
      <c r="E40" s="920"/>
      <c r="F40" s="920"/>
      <c r="G40" s="920"/>
      <c r="H40" s="920"/>
      <c r="I40" s="920"/>
      <c r="J40" s="920"/>
      <c r="K40" s="920"/>
      <c r="L40" s="920"/>
    </row>
  </sheetData>
  <mergeCells count="53">
    <mergeCell ref="J1:L1"/>
    <mergeCell ref="B3:B8"/>
    <mergeCell ref="D3:F3"/>
    <mergeCell ref="D4:K4"/>
    <mergeCell ref="D5:K5"/>
    <mergeCell ref="D6:K6"/>
    <mergeCell ref="D7:K7"/>
    <mergeCell ref="A11:D11"/>
    <mergeCell ref="K11:L11"/>
    <mergeCell ref="A12:E13"/>
    <mergeCell ref="F12:G12"/>
    <mergeCell ref="I12:L12"/>
    <mergeCell ref="F13:G13"/>
    <mergeCell ref="I13:L13"/>
    <mergeCell ref="A14:E14"/>
    <mergeCell ref="F14:G14"/>
    <mergeCell ref="I14:L14"/>
    <mergeCell ref="A16:E18"/>
    <mergeCell ref="F16:G16"/>
    <mergeCell ref="I16:L16"/>
    <mergeCell ref="F17:G17"/>
    <mergeCell ref="I17:L17"/>
    <mergeCell ref="F18:G18"/>
    <mergeCell ref="I18:L18"/>
    <mergeCell ref="A19:E19"/>
    <mergeCell ref="F19:G19"/>
    <mergeCell ref="I19:L19"/>
    <mergeCell ref="A20:E20"/>
    <mergeCell ref="F20:G20"/>
    <mergeCell ref="I20:L20"/>
    <mergeCell ref="A21:E21"/>
    <mergeCell ref="F21:G21"/>
    <mergeCell ref="I21:L21"/>
    <mergeCell ref="A22:E22"/>
    <mergeCell ref="F22:G22"/>
    <mergeCell ref="I22:L22"/>
    <mergeCell ref="A23:E23"/>
    <mergeCell ref="F23:G23"/>
    <mergeCell ref="I23:L23"/>
    <mergeCell ref="A24:E24"/>
    <mergeCell ref="F24:G24"/>
    <mergeCell ref="I24:L24"/>
    <mergeCell ref="A25:E25"/>
    <mergeCell ref="F25:G25"/>
    <mergeCell ref="I25:L25"/>
    <mergeCell ref="A27:E27"/>
    <mergeCell ref="F27:G27"/>
    <mergeCell ref="I27:L27"/>
    <mergeCell ref="A28:L28"/>
    <mergeCell ref="A40:L40"/>
    <mergeCell ref="D33:P33"/>
    <mergeCell ref="D34:P34"/>
    <mergeCell ref="D36:P36"/>
  </mergeCells>
  <pageMargins left="0.511811024" right="0.511811024" top="0.78740157499999996" bottom="0.78740157499999996" header="0.31496062000000002" footer="0.3149606200000000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8"/>
  <sheetViews>
    <sheetView workbookViewId="0">
      <selection activeCell="E32" sqref="E32"/>
    </sheetView>
  </sheetViews>
  <sheetFormatPr defaultRowHeight="11.25" x14ac:dyDescent="0.2"/>
  <cols>
    <col min="1" max="1" width="6.5703125" style="1" customWidth="1"/>
    <col min="2" max="2" width="9.140625" style="1" hidden="1" customWidth="1"/>
    <col min="3" max="3" width="36" style="1" bestFit="1" customWidth="1"/>
    <col min="4" max="4" width="15.7109375" style="1" bestFit="1" customWidth="1"/>
    <col min="5" max="5" width="17" style="1" bestFit="1" customWidth="1"/>
    <col min="6" max="6" width="11.85546875" style="1" bestFit="1" customWidth="1"/>
    <col min="7" max="7" width="7.28515625" style="1" bestFit="1" customWidth="1"/>
    <col min="8" max="8" width="18.42578125" style="1" bestFit="1" customWidth="1"/>
    <col min="9" max="9" width="13.7109375" style="1" bestFit="1" customWidth="1"/>
    <col min="10" max="16384" width="9.140625" style="1"/>
  </cols>
  <sheetData>
    <row r="1" spans="1:10" x14ac:dyDescent="0.2">
      <c r="A1" s="1" t="s">
        <v>1462</v>
      </c>
    </row>
    <row r="2" spans="1:10" x14ac:dyDescent="0.2">
      <c r="A2" s="1" t="s">
        <v>707</v>
      </c>
    </row>
    <row r="3" spans="1:10" x14ac:dyDescent="0.2">
      <c r="A3" s="1" t="s">
        <v>1463</v>
      </c>
    </row>
    <row r="4" spans="1:10" x14ac:dyDescent="0.2">
      <c r="A4" s="1" t="s">
        <v>536</v>
      </c>
    </row>
    <row r="5" spans="1:10" x14ac:dyDescent="0.2">
      <c r="A5" s="1" t="s">
        <v>2602</v>
      </c>
    </row>
    <row r="6" spans="1:10" x14ac:dyDescent="0.2">
      <c r="A6" s="1" t="s">
        <v>1464</v>
      </c>
      <c r="J6" s="1" t="s">
        <v>471</v>
      </c>
    </row>
    <row r="7" spans="1:10" x14ac:dyDescent="0.2">
      <c r="A7" s="579" t="s">
        <v>474</v>
      </c>
      <c r="B7" s="702"/>
      <c r="C7" s="702"/>
      <c r="D7" s="710" t="s">
        <v>1448</v>
      </c>
      <c r="E7" s="814" t="s">
        <v>546</v>
      </c>
      <c r="F7" s="814"/>
      <c r="G7" s="814"/>
      <c r="H7" s="814"/>
      <c r="I7" s="814"/>
      <c r="J7" s="710" t="s">
        <v>591</v>
      </c>
    </row>
    <row r="8" spans="1:10" x14ac:dyDescent="0.2">
      <c r="A8" s="580"/>
      <c r="B8" s="573"/>
      <c r="C8" s="573"/>
      <c r="D8" s="714" t="s">
        <v>504</v>
      </c>
      <c r="E8" s="831" t="s">
        <v>505</v>
      </c>
      <c r="F8" s="831"/>
      <c r="G8" s="831"/>
      <c r="H8" s="831"/>
      <c r="I8" s="831"/>
      <c r="J8" s="714" t="s">
        <v>596</v>
      </c>
    </row>
    <row r="9" spans="1:10" x14ac:dyDescent="0.2">
      <c r="A9" s="704" t="s">
        <v>1465</v>
      </c>
      <c r="B9" s="507"/>
      <c r="C9" s="507"/>
      <c r="D9" s="387">
        <v>0</v>
      </c>
      <c r="E9" s="524" t="s">
        <v>1466</v>
      </c>
      <c r="F9" s="524"/>
      <c r="G9" s="524"/>
      <c r="H9" s="524"/>
      <c r="I9" s="707"/>
      <c r="J9" s="707">
        <v>0</v>
      </c>
    </row>
    <row r="10" spans="1:10" x14ac:dyDescent="0.2">
      <c r="A10" s="704"/>
      <c r="B10" s="507"/>
      <c r="C10" s="507" t="s">
        <v>1467</v>
      </c>
      <c r="D10" s="387">
        <v>0</v>
      </c>
      <c r="E10" s="524" t="s">
        <v>1466</v>
      </c>
      <c r="F10" s="524"/>
      <c r="G10" s="524"/>
      <c r="H10" s="524"/>
      <c r="I10" s="707"/>
      <c r="J10" s="707">
        <v>0</v>
      </c>
    </row>
    <row r="11" spans="1:10" x14ac:dyDescent="0.2">
      <c r="A11" s="704"/>
      <c r="B11" s="507"/>
      <c r="C11" s="507" t="s">
        <v>1468</v>
      </c>
      <c r="D11" s="387">
        <v>0</v>
      </c>
      <c r="E11" s="524" t="s">
        <v>1466</v>
      </c>
      <c r="F11" s="524"/>
      <c r="G11" s="524"/>
      <c r="H11" s="524"/>
      <c r="I11" s="707"/>
      <c r="J11" s="707">
        <v>0</v>
      </c>
    </row>
    <row r="12" spans="1:10" x14ac:dyDescent="0.2">
      <c r="A12" s="704"/>
      <c r="B12" s="507"/>
      <c r="C12" s="507" t="s">
        <v>1469</v>
      </c>
      <c r="D12" s="387">
        <v>0</v>
      </c>
      <c r="E12" s="524" t="s">
        <v>1466</v>
      </c>
      <c r="F12" s="524"/>
      <c r="G12" s="524"/>
      <c r="H12" s="524"/>
      <c r="I12" s="707"/>
      <c r="J12" s="707">
        <v>0</v>
      </c>
    </row>
    <row r="13" spans="1:10" x14ac:dyDescent="0.2">
      <c r="A13" s="580"/>
      <c r="B13" s="573"/>
      <c r="C13" s="573" t="s">
        <v>1470</v>
      </c>
      <c r="D13" s="649">
        <v>0</v>
      </c>
      <c r="E13" s="708" t="s">
        <v>1466</v>
      </c>
      <c r="F13" s="708"/>
      <c r="G13" s="708"/>
      <c r="H13" s="708"/>
      <c r="I13" s="688"/>
      <c r="J13" s="688">
        <v>0</v>
      </c>
    </row>
    <row r="15" spans="1:10" x14ac:dyDescent="0.2">
      <c r="A15" s="579" t="s">
        <v>481</v>
      </c>
      <c r="B15" s="702"/>
      <c r="C15" s="702"/>
      <c r="D15" s="712" t="s">
        <v>1452</v>
      </c>
      <c r="E15" s="814" t="s">
        <v>481</v>
      </c>
      <c r="F15" s="712" t="s">
        <v>481</v>
      </c>
      <c r="G15" s="814" t="s">
        <v>481</v>
      </c>
      <c r="H15" s="712" t="s">
        <v>481</v>
      </c>
      <c r="I15" s="814" t="s">
        <v>1471</v>
      </c>
      <c r="J15" s="712" t="s">
        <v>591</v>
      </c>
    </row>
    <row r="16" spans="1:10" x14ac:dyDescent="0.2">
      <c r="A16" s="704"/>
      <c r="B16" s="507"/>
      <c r="C16" s="507"/>
      <c r="D16" s="713"/>
      <c r="E16" s="828" t="s">
        <v>1472</v>
      </c>
      <c r="F16" s="713" t="s">
        <v>1454</v>
      </c>
      <c r="G16" s="828" t="s">
        <v>1473</v>
      </c>
      <c r="H16" s="713" t="s">
        <v>1474</v>
      </c>
      <c r="I16" s="828" t="s">
        <v>1475</v>
      </c>
      <c r="J16" s="713"/>
    </row>
    <row r="17" spans="1:10" x14ac:dyDescent="0.2">
      <c r="A17" s="704"/>
      <c r="B17" s="507"/>
      <c r="C17" s="507"/>
      <c r="D17" s="713"/>
      <c r="E17" s="828"/>
      <c r="F17" s="713"/>
      <c r="G17" s="828"/>
      <c r="H17" s="713" t="s">
        <v>1476</v>
      </c>
      <c r="I17" s="828"/>
      <c r="J17" s="713"/>
    </row>
    <row r="18" spans="1:10" x14ac:dyDescent="0.2">
      <c r="A18" s="580"/>
      <c r="B18" s="573"/>
      <c r="C18" s="573"/>
      <c r="D18" s="714" t="s">
        <v>597</v>
      </c>
      <c r="E18" s="831" t="s">
        <v>1455</v>
      </c>
      <c r="F18" s="714"/>
      <c r="G18" s="831" t="s">
        <v>722</v>
      </c>
      <c r="H18" s="714"/>
      <c r="I18" s="831" t="s">
        <v>723</v>
      </c>
      <c r="J18" s="714" t="s">
        <v>1477</v>
      </c>
    </row>
    <row r="19" spans="1:10" x14ac:dyDescent="0.2">
      <c r="A19" s="579" t="s">
        <v>1478</v>
      </c>
      <c r="B19" s="702"/>
      <c r="C19" s="702"/>
      <c r="D19" s="711">
        <v>0</v>
      </c>
      <c r="E19" s="706">
        <v>0</v>
      </c>
      <c r="F19" s="711">
        <v>0</v>
      </c>
      <c r="G19" s="706">
        <v>0</v>
      </c>
      <c r="H19" s="711">
        <v>0</v>
      </c>
      <c r="I19" s="706">
        <v>0</v>
      </c>
      <c r="J19" s="711">
        <v>0</v>
      </c>
    </row>
    <row r="20" spans="1:10" x14ac:dyDescent="0.2">
      <c r="A20" s="704" t="s">
        <v>1479</v>
      </c>
      <c r="B20" s="507"/>
      <c r="C20" s="507"/>
      <c r="D20" s="387">
        <v>0</v>
      </c>
      <c r="E20" s="524">
        <v>0</v>
      </c>
      <c r="F20" s="387">
        <v>0</v>
      </c>
      <c r="G20" s="524">
        <v>0</v>
      </c>
      <c r="H20" s="387">
        <v>0</v>
      </c>
      <c r="I20" s="524">
        <v>0</v>
      </c>
      <c r="J20" s="387">
        <v>0</v>
      </c>
    </row>
    <row r="21" spans="1:10" x14ac:dyDescent="0.2">
      <c r="A21" s="704"/>
      <c r="B21" s="507" t="s">
        <v>226</v>
      </c>
      <c r="C21" s="507"/>
      <c r="D21" s="387">
        <v>0</v>
      </c>
      <c r="E21" s="524">
        <v>0</v>
      </c>
      <c r="F21" s="387">
        <v>0</v>
      </c>
      <c r="G21" s="524">
        <v>0</v>
      </c>
      <c r="H21" s="387">
        <v>0</v>
      </c>
      <c r="I21" s="524">
        <v>0</v>
      </c>
      <c r="J21" s="387">
        <v>0</v>
      </c>
    </row>
    <row r="22" spans="1:10" x14ac:dyDescent="0.2">
      <c r="A22" s="704"/>
      <c r="B22" s="507" t="s">
        <v>438</v>
      </c>
      <c r="C22" s="507"/>
      <c r="D22" s="387">
        <v>0</v>
      </c>
      <c r="E22" s="524">
        <v>0</v>
      </c>
      <c r="F22" s="387">
        <v>0</v>
      </c>
      <c r="G22" s="524">
        <v>0</v>
      </c>
      <c r="H22" s="387">
        <v>0</v>
      </c>
      <c r="I22" s="524">
        <v>0</v>
      </c>
      <c r="J22" s="387">
        <v>0</v>
      </c>
    </row>
    <row r="23" spans="1:10" x14ac:dyDescent="0.2">
      <c r="A23" s="704"/>
      <c r="B23" s="507" t="s">
        <v>230</v>
      </c>
      <c r="C23" s="507"/>
      <c r="D23" s="387">
        <v>0</v>
      </c>
      <c r="E23" s="524">
        <v>0</v>
      </c>
      <c r="F23" s="387">
        <v>0</v>
      </c>
      <c r="G23" s="524">
        <v>0</v>
      </c>
      <c r="H23" s="387">
        <v>0</v>
      </c>
      <c r="I23" s="524">
        <v>0</v>
      </c>
      <c r="J23" s="387">
        <v>0</v>
      </c>
    </row>
    <row r="24" spans="1:10" x14ac:dyDescent="0.2">
      <c r="A24" s="704" t="s">
        <v>1480</v>
      </c>
      <c r="B24" s="507"/>
      <c r="C24" s="507"/>
      <c r="D24" s="387">
        <v>0</v>
      </c>
      <c r="E24" s="524">
        <v>0</v>
      </c>
      <c r="F24" s="387">
        <v>0</v>
      </c>
      <c r="G24" s="524">
        <v>0</v>
      </c>
      <c r="H24" s="387">
        <v>0</v>
      </c>
      <c r="I24" s="524">
        <v>0</v>
      </c>
      <c r="J24" s="387">
        <v>0</v>
      </c>
    </row>
    <row r="25" spans="1:10" x14ac:dyDescent="0.2">
      <c r="A25" s="580"/>
      <c r="B25" s="573" t="s">
        <v>1481</v>
      </c>
      <c r="C25" s="573"/>
      <c r="D25" s="649">
        <v>0</v>
      </c>
      <c r="E25" s="708">
        <v>0</v>
      </c>
      <c r="F25" s="649">
        <v>0</v>
      </c>
      <c r="G25" s="708">
        <v>0</v>
      </c>
      <c r="H25" s="649">
        <v>0</v>
      </c>
      <c r="I25" s="708">
        <v>0</v>
      </c>
      <c r="J25" s="649">
        <v>0</v>
      </c>
    </row>
    <row r="27" spans="1:10" x14ac:dyDescent="0.2">
      <c r="A27" s="579" t="s">
        <v>1482</v>
      </c>
      <c r="B27" s="702"/>
      <c r="C27" s="702"/>
      <c r="D27" s="710">
        <v>2022</v>
      </c>
      <c r="E27" s="702">
        <v>2023</v>
      </c>
      <c r="F27" s="702"/>
      <c r="G27" s="702"/>
      <c r="H27" s="702"/>
      <c r="I27" s="702"/>
      <c r="J27" s="710" t="s">
        <v>708</v>
      </c>
    </row>
    <row r="28" spans="1:10" x14ac:dyDescent="0.2">
      <c r="A28" s="704"/>
      <c r="B28" s="507"/>
      <c r="C28" s="507"/>
      <c r="D28" s="7" t="s">
        <v>725</v>
      </c>
      <c r="E28" s="507" t="s">
        <v>1483</v>
      </c>
      <c r="F28" s="507"/>
      <c r="G28" s="507"/>
      <c r="H28" s="507"/>
      <c r="I28" s="507"/>
      <c r="J28" s="7" t="s">
        <v>1484</v>
      </c>
    </row>
    <row r="29" spans="1:10" x14ac:dyDescent="0.2">
      <c r="A29" s="417" t="s">
        <v>1485</v>
      </c>
      <c r="B29" s="601"/>
      <c r="C29" s="601"/>
      <c r="D29" s="648"/>
      <c r="E29" s="601" t="s">
        <v>1466</v>
      </c>
      <c r="F29" s="601"/>
      <c r="G29" s="601"/>
      <c r="H29" s="601"/>
      <c r="I29" s="601"/>
      <c r="J29" s="674">
        <v>0</v>
      </c>
    </row>
    <row r="35" spans="1:13" x14ac:dyDescent="0.2">
      <c r="A35" s="1037" t="s">
        <v>1486</v>
      </c>
      <c r="B35" s="1037"/>
      <c r="C35" s="1037"/>
      <c r="D35" s="1037"/>
      <c r="E35" s="1037"/>
      <c r="F35" s="1037"/>
      <c r="G35" s="1037"/>
      <c r="H35" s="1037"/>
      <c r="I35" s="1037"/>
      <c r="J35" s="1037"/>
      <c r="K35" s="642"/>
      <c r="L35" s="642"/>
      <c r="M35" s="642"/>
    </row>
    <row r="36" spans="1:13" x14ac:dyDescent="0.2">
      <c r="A36" s="642" t="s">
        <v>1487</v>
      </c>
      <c r="B36" s="642"/>
      <c r="C36" s="642"/>
      <c r="D36" s="642"/>
      <c r="E36" s="642"/>
      <c r="F36" s="642"/>
      <c r="G36" s="642"/>
      <c r="H36" s="642"/>
      <c r="I36" s="642"/>
      <c r="J36" s="642"/>
      <c r="K36" s="642"/>
      <c r="L36" s="642"/>
      <c r="M36" s="642"/>
    </row>
    <row r="37" spans="1:13" x14ac:dyDescent="0.2">
      <c r="A37" s="642" t="s">
        <v>1488</v>
      </c>
      <c r="B37" s="642"/>
      <c r="C37" s="642"/>
      <c r="D37" s="642"/>
      <c r="E37" s="642"/>
      <c r="F37" s="642"/>
      <c r="G37" s="642"/>
      <c r="H37" s="642"/>
      <c r="I37" s="642"/>
      <c r="J37" s="642"/>
      <c r="K37" s="642"/>
      <c r="L37" s="642"/>
      <c r="M37" s="642"/>
    </row>
    <row r="38" spans="1:13" x14ac:dyDescent="0.2">
      <c r="A38" s="1037" t="s">
        <v>1489</v>
      </c>
      <c r="B38" s="1037"/>
      <c r="C38" s="1037"/>
      <c r="D38" s="1037"/>
      <c r="E38" s="1037"/>
      <c r="F38" s="1037"/>
      <c r="G38" s="1037"/>
      <c r="H38" s="1037"/>
      <c r="I38" s="1037"/>
      <c r="J38" s="1037"/>
      <c r="K38" s="642"/>
      <c r="L38" s="642"/>
      <c r="M38" s="642"/>
    </row>
  </sheetData>
  <mergeCells count="2">
    <mergeCell ref="A35:J35"/>
    <mergeCell ref="A38:J38"/>
  </mergeCells>
  <pageMargins left="0.511811024" right="0.511811024" top="0.78740157499999996" bottom="0.78740157499999996" header="0.31496062000000002" footer="0.3149606200000000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5"/>
  <sheetViews>
    <sheetView workbookViewId="0">
      <selection activeCell="F16" sqref="F16"/>
    </sheetView>
  </sheetViews>
  <sheetFormatPr defaultRowHeight="11.25" x14ac:dyDescent="0.2"/>
  <cols>
    <col min="1" max="3" width="9.140625" style="1"/>
    <col min="4" max="4" width="19.7109375" style="1" customWidth="1"/>
    <col min="5" max="5" width="14.5703125" style="1" bestFit="1" customWidth="1"/>
    <col min="6" max="7" width="9.140625" style="1"/>
    <col min="8" max="8" width="10.85546875" style="1" bestFit="1" customWidth="1"/>
    <col min="9" max="16384" width="9.140625" style="1"/>
  </cols>
  <sheetData>
    <row r="1" spans="1:15" x14ac:dyDescent="0.2">
      <c r="A1" s="1" t="s">
        <v>539</v>
      </c>
    </row>
    <row r="2" spans="1:15" x14ac:dyDescent="0.2">
      <c r="A2" s="1" t="s">
        <v>707</v>
      </c>
    </row>
    <row r="3" spans="1:15" x14ac:dyDescent="0.2">
      <c r="A3" s="1" t="s">
        <v>1678</v>
      </c>
    </row>
    <row r="4" spans="1:15" x14ac:dyDescent="0.2">
      <c r="A4" s="1" t="s">
        <v>536</v>
      </c>
    </row>
    <row r="5" spans="1:15" x14ac:dyDescent="0.2">
      <c r="A5" s="1" t="s">
        <v>1852</v>
      </c>
    </row>
    <row r="7" spans="1:15" x14ac:dyDescent="0.2">
      <c r="A7" s="1" t="s">
        <v>1679</v>
      </c>
      <c r="O7" s="1" t="s">
        <v>1680</v>
      </c>
    </row>
    <row r="8" spans="1:15" x14ac:dyDescent="0.2">
      <c r="A8" s="579" t="s">
        <v>1681</v>
      </c>
      <c r="B8" s="702"/>
      <c r="C8" s="702"/>
      <c r="D8" s="702"/>
      <c r="E8" s="825" t="s">
        <v>1682</v>
      </c>
      <c r="F8" s="814"/>
      <c r="G8" s="826"/>
      <c r="H8" s="702" t="s">
        <v>1683</v>
      </c>
      <c r="I8" s="702"/>
      <c r="J8" s="702" t="s">
        <v>1683</v>
      </c>
      <c r="K8" s="702"/>
      <c r="L8" s="702"/>
      <c r="M8" s="702"/>
      <c r="N8" s="702"/>
      <c r="O8" s="703"/>
    </row>
    <row r="9" spans="1:15" x14ac:dyDescent="0.2">
      <c r="A9" s="704"/>
      <c r="B9" s="507"/>
      <c r="C9" s="507"/>
      <c r="D9" s="507"/>
      <c r="E9" s="827" t="s">
        <v>1684</v>
      </c>
      <c r="F9" s="828"/>
      <c r="G9" s="829"/>
      <c r="H9" s="507"/>
      <c r="I9" s="507"/>
      <c r="J9" s="507"/>
      <c r="K9" s="507"/>
      <c r="L9" s="507"/>
      <c r="M9" s="507"/>
      <c r="N9" s="507"/>
      <c r="O9" s="705"/>
    </row>
    <row r="10" spans="1:15" x14ac:dyDescent="0.2">
      <c r="A10" s="580"/>
      <c r="B10" s="573"/>
      <c r="C10" s="573"/>
      <c r="D10" s="573"/>
      <c r="E10" s="830" t="s">
        <v>1685</v>
      </c>
      <c r="F10" s="831"/>
      <c r="G10" s="832"/>
      <c r="H10" s="417" t="s">
        <v>502</v>
      </c>
      <c r="I10" s="601"/>
      <c r="J10" s="601"/>
      <c r="K10" s="601"/>
      <c r="L10" s="601"/>
      <c r="M10" s="601"/>
      <c r="N10" s="601"/>
      <c r="O10" s="415"/>
    </row>
    <row r="11" spans="1:15" x14ac:dyDescent="0.2">
      <c r="A11" s="704" t="s">
        <v>1686</v>
      </c>
      <c r="B11" s="507"/>
      <c r="C11" s="507"/>
      <c r="D11" s="507"/>
      <c r="E11" s="704"/>
      <c r="F11" s="507"/>
      <c r="G11" s="705"/>
      <c r="H11" s="507"/>
      <c r="I11" s="507"/>
      <c r="J11" s="507"/>
      <c r="K11" s="507"/>
      <c r="L11" s="507"/>
      <c r="M11" s="507"/>
      <c r="N11" s="507"/>
      <c r="O11" s="705"/>
    </row>
    <row r="12" spans="1:15" x14ac:dyDescent="0.2">
      <c r="A12" s="704" t="s">
        <v>1687</v>
      </c>
      <c r="B12" s="507"/>
      <c r="C12" s="507"/>
      <c r="D12" s="507"/>
      <c r="E12" s="704"/>
      <c r="F12" s="507"/>
      <c r="G12" s="705"/>
      <c r="H12" s="507"/>
      <c r="I12" s="507"/>
      <c r="J12" s="507"/>
      <c r="K12" s="507"/>
      <c r="L12" s="507"/>
      <c r="M12" s="507"/>
      <c r="N12" s="507"/>
      <c r="O12" s="705"/>
    </row>
    <row r="13" spans="1:15" x14ac:dyDescent="0.2">
      <c r="A13" s="704" t="s">
        <v>1688</v>
      </c>
      <c r="B13" s="507"/>
      <c r="C13" s="507"/>
      <c r="D13" s="507"/>
      <c r="E13" s="704"/>
      <c r="F13" s="507"/>
      <c r="G13" s="705"/>
      <c r="H13" s="507"/>
      <c r="I13" s="507"/>
      <c r="J13" s="507"/>
      <c r="K13" s="507"/>
      <c r="L13" s="507"/>
      <c r="M13" s="507"/>
      <c r="N13" s="507"/>
      <c r="O13" s="705"/>
    </row>
    <row r="14" spans="1:15" x14ac:dyDescent="0.2">
      <c r="A14" s="704" t="s">
        <v>1689</v>
      </c>
      <c r="B14" s="507"/>
      <c r="C14" s="507"/>
      <c r="D14" s="507"/>
      <c r="E14" s="704"/>
      <c r="F14" s="507"/>
      <c r="G14" s="705"/>
      <c r="H14" s="507"/>
      <c r="I14" s="507"/>
      <c r="J14" s="507"/>
      <c r="K14" s="507"/>
      <c r="L14" s="507"/>
      <c r="M14" s="507"/>
      <c r="N14" s="507"/>
      <c r="O14" s="705"/>
    </row>
    <row r="15" spans="1:15" x14ac:dyDescent="0.2">
      <c r="A15" s="704" t="s">
        <v>1690</v>
      </c>
      <c r="B15" s="507"/>
      <c r="C15" s="507"/>
      <c r="D15" s="507"/>
      <c r="E15" s="704"/>
      <c r="F15" s="507"/>
      <c r="G15" s="705"/>
      <c r="H15" s="507"/>
      <c r="I15" s="507"/>
      <c r="J15" s="507"/>
      <c r="K15" s="507"/>
      <c r="L15" s="507"/>
      <c r="M15" s="507"/>
      <c r="N15" s="507"/>
      <c r="O15" s="705"/>
    </row>
    <row r="16" spans="1:15" x14ac:dyDescent="0.2">
      <c r="A16" s="704" t="s">
        <v>1691</v>
      </c>
      <c r="B16" s="507"/>
      <c r="C16" s="507"/>
      <c r="D16" s="507"/>
      <c r="E16" s="704"/>
      <c r="F16" s="507"/>
      <c r="G16" s="705"/>
      <c r="H16" s="507"/>
      <c r="I16" s="507"/>
      <c r="J16" s="507"/>
      <c r="K16" s="507"/>
      <c r="L16" s="507"/>
      <c r="M16" s="507"/>
      <c r="N16" s="507"/>
      <c r="O16" s="705"/>
    </row>
    <row r="17" spans="1:15" x14ac:dyDescent="0.2">
      <c r="A17" s="704" t="s">
        <v>1692</v>
      </c>
      <c r="B17" s="507"/>
      <c r="C17" s="507"/>
      <c r="D17" s="507"/>
      <c r="E17" s="704"/>
      <c r="F17" s="507"/>
      <c r="G17" s="705"/>
      <c r="H17" s="507"/>
      <c r="I17" s="507"/>
      <c r="J17" s="507"/>
      <c r="K17" s="507"/>
      <c r="L17" s="507"/>
      <c r="M17" s="507"/>
      <c r="N17" s="507"/>
      <c r="O17" s="705"/>
    </row>
    <row r="18" spans="1:15" x14ac:dyDescent="0.2">
      <c r="A18" s="704" t="s">
        <v>1693</v>
      </c>
      <c r="B18" s="507"/>
      <c r="C18" s="507"/>
      <c r="D18" s="507"/>
      <c r="E18" s="704"/>
      <c r="F18" s="507"/>
      <c r="G18" s="705"/>
      <c r="H18" s="507"/>
      <c r="I18" s="507"/>
      <c r="J18" s="507"/>
      <c r="K18" s="507"/>
      <c r="L18" s="507"/>
      <c r="M18" s="507"/>
      <c r="N18" s="507"/>
      <c r="O18" s="705"/>
    </row>
    <row r="19" spans="1:15" x14ac:dyDescent="0.2">
      <c r="A19" s="704" t="s">
        <v>1694</v>
      </c>
      <c r="B19" s="507"/>
      <c r="C19" s="507"/>
      <c r="D19" s="507"/>
      <c r="E19" s="704"/>
      <c r="F19" s="507"/>
      <c r="G19" s="705"/>
      <c r="H19" s="507"/>
      <c r="I19" s="507"/>
      <c r="J19" s="507"/>
      <c r="K19" s="507"/>
      <c r="L19" s="507"/>
      <c r="M19" s="507"/>
      <c r="N19" s="507"/>
      <c r="O19" s="705"/>
    </row>
    <row r="20" spans="1:15" x14ac:dyDescent="0.2">
      <c r="A20" s="704" t="s">
        <v>1695</v>
      </c>
      <c r="B20" s="507"/>
      <c r="C20" s="507"/>
      <c r="D20" s="507"/>
      <c r="E20" s="704"/>
      <c r="F20" s="507"/>
      <c r="G20" s="705"/>
      <c r="H20" s="507"/>
      <c r="I20" s="507"/>
      <c r="J20" s="507"/>
      <c r="K20" s="507"/>
      <c r="L20" s="507"/>
      <c r="M20" s="507"/>
      <c r="N20" s="507"/>
      <c r="O20" s="705"/>
    </row>
    <row r="21" spans="1:15" x14ac:dyDescent="0.2">
      <c r="A21" s="580" t="s">
        <v>1696</v>
      </c>
      <c r="B21" s="573"/>
      <c r="C21" s="573"/>
      <c r="D21" s="573"/>
      <c r="E21" s="580"/>
      <c r="F21" s="573"/>
      <c r="G21" s="646"/>
      <c r="H21" s="573"/>
      <c r="I21" s="573"/>
      <c r="J21" s="573"/>
      <c r="K21" s="573"/>
      <c r="L21" s="573"/>
      <c r="M21" s="573"/>
      <c r="N21" s="573"/>
      <c r="O21" s="646"/>
    </row>
    <row r="22" spans="1:15" x14ac:dyDescent="0.2">
      <c r="A22" s="417"/>
      <c r="B22" s="601"/>
      <c r="C22" s="601"/>
      <c r="D22" s="601"/>
      <c r="E22" s="601"/>
      <c r="F22" s="601"/>
      <c r="G22" s="601"/>
      <c r="H22" s="601"/>
      <c r="I22" s="601"/>
      <c r="J22" s="601"/>
      <c r="K22" s="601"/>
      <c r="L22" s="601"/>
      <c r="M22" s="601"/>
      <c r="N22" s="601"/>
      <c r="O22" s="415"/>
    </row>
    <row r="23" spans="1:15" x14ac:dyDescent="0.2">
      <c r="A23" s="579" t="s">
        <v>1697</v>
      </c>
      <c r="B23" s="702"/>
      <c r="C23" s="702"/>
      <c r="D23" s="702"/>
      <c r="E23" s="712" t="s">
        <v>1698</v>
      </c>
      <c r="F23" s="825" t="s">
        <v>1698</v>
      </c>
      <c r="G23" s="712"/>
      <c r="H23" s="814"/>
      <c r="I23" s="712"/>
      <c r="J23" s="814"/>
      <c r="K23" s="712"/>
      <c r="L23" s="814"/>
      <c r="M23" s="712"/>
      <c r="N23" s="814"/>
      <c r="O23" s="712"/>
    </row>
    <row r="24" spans="1:15" x14ac:dyDescent="0.2">
      <c r="A24" s="704"/>
      <c r="B24" s="507"/>
      <c r="C24" s="507"/>
      <c r="D24" s="507"/>
      <c r="E24" s="713" t="s">
        <v>1699</v>
      </c>
      <c r="F24" s="827" t="s">
        <v>1700</v>
      </c>
      <c r="G24" s="713">
        <v>2024</v>
      </c>
      <c r="H24" s="828">
        <v>2025</v>
      </c>
      <c r="I24" s="713">
        <v>2026</v>
      </c>
      <c r="J24" s="828">
        <v>2027</v>
      </c>
      <c r="K24" s="713">
        <v>2028</v>
      </c>
      <c r="L24" s="828">
        <v>2029</v>
      </c>
      <c r="M24" s="713">
        <v>2030</v>
      </c>
      <c r="N24" s="828">
        <v>2031</v>
      </c>
      <c r="O24" s="713">
        <v>2032</v>
      </c>
    </row>
    <row r="25" spans="1:15" x14ac:dyDescent="0.2">
      <c r="A25" s="580"/>
      <c r="B25" s="573"/>
      <c r="C25" s="573"/>
      <c r="D25" s="573"/>
      <c r="E25" s="714"/>
      <c r="F25" s="830">
        <v>2023</v>
      </c>
      <c r="G25" s="714"/>
      <c r="H25" s="831"/>
      <c r="I25" s="714"/>
      <c r="J25" s="831"/>
      <c r="K25" s="714"/>
      <c r="L25" s="831"/>
      <c r="M25" s="714"/>
      <c r="N25" s="831"/>
      <c r="O25" s="714"/>
    </row>
    <row r="26" spans="1:15" x14ac:dyDescent="0.2">
      <c r="A26" s="579" t="s">
        <v>1701</v>
      </c>
      <c r="B26" s="702"/>
      <c r="C26" s="702"/>
      <c r="D26" s="703"/>
      <c r="E26" s="387">
        <v>0</v>
      </c>
      <c r="F26" s="709">
        <v>0</v>
      </c>
      <c r="G26" s="387">
        <v>0</v>
      </c>
      <c r="H26" s="524">
        <v>0</v>
      </c>
      <c r="I26" s="387">
        <v>0</v>
      </c>
      <c r="J26" s="524">
        <v>0</v>
      </c>
      <c r="K26" s="387">
        <v>0</v>
      </c>
      <c r="L26" s="524">
        <v>0</v>
      </c>
      <c r="M26" s="387">
        <v>0</v>
      </c>
      <c r="N26" s="524">
        <v>0</v>
      </c>
      <c r="O26" s="387">
        <v>0</v>
      </c>
    </row>
    <row r="27" spans="1:15" x14ac:dyDescent="0.2">
      <c r="A27" s="704" t="s">
        <v>1702</v>
      </c>
      <c r="B27" s="507"/>
      <c r="C27" s="507"/>
      <c r="D27" s="705"/>
      <c r="E27" s="387">
        <v>0</v>
      </c>
      <c r="F27" s="709">
        <v>0</v>
      </c>
      <c r="G27" s="387">
        <v>0</v>
      </c>
      <c r="H27" s="524">
        <v>0</v>
      </c>
      <c r="I27" s="387">
        <v>0</v>
      </c>
      <c r="J27" s="524">
        <v>0</v>
      </c>
      <c r="K27" s="387">
        <v>0</v>
      </c>
      <c r="L27" s="524">
        <v>0</v>
      </c>
      <c r="M27" s="387">
        <v>0</v>
      </c>
      <c r="N27" s="524">
        <v>0</v>
      </c>
      <c r="O27" s="387">
        <v>0</v>
      </c>
    </row>
    <row r="28" spans="1:15" x14ac:dyDescent="0.2">
      <c r="A28" s="704" t="s">
        <v>1703</v>
      </c>
      <c r="B28" s="507"/>
      <c r="C28" s="507"/>
      <c r="D28" s="705"/>
      <c r="E28" s="387"/>
      <c r="F28" s="709"/>
      <c r="G28" s="387"/>
      <c r="H28" s="524"/>
      <c r="I28" s="387"/>
      <c r="J28" s="524"/>
      <c r="K28" s="387"/>
      <c r="L28" s="524"/>
      <c r="M28" s="387"/>
      <c r="N28" s="524"/>
      <c r="O28" s="387"/>
    </row>
    <row r="29" spans="1:15" x14ac:dyDescent="0.2">
      <c r="A29" s="704" t="s">
        <v>1704</v>
      </c>
      <c r="B29" s="507"/>
      <c r="C29" s="507"/>
      <c r="D29" s="705"/>
      <c r="E29" s="387"/>
      <c r="F29" s="709"/>
      <c r="G29" s="387"/>
      <c r="H29" s="524"/>
      <c r="I29" s="387"/>
      <c r="J29" s="524"/>
      <c r="K29" s="387"/>
      <c r="L29" s="524"/>
      <c r="M29" s="387"/>
      <c r="N29" s="524"/>
      <c r="O29" s="387"/>
    </row>
    <row r="30" spans="1:15" x14ac:dyDescent="0.2">
      <c r="A30" s="704" t="s">
        <v>1705</v>
      </c>
      <c r="B30" s="507"/>
      <c r="C30" s="507"/>
      <c r="D30" s="705"/>
      <c r="E30" s="387"/>
      <c r="F30" s="709"/>
      <c r="G30" s="387"/>
      <c r="H30" s="524"/>
      <c r="I30" s="387"/>
      <c r="J30" s="524"/>
      <c r="K30" s="387"/>
      <c r="L30" s="524"/>
      <c r="M30" s="387"/>
      <c r="N30" s="524"/>
      <c r="O30" s="387"/>
    </row>
    <row r="31" spans="1:15" x14ac:dyDescent="0.2">
      <c r="A31" s="704" t="s">
        <v>1706</v>
      </c>
      <c r="B31" s="507"/>
      <c r="C31" s="507"/>
      <c r="D31" s="705"/>
      <c r="E31" s="387"/>
      <c r="F31" s="709"/>
      <c r="G31" s="387"/>
      <c r="H31" s="524"/>
      <c r="I31" s="387"/>
      <c r="J31" s="524"/>
      <c r="K31" s="387"/>
      <c r="L31" s="524"/>
      <c r="M31" s="387"/>
      <c r="N31" s="524"/>
      <c r="O31" s="387"/>
    </row>
    <row r="32" spans="1:15" x14ac:dyDescent="0.2">
      <c r="A32" s="417" t="s">
        <v>1707</v>
      </c>
      <c r="B32" s="601"/>
      <c r="C32" s="601"/>
      <c r="D32" s="415"/>
      <c r="E32" s="674">
        <v>0</v>
      </c>
      <c r="F32" s="284">
        <v>0</v>
      </c>
      <c r="G32" s="674">
        <v>0</v>
      </c>
      <c r="H32" s="604">
        <v>0</v>
      </c>
      <c r="I32" s="674">
        <v>0</v>
      </c>
      <c r="J32" s="604">
        <v>0</v>
      </c>
      <c r="K32" s="674">
        <v>0</v>
      </c>
      <c r="L32" s="604">
        <v>0</v>
      </c>
      <c r="M32" s="674">
        <v>0</v>
      </c>
      <c r="N32" s="604">
        <v>0</v>
      </c>
      <c r="O32" s="674">
        <v>0</v>
      </c>
    </row>
    <row r="33" spans="1:15" x14ac:dyDescent="0.2">
      <c r="A33" s="704" t="s">
        <v>1708</v>
      </c>
      <c r="B33" s="507"/>
      <c r="C33" s="507"/>
      <c r="D33" s="705"/>
      <c r="E33" s="387">
        <v>0</v>
      </c>
      <c r="F33" s="709">
        <v>0</v>
      </c>
      <c r="G33" s="387">
        <v>0</v>
      </c>
      <c r="H33" s="524">
        <v>0</v>
      </c>
      <c r="I33" s="387">
        <v>0</v>
      </c>
      <c r="J33" s="524">
        <v>0</v>
      </c>
      <c r="K33" s="387">
        <v>0</v>
      </c>
      <c r="L33" s="524">
        <v>0</v>
      </c>
      <c r="M33" s="387">
        <v>0</v>
      </c>
      <c r="N33" s="524">
        <v>0</v>
      </c>
      <c r="O33" s="387">
        <v>0</v>
      </c>
    </row>
    <row r="34" spans="1:15" x14ac:dyDescent="0.2">
      <c r="A34" s="417" t="s">
        <v>1709</v>
      </c>
      <c r="B34" s="601"/>
      <c r="C34" s="601"/>
      <c r="D34" s="415"/>
      <c r="E34" s="648"/>
      <c r="F34" s="417"/>
      <c r="G34" s="648"/>
      <c r="H34" s="601"/>
      <c r="I34" s="648"/>
      <c r="J34" s="601"/>
      <c r="K34" s="648"/>
      <c r="L34" s="601"/>
      <c r="M34" s="648"/>
      <c r="N34" s="601"/>
      <c r="O34" s="648"/>
    </row>
    <row r="35" spans="1:15" x14ac:dyDescent="0.2">
      <c r="A35" s="580" t="s">
        <v>1710</v>
      </c>
      <c r="B35" s="573"/>
      <c r="C35" s="573"/>
      <c r="D35" s="646"/>
      <c r="E35" s="6"/>
      <c r="F35" s="580"/>
      <c r="G35" s="6"/>
      <c r="H35" s="573"/>
      <c r="I35" s="6"/>
      <c r="J35" s="573"/>
      <c r="K35" s="6"/>
      <c r="L35" s="573"/>
      <c r="M35" s="6"/>
      <c r="N35" s="573"/>
      <c r="O35" s="6"/>
    </row>
  </sheetData>
  <pageMargins left="0.511811024" right="0.511811024" top="0.78740157499999996" bottom="0.78740157499999996" header="0.31496062000000002" footer="0.31496062000000002"/>
  <pageSetup paperSize="9" orientation="landscape" horizontalDpi="0" verticalDpi="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82"/>
  <sheetViews>
    <sheetView topLeftCell="A3" zoomScale="184" zoomScaleNormal="184" workbookViewId="0">
      <selection activeCell="D58" sqref="D58"/>
    </sheetView>
  </sheetViews>
  <sheetFormatPr defaultRowHeight="11.25" x14ac:dyDescent="0.2"/>
  <cols>
    <col min="1" max="1" width="2" style="1" customWidth="1"/>
    <col min="2" max="2" width="3.140625" style="1" customWidth="1"/>
    <col min="3" max="3" width="4.140625" style="1" customWidth="1"/>
    <col min="4" max="4" width="32.42578125" style="1" customWidth="1"/>
    <col min="5" max="7" width="12.28515625" style="1" bestFit="1" customWidth="1"/>
    <col min="8" max="8" width="10.42578125" style="1" bestFit="1" customWidth="1"/>
    <col min="9" max="10" width="11.42578125" style="1" bestFit="1" customWidth="1"/>
    <col min="11" max="16384" width="9.140625" style="1"/>
  </cols>
  <sheetData>
    <row r="2" spans="1:8" x14ac:dyDescent="0.2">
      <c r="A2" s="1" t="s">
        <v>1462</v>
      </c>
    </row>
    <row r="3" spans="1:8" x14ac:dyDescent="0.2">
      <c r="A3" s="1" t="s">
        <v>535</v>
      </c>
    </row>
    <row r="4" spans="1:8" x14ac:dyDescent="0.2">
      <c r="A4" s="1" t="s">
        <v>1711</v>
      </c>
    </row>
    <row r="5" spans="1:8" x14ac:dyDescent="0.2">
      <c r="A5" s="1" t="s">
        <v>536</v>
      </c>
    </row>
    <row r="6" spans="1:8" x14ac:dyDescent="0.2">
      <c r="A6" s="1" t="s">
        <v>2609</v>
      </c>
    </row>
    <row r="7" spans="1:8" s="3" customFormat="1" ht="8.25" x14ac:dyDescent="0.15"/>
    <row r="8" spans="1:8" x14ac:dyDescent="0.2">
      <c r="A8" s="1" t="s">
        <v>1712</v>
      </c>
      <c r="H8" s="1" t="s">
        <v>537</v>
      </c>
    </row>
    <row r="9" spans="1:8" s="3" customFormat="1" ht="8.25" x14ac:dyDescent="0.15"/>
    <row r="10" spans="1:8" x14ac:dyDescent="0.2">
      <c r="A10" s="579" t="s">
        <v>538</v>
      </c>
      <c r="B10" s="702"/>
      <c r="C10" s="702"/>
      <c r="D10" s="702"/>
      <c r="E10" s="712" t="s">
        <v>1713</v>
      </c>
      <c r="F10" s="1191" t="s">
        <v>1714</v>
      </c>
      <c r="G10" s="1192"/>
      <c r="H10" s="1193"/>
    </row>
    <row r="11" spans="1:8" x14ac:dyDescent="0.2">
      <c r="A11" s="704"/>
      <c r="B11" s="507"/>
      <c r="C11" s="507"/>
      <c r="D11" s="507"/>
      <c r="E11" s="713" t="s">
        <v>1698</v>
      </c>
      <c r="F11" s="828" t="s">
        <v>1715</v>
      </c>
      <c r="G11" s="712" t="s">
        <v>1715</v>
      </c>
      <c r="H11" s="829" t="s">
        <v>1716</v>
      </c>
    </row>
    <row r="12" spans="1:8" x14ac:dyDescent="0.2">
      <c r="A12" s="580"/>
      <c r="B12" s="573"/>
      <c r="C12" s="573"/>
      <c r="D12" s="573"/>
      <c r="E12" s="714" t="s">
        <v>1699</v>
      </c>
      <c r="F12" s="831" t="s">
        <v>1717</v>
      </c>
      <c r="G12" s="714" t="s">
        <v>2610</v>
      </c>
      <c r="H12" s="832" t="s">
        <v>1717</v>
      </c>
    </row>
    <row r="13" spans="1:8" x14ac:dyDescent="0.2">
      <c r="A13" s="704" t="s">
        <v>1718</v>
      </c>
      <c r="B13" s="507"/>
      <c r="C13" s="507"/>
      <c r="D13" s="507"/>
      <c r="E13" s="387">
        <v>5629528.1799999997</v>
      </c>
      <c r="F13" s="524">
        <v>8016049.0499999998</v>
      </c>
      <c r="G13" s="387">
        <v>8163947.4699999997</v>
      </c>
      <c r="H13" s="707">
        <v>0</v>
      </c>
    </row>
    <row r="14" spans="1:8" x14ac:dyDescent="0.2">
      <c r="A14" s="704"/>
      <c r="B14" s="507" t="s">
        <v>1719</v>
      </c>
      <c r="C14" s="507"/>
      <c r="D14" s="507"/>
      <c r="E14" s="387">
        <v>0</v>
      </c>
      <c r="F14" s="524">
        <v>0</v>
      </c>
      <c r="G14" s="387">
        <v>0</v>
      </c>
      <c r="H14" s="707">
        <v>0</v>
      </c>
    </row>
    <row r="15" spans="1:8" x14ac:dyDescent="0.2">
      <c r="A15" s="704"/>
      <c r="B15" s="507" t="s">
        <v>1720</v>
      </c>
      <c r="C15" s="507"/>
      <c r="D15" s="507"/>
      <c r="E15" s="387">
        <v>5618230.2400000002</v>
      </c>
      <c r="F15" s="524">
        <v>8014032.3799999999</v>
      </c>
      <c r="G15" s="387">
        <v>8161930.7999999998</v>
      </c>
      <c r="H15" s="707">
        <v>0</v>
      </c>
    </row>
    <row r="16" spans="1:8" x14ac:dyDescent="0.2">
      <c r="A16" s="704"/>
      <c r="B16" s="507"/>
      <c r="C16" s="507" t="s">
        <v>1721</v>
      </c>
      <c r="D16" s="507"/>
      <c r="E16" s="387">
        <v>4999980</v>
      </c>
      <c r="F16" s="524">
        <v>4999980</v>
      </c>
      <c r="G16" s="387">
        <v>4999980</v>
      </c>
      <c r="H16" s="707">
        <v>0</v>
      </c>
    </row>
    <row r="17" spans="1:10" x14ac:dyDescent="0.2">
      <c r="A17" s="704"/>
      <c r="B17" s="507"/>
      <c r="C17" s="507"/>
      <c r="D17" s="507" t="s">
        <v>1722</v>
      </c>
      <c r="E17" s="387">
        <v>4999980</v>
      </c>
      <c r="F17" s="524">
        <v>4999980</v>
      </c>
      <c r="G17" s="387">
        <v>4999980</v>
      </c>
      <c r="H17" s="707">
        <v>0</v>
      </c>
    </row>
    <row r="18" spans="1:10" x14ac:dyDescent="0.2">
      <c r="A18" s="704"/>
      <c r="B18" s="507"/>
      <c r="C18" s="507"/>
      <c r="D18" s="507" t="s">
        <v>1723</v>
      </c>
      <c r="E18" s="387">
        <v>0</v>
      </c>
      <c r="F18" s="524">
        <v>0</v>
      </c>
      <c r="G18" s="387">
        <v>0</v>
      </c>
      <c r="H18" s="707">
        <v>0</v>
      </c>
    </row>
    <row r="19" spans="1:10" x14ac:dyDescent="0.2">
      <c r="A19" s="704"/>
      <c r="B19" s="507"/>
      <c r="C19" s="507" t="s">
        <v>1724</v>
      </c>
      <c r="D19" s="507"/>
      <c r="E19" s="387">
        <v>0</v>
      </c>
      <c r="F19" s="524">
        <v>0</v>
      </c>
      <c r="G19" s="387">
        <v>0</v>
      </c>
      <c r="H19" s="707">
        <v>0</v>
      </c>
    </row>
    <row r="20" spans="1:10" x14ac:dyDescent="0.2">
      <c r="A20" s="704"/>
      <c r="B20" s="507"/>
      <c r="C20" s="507" t="s">
        <v>1725</v>
      </c>
      <c r="D20" s="507"/>
      <c r="E20" s="387">
        <v>0</v>
      </c>
      <c r="F20" s="524">
        <v>0</v>
      </c>
      <c r="G20" s="387">
        <v>232587.5</v>
      </c>
      <c r="H20" s="707">
        <v>0</v>
      </c>
    </row>
    <row r="21" spans="1:10" x14ac:dyDescent="0.2">
      <c r="A21" s="704"/>
      <c r="B21" s="507"/>
      <c r="C21" s="507"/>
      <c r="D21" s="507" t="s">
        <v>1722</v>
      </c>
      <c r="E21" s="387">
        <v>0</v>
      </c>
      <c r="F21" s="524">
        <v>0</v>
      </c>
      <c r="G21" s="840">
        <v>232587.5</v>
      </c>
      <c r="H21" s="707">
        <v>0</v>
      </c>
    </row>
    <row r="22" spans="1:10" x14ac:dyDescent="0.2">
      <c r="A22" s="704"/>
      <c r="B22" s="507"/>
      <c r="C22" s="507"/>
      <c r="D22" s="507" t="s">
        <v>1723</v>
      </c>
      <c r="E22" s="387">
        <v>0</v>
      </c>
      <c r="F22" s="524">
        <v>0</v>
      </c>
      <c r="G22" s="387">
        <v>0</v>
      </c>
      <c r="H22" s="707">
        <v>0</v>
      </c>
    </row>
    <row r="23" spans="1:10" x14ac:dyDescent="0.2">
      <c r="A23" s="704"/>
      <c r="B23" s="507"/>
      <c r="C23" s="507" t="s">
        <v>1726</v>
      </c>
      <c r="D23" s="507"/>
      <c r="E23" s="387">
        <v>618250.23999999999</v>
      </c>
      <c r="F23" s="524">
        <v>607052.38</v>
      </c>
      <c r="G23" s="387">
        <v>605363.30000000005</v>
      </c>
      <c r="H23" s="707">
        <v>0</v>
      </c>
      <c r="J23" s="327"/>
    </row>
    <row r="24" spans="1:10" x14ac:dyDescent="0.2">
      <c r="A24" s="704"/>
      <c r="B24" s="507"/>
      <c r="C24" s="507"/>
      <c r="D24" s="507" t="s">
        <v>1727</v>
      </c>
      <c r="E24" s="387">
        <v>0</v>
      </c>
      <c r="F24" s="524">
        <v>0</v>
      </c>
      <c r="G24" s="387">
        <v>0</v>
      </c>
      <c r="H24" s="707">
        <v>0</v>
      </c>
    </row>
    <row r="25" spans="1:10" x14ac:dyDescent="0.2">
      <c r="A25" s="704"/>
      <c r="B25" s="507"/>
      <c r="C25" s="507"/>
      <c r="D25" s="507" t="s">
        <v>1728</v>
      </c>
      <c r="E25" s="387">
        <v>290000</v>
      </c>
      <c r="F25" s="524">
        <v>278802.14</v>
      </c>
      <c r="G25" s="387">
        <v>277113.06</v>
      </c>
      <c r="H25" s="707">
        <v>0</v>
      </c>
      <c r="J25" s="327"/>
    </row>
    <row r="26" spans="1:10" x14ac:dyDescent="0.2">
      <c r="A26" s="704"/>
      <c r="B26" s="507"/>
      <c r="C26" s="507"/>
      <c r="D26" s="507" t="s">
        <v>1729</v>
      </c>
      <c r="E26" s="387">
        <v>0</v>
      </c>
      <c r="F26" s="524">
        <v>0</v>
      </c>
      <c r="G26" s="387">
        <v>0</v>
      </c>
      <c r="H26" s="707">
        <v>0</v>
      </c>
    </row>
    <row r="27" spans="1:10" x14ac:dyDescent="0.2">
      <c r="A27" s="704"/>
      <c r="B27" s="507"/>
      <c r="C27" s="507"/>
      <c r="D27" s="507" t="s">
        <v>1730</v>
      </c>
      <c r="E27" s="387">
        <v>0</v>
      </c>
      <c r="F27" s="524">
        <v>0</v>
      </c>
      <c r="G27" s="387">
        <v>0</v>
      </c>
      <c r="H27" s="707">
        <v>0</v>
      </c>
    </row>
    <row r="28" spans="1:10" x14ac:dyDescent="0.2">
      <c r="A28" s="704"/>
      <c r="B28" s="507"/>
      <c r="C28" s="507"/>
      <c r="D28" s="507" t="s">
        <v>1731</v>
      </c>
      <c r="E28" s="387">
        <v>328250.23999999999</v>
      </c>
      <c r="F28" s="524">
        <v>328250.23999999999</v>
      </c>
      <c r="G28" s="387">
        <v>328250.23999999999</v>
      </c>
      <c r="H28" s="707">
        <v>0</v>
      </c>
      <c r="J28" s="327"/>
    </row>
    <row r="29" spans="1:10" x14ac:dyDescent="0.2">
      <c r="A29" s="704"/>
      <c r="B29" s="507"/>
      <c r="C29" s="507" t="s">
        <v>2611</v>
      </c>
      <c r="D29" s="507"/>
      <c r="E29" s="387">
        <v>0</v>
      </c>
      <c r="F29" s="524">
        <v>2407000</v>
      </c>
      <c r="G29" s="387">
        <v>2324000</v>
      </c>
      <c r="H29" s="707">
        <v>0</v>
      </c>
      <c r="J29" s="327"/>
    </row>
    <row r="30" spans="1:10" x14ac:dyDescent="0.2">
      <c r="A30" s="704"/>
      <c r="B30" s="507" t="s">
        <v>1732</v>
      </c>
      <c r="C30" s="507"/>
      <c r="D30" s="507"/>
      <c r="E30" s="387">
        <v>11297.94</v>
      </c>
      <c r="F30" s="524">
        <v>2016.67</v>
      </c>
      <c r="G30" s="387">
        <v>2016.67</v>
      </c>
      <c r="H30" s="707">
        <v>0</v>
      </c>
      <c r="J30" s="327"/>
    </row>
    <row r="31" spans="1:10" x14ac:dyDescent="0.2">
      <c r="A31" s="704"/>
      <c r="B31" s="507" t="s">
        <v>1733</v>
      </c>
      <c r="C31" s="507"/>
      <c r="D31" s="507"/>
      <c r="E31" s="387">
        <v>0</v>
      </c>
      <c r="F31" s="524">
        <v>0</v>
      </c>
      <c r="G31" s="387">
        <v>0</v>
      </c>
      <c r="H31" s="707">
        <v>0</v>
      </c>
    </row>
    <row r="32" spans="1:10" x14ac:dyDescent="0.2">
      <c r="A32" s="704" t="s">
        <v>1734</v>
      </c>
      <c r="B32" s="507"/>
      <c r="C32" s="507"/>
      <c r="D32" s="507"/>
      <c r="E32" s="387">
        <v>11385969.18</v>
      </c>
      <c r="F32" s="524">
        <v>18118366.050000001</v>
      </c>
      <c r="G32" s="387">
        <v>1572780.48</v>
      </c>
      <c r="H32" s="707">
        <v>0</v>
      </c>
    </row>
    <row r="33" spans="1:10" x14ac:dyDescent="0.2">
      <c r="A33" s="704"/>
      <c r="B33" s="507" t="s">
        <v>1735</v>
      </c>
      <c r="C33" s="507"/>
      <c r="D33" s="507"/>
      <c r="E33" s="387">
        <v>10860034.02</v>
      </c>
      <c r="F33" s="524">
        <v>17584223.309999999</v>
      </c>
      <c r="G33" s="387">
        <v>1038637.74</v>
      </c>
      <c r="H33" s="707">
        <v>0</v>
      </c>
    </row>
    <row r="34" spans="1:10" x14ac:dyDescent="0.2">
      <c r="A34" s="704"/>
      <c r="B34" s="507"/>
      <c r="C34" s="507" t="s">
        <v>699</v>
      </c>
      <c r="D34" s="507"/>
      <c r="E34" s="387">
        <v>17239673.640000001</v>
      </c>
      <c r="F34" s="524">
        <v>20853038.780000001</v>
      </c>
      <c r="G34" s="387">
        <v>19126609.399999999</v>
      </c>
      <c r="H34" s="707">
        <v>0</v>
      </c>
      <c r="J34" s="314"/>
    </row>
    <row r="35" spans="1:10" x14ac:dyDescent="0.2">
      <c r="A35" s="704"/>
      <c r="B35" s="507"/>
      <c r="C35" s="507" t="s">
        <v>1736</v>
      </c>
      <c r="D35" s="507"/>
      <c r="E35" s="387">
        <v>5282949.0199999996</v>
      </c>
      <c r="F35" s="524">
        <v>2110711.56</v>
      </c>
      <c r="G35" s="387">
        <v>16821841.949999999</v>
      </c>
      <c r="H35" s="707">
        <v>0</v>
      </c>
      <c r="I35" s="314"/>
      <c r="J35" s="327"/>
    </row>
    <row r="36" spans="1:10" x14ac:dyDescent="0.2">
      <c r="A36" s="704"/>
      <c r="B36" s="507"/>
      <c r="C36" s="507" t="s">
        <v>700</v>
      </c>
      <c r="D36" s="507"/>
      <c r="E36" s="842">
        <v>1096690.6000000001</v>
      </c>
      <c r="F36" s="843">
        <v>1158103.9099999999</v>
      </c>
      <c r="G36" s="842">
        <v>1266129.71</v>
      </c>
      <c r="H36" s="844">
        <v>0</v>
      </c>
      <c r="J36" s="327"/>
    </row>
    <row r="37" spans="1:10" x14ac:dyDescent="0.2">
      <c r="A37" s="704"/>
      <c r="B37" s="507" t="s">
        <v>701</v>
      </c>
      <c r="C37" s="507"/>
      <c r="D37" s="507"/>
      <c r="E37" s="387">
        <v>525935.16</v>
      </c>
      <c r="F37" s="524">
        <v>534142.74</v>
      </c>
      <c r="G37" s="387">
        <v>534142.74</v>
      </c>
      <c r="H37" s="707">
        <v>0</v>
      </c>
      <c r="J37" s="323"/>
    </row>
    <row r="38" spans="1:10" x14ac:dyDescent="0.2">
      <c r="A38" s="417" t="s">
        <v>1737</v>
      </c>
      <c r="B38" s="715"/>
      <c r="C38" s="715"/>
      <c r="D38" s="715"/>
      <c r="E38" s="672" t="s">
        <v>1738</v>
      </c>
      <c r="F38" s="716" t="s">
        <v>1739</v>
      </c>
      <c r="G38" s="672">
        <v>6591166.9900000002</v>
      </c>
      <c r="H38" s="717">
        <v>0</v>
      </c>
    </row>
    <row r="39" spans="1:10" x14ac:dyDescent="0.2">
      <c r="A39" s="417" t="s">
        <v>1740</v>
      </c>
      <c r="B39" s="601"/>
      <c r="C39" s="601"/>
      <c r="D39" s="601"/>
      <c r="E39" s="674">
        <v>131231233.98999999</v>
      </c>
      <c r="F39" s="604">
        <v>136017374.69999999</v>
      </c>
      <c r="G39" s="674">
        <v>134918200.47999999</v>
      </c>
      <c r="H39" s="385">
        <v>0</v>
      </c>
    </row>
    <row r="40" spans="1:10" ht="20.25" customHeight="1" x14ac:dyDescent="0.2">
      <c r="A40" s="1189" t="s">
        <v>1741</v>
      </c>
      <c r="B40" s="1190"/>
      <c r="C40" s="1190"/>
      <c r="D40" s="1190"/>
      <c r="E40" s="649">
        <v>250000</v>
      </c>
      <c r="F40" s="839">
        <v>400000</v>
      </c>
      <c r="G40" s="649">
        <v>150000</v>
      </c>
      <c r="H40" s="688">
        <v>0</v>
      </c>
    </row>
    <row r="41" spans="1:10" ht="21" customHeight="1" x14ac:dyDescent="0.2">
      <c r="A41" s="1194" t="s">
        <v>1761</v>
      </c>
      <c r="B41" s="1195"/>
      <c r="C41" s="1195"/>
      <c r="D41" s="1196"/>
      <c r="E41" s="387">
        <v>130981233.98999999</v>
      </c>
      <c r="F41" s="524">
        <v>135617374.69999999</v>
      </c>
      <c r="G41" s="387">
        <v>134768200.47999999</v>
      </c>
      <c r="H41" s="707">
        <v>0</v>
      </c>
    </row>
    <row r="42" spans="1:10" x14ac:dyDescent="0.2">
      <c r="A42" s="417" t="s">
        <v>1742</v>
      </c>
      <c r="B42" s="601"/>
      <c r="C42" s="601"/>
      <c r="D42" s="601"/>
      <c r="E42" s="674">
        <f>(E13/E41)*100</f>
        <v>4.2979654478059022</v>
      </c>
      <c r="F42" s="674">
        <f>(F13/F41)*100</f>
        <v>5.9107832368325592</v>
      </c>
      <c r="G42" s="674">
        <f>(G13/G41)*100</f>
        <v>6.0577698900205723</v>
      </c>
      <c r="H42" s="385">
        <v>0</v>
      </c>
    </row>
    <row r="43" spans="1:10" x14ac:dyDescent="0.2">
      <c r="A43" s="417" t="s">
        <v>1743</v>
      </c>
      <c r="B43" s="601"/>
      <c r="C43" s="601"/>
      <c r="D43" s="601"/>
      <c r="E43" s="720" t="s">
        <v>1744</v>
      </c>
      <c r="F43" s="721" t="s">
        <v>1745</v>
      </c>
      <c r="G43" s="674">
        <f>(G38/G39)*100</f>
        <v>4.8853060347310677</v>
      </c>
      <c r="H43" s="385">
        <v>0</v>
      </c>
    </row>
    <row r="44" spans="1:10" x14ac:dyDescent="0.2">
      <c r="A44" s="704" t="s">
        <v>1746</v>
      </c>
      <c r="B44" s="507"/>
      <c r="C44" s="507"/>
      <c r="D44" s="507"/>
      <c r="E44" s="387">
        <v>0</v>
      </c>
      <c r="F44" s="524">
        <v>0</v>
      </c>
      <c r="G44" s="387">
        <v>0</v>
      </c>
      <c r="H44" s="707">
        <v>0</v>
      </c>
    </row>
    <row r="45" spans="1:10" x14ac:dyDescent="0.2">
      <c r="A45" s="580" t="s">
        <v>1747</v>
      </c>
      <c r="B45" s="417"/>
      <c r="C45" s="601"/>
      <c r="D45" s="601"/>
      <c r="E45" s="674">
        <v>0</v>
      </c>
      <c r="F45" s="604">
        <v>0</v>
      </c>
      <c r="G45" s="674">
        <v>0</v>
      </c>
      <c r="H45" s="385">
        <v>0</v>
      </c>
    </row>
    <row r="46" spans="1:10" s="3" customFormat="1" ht="8.25" x14ac:dyDescent="0.15">
      <c r="A46" s="3" t="s">
        <v>594</v>
      </c>
      <c r="E46" s="329"/>
      <c r="F46" s="329"/>
      <c r="G46" s="329"/>
      <c r="H46" s="329"/>
    </row>
    <row r="47" spans="1:10" x14ac:dyDescent="0.2">
      <c r="A47" s="718" t="s">
        <v>1748</v>
      </c>
      <c r="B47" s="702"/>
      <c r="C47" s="702"/>
      <c r="D47" s="702"/>
      <c r="E47" s="712" t="s">
        <v>1713</v>
      </c>
      <c r="F47" s="1191" t="s">
        <v>1714</v>
      </c>
      <c r="G47" s="1192"/>
      <c r="H47" s="1193"/>
    </row>
    <row r="48" spans="1:10" x14ac:dyDescent="0.2">
      <c r="A48" s="704"/>
      <c r="B48" s="507"/>
      <c r="C48" s="507"/>
      <c r="D48" s="507"/>
      <c r="E48" s="713" t="s">
        <v>1698</v>
      </c>
      <c r="F48" s="828" t="s">
        <v>1715</v>
      </c>
      <c r="G48" s="712" t="s">
        <v>1715</v>
      </c>
      <c r="H48" s="829" t="s">
        <v>1716</v>
      </c>
    </row>
    <row r="49" spans="1:10" x14ac:dyDescent="0.2">
      <c r="A49" s="704"/>
      <c r="B49" s="507"/>
      <c r="C49" s="507"/>
      <c r="D49" s="507"/>
      <c r="E49" s="713" t="s">
        <v>1699</v>
      </c>
      <c r="F49" s="828" t="s">
        <v>1717</v>
      </c>
      <c r="G49" s="713" t="s">
        <v>2610</v>
      </c>
      <c r="H49" s="829" t="s">
        <v>1717</v>
      </c>
    </row>
    <row r="50" spans="1:10" x14ac:dyDescent="0.2">
      <c r="A50" s="704" t="s">
        <v>1749</v>
      </c>
      <c r="B50" s="507"/>
      <c r="C50" s="507"/>
      <c r="D50" s="507"/>
      <c r="E50" s="387">
        <v>0</v>
      </c>
      <c r="F50" s="524">
        <v>0</v>
      </c>
      <c r="G50" s="387">
        <v>0</v>
      </c>
      <c r="H50" s="707">
        <v>0</v>
      </c>
    </row>
    <row r="51" spans="1:10" x14ac:dyDescent="0.2">
      <c r="A51" s="1197" t="s">
        <v>1750</v>
      </c>
      <c r="B51" s="1198"/>
      <c r="C51" s="1198"/>
      <c r="D51" s="1199"/>
      <c r="E51" s="387">
        <v>693780.15</v>
      </c>
      <c r="F51" s="524">
        <v>693780.15</v>
      </c>
      <c r="G51" s="387">
        <v>693780.15</v>
      </c>
      <c r="H51" s="707">
        <v>0</v>
      </c>
      <c r="I51" s="327"/>
    </row>
    <row r="52" spans="1:10" x14ac:dyDescent="0.2">
      <c r="A52" s="704" t="s">
        <v>1751</v>
      </c>
      <c r="B52" s="507"/>
      <c r="C52" s="507"/>
      <c r="D52" s="507"/>
      <c r="E52" s="387">
        <v>202951957.91999999</v>
      </c>
      <c r="F52" s="524">
        <v>202951957.91999999</v>
      </c>
      <c r="G52" s="387">
        <v>566987957.32000005</v>
      </c>
      <c r="H52" s="707">
        <v>0</v>
      </c>
    </row>
    <row r="53" spans="1:10" ht="12.75" x14ac:dyDescent="0.2">
      <c r="A53" s="704" t="s">
        <v>1762</v>
      </c>
      <c r="B53" s="507"/>
      <c r="C53" s="507"/>
      <c r="D53" s="507"/>
      <c r="E53" s="387">
        <v>4720024.5599999996</v>
      </c>
      <c r="F53" s="843">
        <f>2133397.38</f>
        <v>2133397.38</v>
      </c>
      <c r="G53" s="387">
        <v>1611859.74</v>
      </c>
      <c r="H53" s="707">
        <v>0</v>
      </c>
      <c r="J53" s="314"/>
    </row>
    <row r="54" spans="1:10" x14ac:dyDescent="0.2">
      <c r="A54" s="704" t="s">
        <v>1752</v>
      </c>
      <c r="B54" s="507"/>
      <c r="C54" s="507"/>
      <c r="D54" s="507"/>
      <c r="E54" s="387">
        <v>0</v>
      </c>
      <c r="F54" s="524">
        <v>0</v>
      </c>
      <c r="G54" s="387">
        <v>0</v>
      </c>
      <c r="H54" s="707">
        <v>0</v>
      </c>
    </row>
    <row r="55" spans="1:10" x14ac:dyDescent="0.2">
      <c r="A55" s="704" t="s">
        <v>1753</v>
      </c>
      <c r="B55" s="507"/>
      <c r="C55" s="507"/>
      <c r="D55" s="507"/>
      <c r="E55" s="387">
        <v>0</v>
      </c>
      <c r="F55" s="524">
        <v>0</v>
      </c>
      <c r="G55" s="387">
        <v>0</v>
      </c>
      <c r="H55" s="707">
        <v>0</v>
      </c>
    </row>
    <row r="56" spans="1:10" x14ac:dyDescent="0.2">
      <c r="A56" s="580" t="s">
        <v>1754</v>
      </c>
      <c r="B56" s="573"/>
      <c r="C56" s="573"/>
      <c r="D56" s="573"/>
      <c r="E56" s="649">
        <v>0</v>
      </c>
      <c r="F56" s="708">
        <v>0</v>
      </c>
      <c r="G56" s="649">
        <v>0</v>
      </c>
      <c r="H56" s="688">
        <v>0</v>
      </c>
    </row>
    <row r="57" spans="1:10" x14ac:dyDescent="0.2">
      <c r="A57" s="851" t="s">
        <v>1755</v>
      </c>
      <c r="B57" s="851"/>
    </row>
    <row r="58" spans="1:10" x14ac:dyDescent="0.2">
      <c r="A58" s="851" t="s">
        <v>1756</v>
      </c>
      <c r="B58" s="851"/>
    </row>
    <row r="59" spans="1:10" x14ac:dyDescent="0.2">
      <c r="A59" s="851" t="s">
        <v>1757</v>
      </c>
      <c r="B59" s="851"/>
    </row>
    <row r="60" spans="1:10" x14ac:dyDescent="0.2">
      <c r="A60" s="851" t="s">
        <v>1758</v>
      </c>
      <c r="B60" s="851"/>
    </row>
    <row r="61" spans="1:10" x14ac:dyDescent="0.2">
      <c r="A61" s="851" t="s">
        <v>1759</v>
      </c>
      <c r="B61" s="851"/>
    </row>
    <row r="62" spans="1:10" x14ac:dyDescent="0.2">
      <c r="A62" s="851" t="s">
        <v>1760</v>
      </c>
      <c r="B62" s="851"/>
    </row>
    <row r="63" spans="1:10" x14ac:dyDescent="0.2">
      <c r="A63" s="851" t="s">
        <v>1763</v>
      </c>
      <c r="B63" s="851"/>
      <c r="E63" s="327">
        <f>RCL!C29</f>
        <v>129745178.91</v>
      </c>
    </row>
    <row r="64" spans="1:10" x14ac:dyDescent="0.2">
      <c r="A64" s="851" t="s">
        <v>2622</v>
      </c>
      <c r="B64" s="851"/>
    </row>
    <row r="65" spans="1:8" x14ac:dyDescent="0.2">
      <c r="A65" s="851" t="s">
        <v>2620</v>
      </c>
      <c r="B65" s="851"/>
    </row>
    <row r="66" spans="1:8" x14ac:dyDescent="0.2">
      <c r="A66" s="1" t="s">
        <v>2621</v>
      </c>
    </row>
    <row r="68" spans="1:8" x14ac:dyDescent="0.2">
      <c r="H68" s="40"/>
    </row>
    <row r="81" spans="1:2" x14ac:dyDescent="0.2">
      <c r="A81" s="841"/>
      <c r="B81" s="841"/>
    </row>
    <row r="82" spans="1:2" x14ac:dyDescent="0.2">
      <c r="A82" s="841"/>
      <c r="B82" s="841"/>
    </row>
  </sheetData>
  <mergeCells count="5">
    <mergeCell ref="A40:D40"/>
    <mergeCell ref="F10:H10"/>
    <mergeCell ref="F47:H47"/>
    <mergeCell ref="A41:D41"/>
    <mergeCell ref="A51:D51"/>
  </mergeCells>
  <pageMargins left="0.511811024" right="0.511811024" top="0.78740157499999996" bottom="0.78740157499999996" header="0.31496062000000002" footer="0.31496062000000002"/>
  <pageSetup paperSize="9" orientation="portrait" horizontalDpi="0" verticalDpi="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2"/>
  <sheetViews>
    <sheetView zoomScale="130" zoomScaleNormal="130" workbookViewId="0">
      <selection activeCell="C31" sqref="C31:C32"/>
    </sheetView>
  </sheetViews>
  <sheetFormatPr defaultRowHeight="15" x14ac:dyDescent="0.25"/>
  <cols>
    <col min="1" max="1" width="69.5703125" customWidth="1"/>
    <col min="2" max="2" width="12.85546875" customWidth="1"/>
    <col min="3" max="3" width="12.5703125" style="1" bestFit="1" customWidth="1"/>
    <col min="4" max="4" width="11.42578125" style="1" bestFit="1" customWidth="1"/>
    <col min="5" max="5" width="12.28515625" style="1" customWidth="1"/>
    <col min="6" max="6" width="11.7109375" style="1" customWidth="1"/>
    <col min="7" max="7" width="12.42578125" style="1" customWidth="1"/>
    <col min="8" max="8" width="12.7109375" style="1" customWidth="1"/>
    <col min="9" max="10" width="11.7109375" style="1" customWidth="1"/>
    <col min="11" max="11" width="11.42578125" style="1" bestFit="1" customWidth="1"/>
    <col min="12" max="12" width="11" style="1" customWidth="1"/>
    <col min="13" max="13" width="12.5703125" style="1" customWidth="1"/>
    <col min="14" max="14" width="10.5703125" style="1" bestFit="1" customWidth="1"/>
    <col min="15" max="15" width="11.7109375" style="1" bestFit="1" customWidth="1"/>
    <col min="16" max="16" width="11" style="1" bestFit="1" customWidth="1"/>
    <col min="17" max="17" width="9.5703125" style="1" bestFit="1" customWidth="1"/>
    <col min="18" max="16384" width="9.140625" style="1"/>
  </cols>
  <sheetData>
    <row r="1" spans="1:18" x14ac:dyDescent="0.25">
      <c r="A1" s="555" t="s">
        <v>1765</v>
      </c>
      <c r="D1" s="399" t="s">
        <v>1819</v>
      </c>
      <c r="F1" s="39" t="s">
        <v>366</v>
      </c>
      <c r="H1" s="39"/>
      <c r="I1" s="2" t="s">
        <v>0</v>
      </c>
      <c r="M1" s="2"/>
      <c r="N1" s="399" t="s">
        <v>1819</v>
      </c>
      <c r="R1" s="39" t="s">
        <v>367</v>
      </c>
    </row>
    <row r="2" spans="1:18" x14ac:dyDescent="0.25">
      <c r="A2" s="728" t="s">
        <v>1767</v>
      </c>
      <c r="B2" s="1200" t="s">
        <v>1818</v>
      </c>
      <c r="C2" s="1200"/>
      <c r="D2" s="281">
        <v>45078</v>
      </c>
      <c r="E2" s="281">
        <v>45047</v>
      </c>
      <c r="F2" s="281">
        <v>45017</v>
      </c>
      <c r="G2" s="281">
        <v>44986</v>
      </c>
      <c r="H2" s="281">
        <v>44958</v>
      </c>
      <c r="I2" s="281">
        <v>44927</v>
      </c>
      <c r="J2" s="281">
        <v>44896</v>
      </c>
      <c r="K2" s="281">
        <v>44866</v>
      </c>
      <c r="L2" s="281">
        <v>44835</v>
      </c>
      <c r="M2" s="281">
        <v>44805</v>
      </c>
      <c r="N2" s="281">
        <v>44774</v>
      </c>
      <c r="O2" s="281">
        <v>44743</v>
      </c>
    </row>
    <row r="3" spans="1:18" ht="15.75" thickBot="1" x14ac:dyDescent="0.3">
      <c r="A3" s="729" t="s">
        <v>12</v>
      </c>
      <c r="B3" s="730" t="s">
        <v>1768</v>
      </c>
      <c r="C3" s="727" t="s">
        <v>4</v>
      </c>
      <c r="D3" s="282" t="s">
        <v>6</v>
      </c>
      <c r="E3" s="24" t="s">
        <v>7</v>
      </c>
      <c r="F3" s="22" t="s">
        <v>8</v>
      </c>
      <c r="G3" s="24" t="s">
        <v>350</v>
      </c>
      <c r="H3" s="22" t="s">
        <v>351</v>
      </c>
      <c r="I3" s="24" t="s">
        <v>352</v>
      </c>
      <c r="J3" s="22" t="s">
        <v>353</v>
      </c>
      <c r="K3" s="24" t="s">
        <v>354</v>
      </c>
      <c r="L3" s="22" t="s">
        <v>355</v>
      </c>
      <c r="M3" s="24" t="s">
        <v>356</v>
      </c>
      <c r="N3" s="22" t="s">
        <v>357</v>
      </c>
      <c r="O3" s="24" t="s">
        <v>358</v>
      </c>
    </row>
    <row r="4" spans="1:18" ht="15.75" thickBot="1" x14ac:dyDescent="0.3">
      <c r="A4" s="731" t="s">
        <v>1</v>
      </c>
      <c r="B4" s="732"/>
      <c r="C4" s="742">
        <f>C5-C6</f>
        <v>149676126.15000001</v>
      </c>
      <c r="D4" s="758">
        <f>D5-D6</f>
        <v>11797671.649999999</v>
      </c>
      <c r="E4" s="758">
        <f>E5-E6</f>
        <v>13389292.91</v>
      </c>
      <c r="F4" s="759">
        <f>F5-F6</f>
        <v>12640023.810000001</v>
      </c>
      <c r="G4" s="759">
        <f t="shared" ref="G4:O4" si="0">G5-G6</f>
        <v>13654040.1</v>
      </c>
      <c r="H4" s="759">
        <f t="shared" si="0"/>
        <v>11854362.07</v>
      </c>
      <c r="I4" s="759">
        <f t="shared" si="0"/>
        <v>13457713.41</v>
      </c>
      <c r="J4" s="759">
        <f t="shared" si="0"/>
        <v>16871300.030000001</v>
      </c>
      <c r="K4" s="759">
        <f t="shared" si="0"/>
        <v>10898205.16</v>
      </c>
      <c r="L4" s="759">
        <f t="shared" si="0"/>
        <v>11519412.220000001</v>
      </c>
      <c r="M4" s="759">
        <f t="shared" si="0"/>
        <v>10920544.790000001</v>
      </c>
      <c r="N4" s="759">
        <f t="shared" si="0"/>
        <v>10723446.91</v>
      </c>
      <c r="O4" s="759">
        <f t="shared" si="0"/>
        <v>11950113.09</v>
      </c>
      <c r="P4" s="327"/>
    </row>
    <row r="5" spans="1:18" x14ac:dyDescent="0.25">
      <c r="A5" s="733" t="s">
        <v>2</v>
      </c>
      <c r="B5" s="734" t="s">
        <v>1769</v>
      </c>
      <c r="C5" s="743">
        <f>SUM(D5:O5)</f>
        <v>165634523.71000001</v>
      </c>
      <c r="D5" s="671">
        <v>13019105.359999999</v>
      </c>
      <c r="E5" s="671">
        <v>14875937.33</v>
      </c>
      <c r="F5" s="671">
        <f>13983443.81</f>
        <v>13983443.810000001</v>
      </c>
      <c r="G5" s="671">
        <v>14715118.18</v>
      </c>
      <c r="H5" s="671">
        <v>13202654.1</v>
      </c>
      <c r="I5" s="671">
        <f>15151342.37</f>
        <v>15151342.369999999</v>
      </c>
      <c r="J5" s="671">
        <f>18787626.17</f>
        <v>18787626.170000002</v>
      </c>
      <c r="K5" s="671">
        <f>12217609.16</f>
        <v>12217609.16</v>
      </c>
      <c r="L5" s="671">
        <f>12709999.32</f>
        <v>12709999.32</v>
      </c>
      <c r="M5" s="671">
        <f>12015391.06</f>
        <v>12015391.060000001</v>
      </c>
      <c r="N5" s="671">
        <f>11887679.67</f>
        <v>11887679.67</v>
      </c>
      <c r="O5" s="671">
        <f>13068617.18</f>
        <v>13068617.18</v>
      </c>
      <c r="P5" s="327"/>
    </row>
    <row r="6" spans="1:18" ht="15.75" thickBot="1" x14ac:dyDescent="0.3">
      <c r="A6" s="735" t="s">
        <v>1770</v>
      </c>
      <c r="B6" s="736" t="s">
        <v>1771</v>
      </c>
      <c r="C6" s="744">
        <f>SUM(D6:O6)</f>
        <v>15958397.559999999</v>
      </c>
      <c r="D6" s="671">
        <f>1221433.71</f>
        <v>1221433.71</v>
      </c>
      <c r="E6" s="671">
        <f>1486644.42</f>
        <v>1486644.42</v>
      </c>
      <c r="F6" s="671">
        <f>1343420</f>
        <v>1343420</v>
      </c>
      <c r="G6" s="671">
        <v>1061078.08</v>
      </c>
      <c r="H6" s="671">
        <f>1348292.03</f>
        <v>1348292.03</v>
      </c>
      <c r="I6" s="671">
        <f>1693628.96</f>
        <v>1693628.96</v>
      </c>
      <c r="J6" s="671">
        <f>1916326.14</f>
        <v>1916326.14</v>
      </c>
      <c r="K6" s="671">
        <f>1319404</f>
        <v>1319404</v>
      </c>
      <c r="L6" s="671">
        <f>1190587.1</f>
        <v>1190587.1000000001</v>
      </c>
      <c r="M6" s="671">
        <f>1094846.27</f>
        <v>1094846.27</v>
      </c>
      <c r="N6" s="671">
        <f>1164232.76</f>
        <v>1164232.76</v>
      </c>
      <c r="O6" s="671">
        <f>1118504.09</f>
        <v>1118504.0900000001</v>
      </c>
    </row>
    <row r="7" spans="1:18" s="2" customFormat="1" ht="15.75" thickBot="1" x14ac:dyDescent="0.3">
      <c r="A7" s="731" t="s">
        <v>1772</v>
      </c>
      <c r="B7" s="732"/>
      <c r="C7" s="742">
        <f t="shared" ref="C7" si="1">C8+C12+C13+C14+C17+C20+C15+C16</f>
        <v>19661454.240000006</v>
      </c>
      <c r="D7" s="742">
        <f>D8+D12+D13+D14+D17+D20+D15+D16</f>
        <v>2039339.8899999997</v>
      </c>
      <c r="E7" s="742">
        <f>E8+E12+E13+E14+E17+E20+E15+E16</f>
        <v>1917060.0899999999</v>
      </c>
      <c r="F7" s="742">
        <f t="shared" ref="F7" si="2">F8+F12+F13+F14+F17+F20+F15+F16</f>
        <v>1824204.3299999998</v>
      </c>
      <c r="G7" s="742">
        <f t="shared" ref="G7" si="3">G8+G12+G13+G14+G17+G20+G15+G16</f>
        <v>2027727.3099999998</v>
      </c>
      <c r="H7" s="742">
        <f t="shared" ref="H7" si="4">H8+H12+H13+H14+H17+H20+H15+H16</f>
        <v>1784988.3400000003</v>
      </c>
      <c r="I7" s="742">
        <f t="shared" ref="I7" si="5">I8+I12+I13+I14+I17+I20+I15+I16</f>
        <v>1832155.4</v>
      </c>
      <c r="J7" s="742">
        <f t="shared" ref="J7" si="6">J8+J12+J13+J14+J17+J20+J15+J16</f>
        <v>2545623.2499999995</v>
      </c>
      <c r="K7" s="742">
        <f t="shared" ref="K7" si="7">K8+K12+K13+K14+K17+K20+K15+K16</f>
        <v>1472328.1</v>
      </c>
      <c r="L7" s="742">
        <f t="shared" ref="L7" si="8">L8+L12+L13+L14+L17+L20+L15+L16</f>
        <v>1845874.36</v>
      </c>
      <c r="M7" s="742">
        <f t="shared" ref="M7" si="9">M8+M12+M13+M14+M17+M20+M15+M16</f>
        <v>1510387.6600000001</v>
      </c>
      <c r="N7" s="742">
        <f t="shared" ref="N7" si="10">N8+N12+N13+N14+N17+N20+N15+N16</f>
        <v>1656931.0499999998</v>
      </c>
      <c r="O7" s="742">
        <f t="shared" ref="O7" si="11">O8+O12+O13+O14+O17+O20+O15+O16</f>
        <v>1440803.67</v>
      </c>
    </row>
    <row r="8" spans="1:18" s="2" customFormat="1" x14ac:dyDescent="0.25">
      <c r="A8" s="733" t="s">
        <v>1773</v>
      </c>
      <c r="B8" s="737" t="s">
        <v>1774</v>
      </c>
      <c r="C8" s="745">
        <f>SUM(C9:C11)</f>
        <v>9595385.3000000007</v>
      </c>
      <c r="D8" s="745">
        <f>SUM(D9:D16)</f>
        <v>961649.90999999992</v>
      </c>
      <c r="E8" s="745">
        <f t="shared" ref="E8:N8" si="12">SUM(E9:E16)</f>
        <v>962875.14</v>
      </c>
      <c r="F8" s="745">
        <f t="shared" si="12"/>
        <v>978178.99</v>
      </c>
      <c r="G8" s="745">
        <f t="shared" si="12"/>
        <v>950433.08999999985</v>
      </c>
      <c r="H8" s="745">
        <f t="shared" si="12"/>
        <v>917225.24000000022</v>
      </c>
      <c r="I8" s="745">
        <f t="shared" si="12"/>
        <v>932729.09000000008</v>
      </c>
      <c r="J8" s="745">
        <f t="shared" si="12"/>
        <v>1611041.3099999996</v>
      </c>
      <c r="K8" s="745">
        <f t="shared" si="12"/>
        <v>937055.45000000007</v>
      </c>
      <c r="L8" s="745">
        <f t="shared" si="12"/>
        <v>923348.16</v>
      </c>
      <c r="M8" s="745">
        <f t="shared" si="12"/>
        <v>854738.22</v>
      </c>
      <c r="N8" s="745">
        <f t="shared" si="12"/>
        <v>949054.8899999999</v>
      </c>
      <c r="O8" s="745">
        <f>SUM(O9:O16)</f>
        <v>853025.02</v>
      </c>
    </row>
    <row r="9" spans="1:18" s="2" customFormat="1" ht="11.25" x14ac:dyDescent="0.2">
      <c r="A9" s="738" t="s">
        <v>1775</v>
      </c>
      <c r="B9" s="761"/>
      <c r="C9" s="746">
        <f>SUM(D9:O9)</f>
        <v>7588747.1800000016</v>
      </c>
      <c r="D9" s="673">
        <f>426202.06+158054.11+9175.47</f>
        <v>593431.6399999999</v>
      </c>
      <c r="E9" s="673">
        <f>426915.31+159691.78+9400.63+12341.86</f>
        <v>608349.57999999996</v>
      </c>
      <c r="F9" s="673">
        <f>432038.33+158358.01+9400.63</f>
        <v>599796.97000000009</v>
      </c>
      <c r="G9" s="673">
        <f>438327.17+153735.24+9400.63</f>
        <v>601463.03999999992</v>
      </c>
      <c r="H9" s="673">
        <f>413954.73+137782.88+10263.18</f>
        <v>562000.79</v>
      </c>
      <c r="I9" s="673">
        <f>429684.69+152285.87+11733.91</f>
        <v>593704.47000000009</v>
      </c>
      <c r="J9" s="673">
        <f>866875.32+299927.23+17533.53</f>
        <v>1184336.0799999998</v>
      </c>
      <c r="K9" s="673">
        <f>428888.81+153379.73+8744.69</f>
        <v>591013.23</v>
      </c>
      <c r="L9" s="673">
        <f>425972.73+280838.94-120597.13</f>
        <v>586214.53999999992</v>
      </c>
      <c r="M9" s="673">
        <f>412345.91+8631.35+138512.18</f>
        <v>559489.43999999994</v>
      </c>
      <c r="N9" s="673">
        <f>408401.91+137755.5+8602.75</f>
        <v>554760.15999999992</v>
      </c>
      <c r="O9" s="673">
        <f>408434.58+137060.72+8691.94</f>
        <v>554187.24</v>
      </c>
    </row>
    <row r="10" spans="1:18" s="2" customFormat="1" ht="11.25" x14ac:dyDescent="0.2">
      <c r="A10" s="738" t="s">
        <v>1827</v>
      </c>
      <c r="B10" s="761"/>
      <c r="C10" s="647">
        <v>27152.42</v>
      </c>
      <c r="D10" s="673"/>
      <c r="E10" s="673"/>
      <c r="F10" s="673"/>
      <c r="G10" s="673"/>
      <c r="H10" s="673"/>
      <c r="I10" s="673"/>
      <c r="J10" s="673"/>
      <c r="K10" s="673"/>
      <c r="L10" s="673"/>
      <c r="M10" s="673"/>
      <c r="N10" s="673"/>
      <c r="O10" s="673"/>
    </row>
    <row r="11" spans="1:18" s="3" customFormat="1" ht="11.25" x14ac:dyDescent="0.2">
      <c r="A11" s="738" t="s">
        <v>1776</v>
      </c>
      <c r="B11" s="761" t="s">
        <v>1820</v>
      </c>
      <c r="C11" s="746">
        <f>SUM(D11:O11)</f>
        <v>1979485.7</v>
      </c>
      <c r="D11" s="671">
        <f>94083.68+68200.94+7096.01</f>
        <v>169380.63</v>
      </c>
      <c r="E11" s="671">
        <f>93560.97+68259.63+7091.69</f>
        <v>168912.29</v>
      </c>
      <c r="F11" s="671">
        <f>94329.86+68241.46+7123.8</f>
        <v>169695.12</v>
      </c>
      <c r="G11" s="671">
        <f>93294.2+65905.23+7151.89-(1150+210.42)</f>
        <v>164990.9</v>
      </c>
      <c r="H11" s="671">
        <f>96046.76+62274.92+7063.89</f>
        <v>165385.57</v>
      </c>
      <c r="I11" s="671">
        <f>98955.98+63450.23+7009</f>
        <v>169415.21</v>
      </c>
      <c r="J11" s="671">
        <f>95446.79+70534.71</f>
        <v>165981.5</v>
      </c>
      <c r="K11" s="671">
        <f>99109.08+70430.19-247.85</f>
        <v>169291.42</v>
      </c>
      <c r="L11" s="671">
        <f>93694.45+69984.24-46.25</f>
        <v>163632.44</v>
      </c>
      <c r="M11" s="671">
        <f>89971.79+67663.34</f>
        <v>157635.13</v>
      </c>
      <c r="N11" s="671">
        <f>89883.83+67421.24-201.6</f>
        <v>157103.47</v>
      </c>
      <c r="O11" s="671">
        <f>91117.4+67205.98-261.36</f>
        <v>158062.02000000002</v>
      </c>
    </row>
    <row r="12" spans="1:18" s="2" customFormat="1" ht="11.25" x14ac:dyDescent="0.2">
      <c r="A12" s="648" t="s">
        <v>1821</v>
      </c>
      <c r="B12" s="746" t="s">
        <v>1777</v>
      </c>
      <c r="C12" s="746">
        <f>SUM(D12:O12)</f>
        <v>518742.32000000007</v>
      </c>
      <c r="D12" s="766">
        <f>44248.32</f>
        <v>44248.32</v>
      </c>
      <c r="E12" s="766">
        <v>44248.32</v>
      </c>
      <c r="F12" s="766">
        <v>44248.32</v>
      </c>
      <c r="G12" s="766">
        <f>44248.32</f>
        <v>44248.32</v>
      </c>
      <c r="H12" s="766">
        <f>41771.66</f>
        <v>41771.660000000003</v>
      </c>
      <c r="I12" s="766">
        <f>41771.66</f>
        <v>41771.660000000003</v>
      </c>
      <c r="J12" s="766">
        <v>86851.64</v>
      </c>
      <c r="K12" s="766">
        <f>41771.66</f>
        <v>41771.660000000003</v>
      </c>
      <c r="L12" s="766">
        <f>41771.66</f>
        <v>41771.660000000003</v>
      </c>
      <c r="M12" s="766"/>
      <c r="N12" s="766">
        <f>87810.76</f>
        <v>87810.76</v>
      </c>
      <c r="O12" s="766"/>
    </row>
    <row r="13" spans="1:18" s="2" customFormat="1" ht="11.25" x14ac:dyDescent="0.2">
      <c r="A13" s="648" t="s">
        <v>1833</v>
      </c>
      <c r="B13" s="760">
        <f>SUM(D13:I13)-11640.15</f>
        <v>0</v>
      </c>
      <c r="C13" s="746">
        <f>SUM(D13:O13)</f>
        <v>25608.32</v>
      </c>
      <c r="D13" s="766">
        <v>2328.0300000000002</v>
      </c>
      <c r="E13" s="766">
        <v>2328.0300000000002</v>
      </c>
      <c r="F13" s="766">
        <f>2328.03</f>
        <v>2328.0300000000002</v>
      </c>
      <c r="G13" s="766">
        <v>2328.0300000000002</v>
      </c>
      <c r="H13" s="766">
        <v>2328.0300000000002</v>
      </c>
      <c r="I13" s="766"/>
      <c r="J13" s="766">
        <v>2328.0300000000002</v>
      </c>
      <c r="K13" s="766">
        <f>2328.03</f>
        <v>2328.0300000000002</v>
      </c>
      <c r="L13" s="766">
        <f>2328.03</f>
        <v>2328.0300000000002</v>
      </c>
      <c r="M13" s="766">
        <f>2328.03</f>
        <v>2328.0300000000002</v>
      </c>
      <c r="N13" s="766">
        <f>2328.02</f>
        <v>2328.02</v>
      </c>
      <c r="O13" s="766">
        <f>2328.03</f>
        <v>2328.0300000000002</v>
      </c>
    </row>
    <row r="14" spans="1:18" s="2" customFormat="1" ht="11.25" x14ac:dyDescent="0.2">
      <c r="A14" s="648" t="s">
        <v>1832</v>
      </c>
      <c r="B14" s="648"/>
      <c r="C14" s="746">
        <f>SUM(D14:O14)</f>
        <v>1691618.5699999998</v>
      </c>
      <c r="D14" s="767">
        <f>152261.29</f>
        <v>152261.29</v>
      </c>
      <c r="E14" s="767">
        <f>139036.92</f>
        <v>139036.92000000001</v>
      </c>
      <c r="F14" s="767">
        <f>162110.55</f>
        <v>162110.54999999999</v>
      </c>
      <c r="G14" s="767">
        <f>137402.8</f>
        <v>137402.79999999999</v>
      </c>
      <c r="H14" s="767">
        <f>145739.19</f>
        <v>145739.19</v>
      </c>
      <c r="I14" s="767">
        <f>127820.76+16.99</f>
        <v>127837.75</v>
      </c>
      <c r="J14" s="767">
        <v>144391.64000000001</v>
      </c>
      <c r="K14" s="767">
        <f>132651.11</f>
        <v>132651.10999999999</v>
      </c>
      <c r="L14" s="767">
        <f>129401.49</f>
        <v>129401.49</v>
      </c>
      <c r="M14" s="767">
        <f>135285.62</f>
        <v>135285.62</v>
      </c>
      <c r="N14" s="767">
        <f>147052.48</f>
        <v>147052.48000000001</v>
      </c>
      <c r="O14" s="767">
        <f>138447.73</f>
        <v>138447.73000000001</v>
      </c>
    </row>
    <row r="15" spans="1:18" s="2" customFormat="1" ht="11.25" x14ac:dyDescent="0.2">
      <c r="A15" s="648" t="s">
        <v>1824</v>
      </c>
      <c r="B15" s="648" t="s">
        <v>463</v>
      </c>
      <c r="C15" s="746">
        <f t="shared" ref="C15:C16" si="13">SUM(D15:O15)</f>
        <v>0</v>
      </c>
      <c r="D15" s="674"/>
      <c r="E15" s="674"/>
      <c r="F15" s="674"/>
      <c r="G15" s="674"/>
      <c r="H15" s="674"/>
      <c r="I15" s="674"/>
      <c r="J15" s="674"/>
      <c r="K15" s="674"/>
      <c r="L15" s="674"/>
      <c r="M15" s="674"/>
      <c r="N15" s="674"/>
      <c r="O15" s="674"/>
    </row>
    <row r="16" spans="1:18" s="2" customFormat="1" ht="11.25" x14ac:dyDescent="0.2">
      <c r="A16" s="648" t="s">
        <v>1825</v>
      </c>
      <c r="B16" s="648" t="s">
        <v>464</v>
      </c>
      <c r="C16" s="746">
        <f t="shared" si="13"/>
        <v>27152.42</v>
      </c>
      <c r="D16" s="674"/>
      <c r="E16" s="674"/>
      <c r="F16" s="674"/>
      <c r="G16" s="674"/>
      <c r="H16" s="674"/>
      <c r="I16" s="674"/>
      <c r="J16" s="674">
        <v>27152.42</v>
      </c>
      <c r="K16" s="674"/>
      <c r="L16" s="674"/>
      <c r="M16" s="674"/>
      <c r="N16" s="674"/>
      <c r="O16" s="674"/>
    </row>
    <row r="17" spans="1:17" s="3" customFormat="1" x14ac:dyDescent="0.25">
      <c r="A17" s="739" t="s">
        <v>1778</v>
      </c>
      <c r="B17" s="740"/>
      <c r="C17" s="747">
        <f>SUM(C18:C19)</f>
        <v>6241962.7200000016</v>
      </c>
      <c r="D17" s="747">
        <f>SUM(D18:D19)</f>
        <v>754206.90999999992</v>
      </c>
      <c r="E17" s="747">
        <f>SUM(E18:E19)</f>
        <v>643889.68000000005</v>
      </c>
      <c r="F17" s="747">
        <f t="shared" ref="F17:O17" si="14">SUM(F18:F19)</f>
        <v>514389.75</v>
      </c>
      <c r="G17" s="747">
        <f t="shared" si="14"/>
        <v>757876.49</v>
      </c>
      <c r="H17" s="747">
        <f t="shared" si="14"/>
        <v>568532.54</v>
      </c>
      <c r="I17" s="747">
        <f t="shared" si="14"/>
        <v>607414.69000000006</v>
      </c>
      <c r="J17" s="747">
        <f t="shared" si="14"/>
        <v>465394.21000000008</v>
      </c>
      <c r="K17" s="747">
        <f t="shared" si="14"/>
        <v>254289.85</v>
      </c>
      <c r="L17" s="747">
        <f t="shared" si="14"/>
        <v>644793.02</v>
      </c>
      <c r="M17" s="747">
        <f t="shared" si="14"/>
        <v>413803.79000000004</v>
      </c>
      <c r="N17" s="747">
        <f t="shared" si="14"/>
        <v>366452.89999999997</v>
      </c>
      <c r="O17" s="747">
        <f t="shared" si="14"/>
        <v>250918.89</v>
      </c>
    </row>
    <row r="18" spans="1:17" x14ac:dyDescent="0.25">
      <c r="A18" s="738" t="s">
        <v>1823</v>
      </c>
      <c r="B18" s="740" t="s">
        <v>1779</v>
      </c>
      <c r="C18" s="746">
        <f>SUM(D18:O18)</f>
        <v>5937627.870000002</v>
      </c>
      <c r="D18" s="671">
        <f>720929.97+2928.25</f>
        <v>723858.22</v>
      </c>
      <c r="E18" s="671">
        <f>610820.65+2856.38-80.59</f>
        <v>613596.44000000006</v>
      </c>
      <c r="F18" s="671">
        <f>486956.96+2318.61</f>
        <v>489275.57</v>
      </c>
      <c r="G18" s="671">
        <f>729532.55+2952.49-2861.17</f>
        <v>729623.87</v>
      </c>
      <c r="H18" s="671">
        <f>548707.38+2295.89-6314.48</f>
        <v>544688.79</v>
      </c>
      <c r="I18" s="671">
        <f>578445.66+2770.37-229.97</f>
        <v>580986.06000000006</v>
      </c>
      <c r="J18" s="671">
        <f>658274.17-217966.6</f>
        <v>440307.57000000007</v>
      </c>
      <c r="K18" s="671">
        <f>403157.76-172210.9</f>
        <v>230946.86000000002</v>
      </c>
      <c r="L18" s="671">
        <f>618359.36</f>
        <v>618359.36</v>
      </c>
      <c r="M18" s="671">
        <f>(437508.32-47945.81)-815.56</f>
        <v>388746.95</v>
      </c>
      <c r="N18" s="671">
        <f>349748.56-6010.28</f>
        <v>343738.27999999997</v>
      </c>
      <c r="O18" s="671">
        <f>281732.76-48232.86</f>
        <v>233499.90000000002</v>
      </c>
      <c r="Q18" s="424"/>
    </row>
    <row r="19" spans="1:17" x14ac:dyDescent="0.25">
      <c r="A19" s="738" t="s">
        <v>1822</v>
      </c>
      <c r="B19" s="740" t="s">
        <v>1780</v>
      </c>
      <c r="C19" s="746">
        <f>SUM(D19:O19)</f>
        <v>304334.84999999998</v>
      </c>
      <c r="D19" s="647">
        <f>30348.69</f>
        <v>30348.69</v>
      </c>
      <c r="E19" s="647">
        <f>30293.24</f>
        <v>30293.24</v>
      </c>
      <c r="F19" s="647">
        <f>25114.18</f>
        <v>25114.18</v>
      </c>
      <c r="G19" s="647">
        <f>28252.62</f>
        <v>28252.62</v>
      </c>
      <c r="H19" s="647">
        <f>23843.75</f>
        <v>23843.75</v>
      </c>
      <c r="I19" s="647">
        <f>26428.63</f>
        <v>26428.63</v>
      </c>
      <c r="J19" s="671">
        <f>25086.64</f>
        <v>25086.639999999999</v>
      </c>
      <c r="K19" s="671">
        <f>23342.99</f>
        <v>23342.99</v>
      </c>
      <c r="L19" s="671">
        <f>26433.66</f>
        <v>26433.66</v>
      </c>
      <c r="M19" s="671">
        <f>25056.84</f>
        <v>25056.84</v>
      </c>
      <c r="N19" s="671">
        <f>22714.62</f>
        <v>22714.62</v>
      </c>
      <c r="O19" s="671">
        <f>17418.99</f>
        <v>17418.990000000002</v>
      </c>
    </row>
    <row r="20" spans="1:17" x14ac:dyDescent="0.25">
      <c r="A20" s="765" t="s">
        <v>1826</v>
      </c>
      <c r="B20" s="740"/>
      <c r="C20" s="748">
        <f>SUM(C21:C24)</f>
        <v>1560984.59</v>
      </c>
      <c r="D20" s="748">
        <f>SUM(D21:D24)</f>
        <v>124645.43</v>
      </c>
      <c r="E20" s="748">
        <f>SUM(E21:E24)</f>
        <v>124682</v>
      </c>
      <c r="F20" s="748">
        <f>SUM(F21:F24)</f>
        <v>122948.69</v>
      </c>
      <c r="G20" s="748">
        <f t="shared" ref="G20:O20" si="15">SUM(G21:G24)</f>
        <v>135438.58000000002</v>
      </c>
      <c r="H20" s="748">
        <f t="shared" si="15"/>
        <v>109391.67999999999</v>
      </c>
      <c r="I20" s="748">
        <f t="shared" si="15"/>
        <v>122402.21</v>
      </c>
      <c r="J20" s="748">
        <f t="shared" si="15"/>
        <v>208464</v>
      </c>
      <c r="K20" s="748">
        <f t="shared" si="15"/>
        <v>104232</v>
      </c>
      <c r="L20" s="748">
        <f t="shared" si="15"/>
        <v>104232</v>
      </c>
      <c r="M20" s="748">
        <f t="shared" si="15"/>
        <v>104232</v>
      </c>
      <c r="N20" s="748">
        <f t="shared" si="15"/>
        <v>104232</v>
      </c>
      <c r="O20" s="748">
        <f t="shared" si="15"/>
        <v>196084</v>
      </c>
    </row>
    <row r="21" spans="1:17" ht="11.25" x14ac:dyDescent="0.2">
      <c r="A21" s="648" t="s">
        <v>1786</v>
      </c>
      <c r="B21" s="746" t="s">
        <v>1787</v>
      </c>
      <c r="C21" s="746">
        <f>SUM(D21:O21)</f>
        <v>158.63000000000002</v>
      </c>
      <c r="D21" s="766">
        <v>12.32</v>
      </c>
      <c r="E21" s="766">
        <v>8.5500000000000007</v>
      </c>
      <c r="F21" s="766">
        <v>69.290000000000006</v>
      </c>
      <c r="G21" s="766">
        <f>30.58</f>
        <v>30.58</v>
      </c>
      <c r="H21" s="766">
        <v>23.68</v>
      </c>
      <c r="I21" s="766">
        <v>14.21</v>
      </c>
      <c r="J21" s="766"/>
      <c r="K21" s="766"/>
      <c r="L21" s="766"/>
      <c r="M21" s="766"/>
      <c r="N21" s="766"/>
      <c r="O21" s="766"/>
    </row>
    <row r="22" spans="1:17" ht="11.25" x14ac:dyDescent="0.2">
      <c r="A22" s="648" t="s">
        <v>1788</v>
      </c>
      <c r="B22" s="746" t="s">
        <v>1789</v>
      </c>
      <c r="C22" s="746">
        <f>SUM(D22:O22)</f>
        <v>1637.96</v>
      </c>
      <c r="D22" s="330">
        <f>553.11</f>
        <v>553.11</v>
      </c>
      <c r="E22" s="330">
        <v>593.45000000000005</v>
      </c>
      <c r="F22" s="330">
        <v>491.4</v>
      </c>
      <c r="G22" s="330"/>
      <c r="H22" s="330"/>
      <c r="I22" s="330"/>
      <c r="J22" s="330"/>
      <c r="K22" s="330"/>
      <c r="L22" s="330"/>
      <c r="M22" s="330"/>
      <c r="N22" s="330"/>
      <c r="O22" s="330"/>
    </row>
    <row r="23" spans="1:17" ht="11.25" x14ac:dyDescent="0.2">
      <c r="A23" s="648" t="s">
        <v>1791</v>
      </c>
      <c r="B23" s="746" t="s">
        <v>1790</v>
      </c>
      <c r="C23" s="744">
        <f>SUM(D23:O23)</f>
        <v>1480708</v>
      </c>
      <c r="D23" s="766">
        <v>110880</v>
      </c>
      <c r="E23" s="766">
        <v>110880</v>
      </c>
      <c r="F23" s="766">
        <f>109368</f>
        <v>109368</v>
      </c>
      <c r="G23" s="766">
        <v>109368</v>
      </c>
      <c r="H23" s="766">
        <v>109368</v>
      </c>
      <c r="I23" s="766">
        <f>109368</f>
        <v>109368</v>
      </c>
      <c r="J23" s="766">
        <f>208464</f>
        <v>208464</v>
      </c>
      <c r="K23" s="766">
        <f>104232</f>
        <v>104232</v>
      </c>
      <c r="L23" s="766">
        <f>104232</f>
        <v>104232</v>
      </c>
      <c r="M23" s="766">
        <f>104232</f>
        <v>104232</v>
      </c>
      <c r="N23" s="766">
        <f>104232</f>
        <v>104232</v>
      </c>
      <c r="O23" s="766">
        <f>41078+31772+9306+113928</f>
        <v>196084</v>
      </c>
    </row>
    <row r="24" spans="1:17" ht="12" thickBot="1" x14ac:dyDescent="0.25">
      <c r="A24" s="710" t="s">
        <v>1792</v>
      </c>
      <c r="B24" s="744" t="s">
        <v>807</v>
      </c>
      <c r="C24" s="744">
        <f>SUM(D24:O24)</f>
        <v>78480</v>
      </c>
      <c r="D24" s="766">
        <f>13200</f>
        <v>13200</v>
      </c>
      <c r="E24" s="766">
        <v>13200</v>
      </c>
      <c r="F24" s="766">
        <f>13020</f>
        <v>13020</v>
      </c>
      <c r="G24" s="766">
        <f>26040</f>
        <v>26040</v>
      </c>
      <c r="H24" s="766"/>
      <c r="I24" s="766">
        <v>13020</v>
      </c>
      <c r="J24" s="766"/>
      <c r="K24" s="766"/>
      <c r="L24" s="766"/>
      <c r="M24" s="766"/>
      <c r="N24" s="766"/>
      <c r="O24" s="766"/>
    </row>
    <row r="25" spans="1:17" ht="15.75" thickBot="1" x14ac:dyDescent="0.3">
      <c r="A25" s="763" t="s">
        <v>1781</v>
      </c>
      <c r="B25" s="777"/>
      <c r="C25" s="749">
        <f>C4-C7</f>
        <v>130014671.91</v>
      </c>
      <c r="D25" s="749">
        <f>D4-D7</f>
        <v>9758331.7599999979</v>
      </c>
      <c r="E25" s="749">
        <f t="shared" ref="E25" si="16">E4-E7</f>
        <v>11472232.82</v>
      </c>
      <c r="F25" s="749">
        <f>F4-F7</f>
        <v>10815819.48</v>
      </c>
      <c r="G25" s="749">
        <f t="shared" ref="G25:O25" si="17">G4-G7</f>
        <v>11626312.789999999</v>
      </c>
      <c r="H25" s="749">
        <f t="shared" si="17"/>
        <v>10069373.73</v>
      </c>
      <c r="I25" s="749">
        <f t="shared" si="17"/>
        <v>11625558.01</v>
      </c>
      <c r="J25" s="749">
        <f t="shared" si="17"/>
        <v>14325676.780000001</v>
      </c>
      <c r="K25" s="749">
        <f t="shared" si="17"/>
        <v>9425877.0600000005</v>
      </c>
      <c r="L25" s="749">
        <f t="shared" si="17"/>
        <v>9673537.8600000013</v>
      </c>
      <c r="M25" s="749">
        <f t="shared" si="17"/>
        <v>9410157.1300000008</v>
      </c>
      <c r="N25" s="749">
        <f t="shared" si="17"/>
        <v>9066515.8599999994</v>
      </c>
      <c r="O25" s="749">
        <f t="shared" si="17"/>
        <v>10509309.42</v>
      </c>
    </row>
    <row r="26" spans="1:17" ht="15.75" thickBot="1" x14ac:dyDescent="0.3">
      <c r="A26" s="7" t="s">
        <v>1782</v>
      </c>
      <c r="B26" s="732"/>
      <c r="C26" s="750">
        <f>SUM(D26:O26)</f>
        <v>269493</v>
      </c>
      <c r="D26" s="671"/>
      <c r="E26" s="671"/>
      <c r="F26" s="671">
        <f>108496+10997</f>
        <v>119493</v>
      </c>
      <c r="G26" s="671">
        <f>150000</f>
        <v>150000</v>
      </c>
      <c r="H26" s="671"/>
      <c r="I26" s="671"/>
      <c r="J26" s="671"/>
      <c r="K26" s="671"/>
      <c r="L26" s="671"/>
      <c r="M26" s="671"/>
      <c r="N26" s="671"/>
      <c r="O26" s="671"/>
    </row>
    <row r="27" spans="1:17" ht="15.75" thickBot="1" x14ac:dyDescent="0.3">
      <c r="A27" s="731" t="s">
        <v>1783</v>
      </c>
      <c r="B27" s="741"/>
      <c r="C27" s="749">
        <f>C25-C26</f>
        <v>129745178.91</v>
      </c>
      <c r="D27" s="749">
        <f t="shared" ref="D27" si="18">D25-D26</f>
        <v>9758331.7599999979</v>
      </c>
      <c r="E27" s="749">
        <f t="shared" ref="E27" si="19">E25-E26</f>
        <v>11472232.82</v>
      </c>
      <c r="F27" s="749">
        <f>F25-F26</f>
        <v>10696326.48</v>
      </c>
      <c r="G27" s="749">
        <f t="shared" ref="G27:O27" si="20">G25-G26</f>
        <v>11476312.789999999</v>
      </c>
      <c r="H27" s="749">
        <f t="shared" si="20"/>
        <v>10069373.73</v>
      </c>
      <c r="I27" s="749">
        <f t="shared" si="20"/>
        <v>11625558.01</v>
      </c>
      <c r="J27" s="749">
        <f t="shared" si="20"/>
        <v>14325676.780000001</v>
      </c>
      <c r="K27" s="749">
        <f t="shared" si="20"/>
        <v>9425877.0600000005</v>
      </c>
      <c r="L27" s="749">
        <f t="shared" si="20"/>
        <v>9673537.8600000013</v>
      </c>
      <c r="M27" s="749">
        <f t="shared" si="20"/>
        <v>9410157.1300000008</v>
      </c>
      <c r="N27" s="749">
        <f t="shared" si="20"/>
        <v>9066515.8599999994</v>
      </c>
      <c r="O27" s="749">
        <f t="shared" si="20"/>
        <v>10509309.42</v>
      </c>
    </row>
    <row r="28" spans="1:17" ht="15.75" thickBot="1" x14ac:dyDescent="0.3">
      <c r="A28" s="704" t="s">
        <v>1784</v>
      </c>
      <c r="B28" s="778"/>
      <c r="C28" s="762">
        <f>SUM(D28:O28)</f>
        <v>0</v>
      </c>
      <c r="D28" s="71"/>
      <c r="E28" s="71"/>
      <c r="F28" s="497"/>
      <c r="G28" s="497"/>
      <c r="H28" s="497"/>
      <c r="I28" s="497"/>
      <c r="J28" s="497"/>
      <c r="K28" s="497"/>
      <c r="L28" s="497"/>
      <c r="M28" s="497"/>
      <c r="N28" s="497"/>
      <c r="O28" s="497"/>
    </row>
    <row r="29" spans="1:17" ht="15.75" thickBot="1" x14ac:dyDescent="0.3">
      <c r="A29" s="763" t="s">
        <v>1785</v>
      </c>
      <c r="B29" s="764"/>
      <c r="C29" s="749">
        <f>C27-C28</f>
        <v>129745178.91</v>
      </c>
      <c r="D29" s="749">
        <f t="shared" ref="D29:N29" si="21">D27-D28</f>
        <v>9758331.7599999979</v>
      </c>
      <c r="E29" s="749">
        <f>E27-E28</f>
        <v>11472232.82</v>
      </c>
      <c r="F29" s="749">
        <f t="shared" si="21"/>
        <v>10696326.48</v>
      </c>
      <c r="G29" s="749">
        <f t="shared" si="21"/>
        <v>11476312.789999999</v>
      </c>
      <c r="H29" s="749">
        <f t="shared" si="21"/>
        <v>10069373.73</v>
      </c>
      <c r="I29" s="749">
        <f t="shared" si="21"/>
        <v>11625558.01</v>
      </c>
      <c r="J29" s="749">
        <f t="shared" si="21"/>
        <v>14325676.780000001</v>
      </c>
      <c r="K29" s="749">
        <f t="shared" si="21"/>
        <v>9425877.0600000005</v>
      </c>
      <c r="L29" s="749">
        <f t="shared" si="21"/>
        <v>9673537.8600000013</v>
      </c>
      <c r="M29" s="749">
        <f t="shared" si="21"/>
        <v>9410157.1300000008</v>
      </c>
      <c r="N29" s="749">
        <f t="shared" si="21"/>
        <v>9066515.8599999994</v>
      </c>
      <c r="O29" s="749">
        <f>O27-O28</f>
        <v>10509309.42</v>
      </c>
    </row>
    <row r="30" spans="1:17" s="15" customFormat="1" ht="8.25" x14ac:dyDescent="0.15">
      <c r="A30" s="3" t="s">
        <v>533</v>
      </c>
      <c r="B30" s="3"/>
      <c r="C30" s="3"/>
      <c r="D30" s="302">
        <f>10081814.83-D29</f>
        <v>323483.07000000216</v>
      </c>
      <c r="E30" s="302">
        <f>11782528.09-E29</f>
        <v>310295.26999999955</v>
      </c>
      <c r="F30" s="302">
        <f>11782528.09-F29</f>
        <v>1086201.6099999994</v>
      </c>
      <c r="G30" s="302">
        <f>11945730.52-G29</f>
        <v>469417.73000000045</v>
      </c>
      <c r="H30" s="302">
        <f>10368604.29-H29</f>
        <v>299230.55999999866</v>
      </c>
      <c r="I30" s="302">
        <f>11917569.63-I29</f>
        <v>292011.62000000104</v>
      </c>
      <c r="J30" s="302">
        <f>14794864.51-J29</f>
        <v>469187.72999999858</v>
      </c>
      <c r="K30" s="302">
        <f>9706859.86-K29</f>
        <v>280982.79999999888</v>
      </c>
      <c r="L30" s="302">
        <f>9951271.04-L29</f>
        <v>277733.17999999784</v>
      </c>
      <c r="M30" s="302">
        <f>9652002.78-M29</f>
        <v>241845.64999999851</v>
      </c>
      <c r="N30" s="302">
        <f>9407939.12-N29</f>
        <v>341423.25999999978</v>
      </c>
      <c r="O30" s="302">
        <f>10846169.18-O29</f>
        <v>336859.75999999978</v>
      </c>
    </row>
    <row r="31" spans="1:17" s="15" customFormat="1" ht="8.25" x14ac:dyDescent="0.15">
      <c r="A31" s="3" t="s">
        <v>1834</v>
      </c>
      <c r="B31" s="3"/>
      <c r="C31" s="329"/>
      <c r="D31" s="370"/>
    </row>
    <row r="32" spans="1:17" s="15" customFormat="1" ht="8.25" x14ac:dyDescent="0.15">
      <c r="A32" s="3"/>
      <c r="B32" s="3"/>
      <c r="C32" s="329"/>
      <c r="D32" s="302"/>
    </row>
    <row r="33" spans="1:15" s="15" customFormat="1" x14ac:dyDescent="0.25">
      <c r="A33"/>
      <c r="B33"/>
      <c r="C33" s="1"/>
    </row>
    <row r="34" spans="1:15" x14ac:dyDescent="0.25">
      <c r="D34" s="327"/>
      <c r="E34" s="327"/>
      <c r="F34" s="314"/>
      <c r="G34" s="314"/>
      <c r="H34" s="314"/>
      <c r="I34" s="1" t="s">
        <v>767</v>
      </c>
      <c r="J34" s="1" t="s">
        <v>768</v>
      </c>
      <c r="L34" s="335">
        <f>126003531.2</f>
        <v>126003531.2</v>
      </c>
      <c r="M34" s="552">
        <v>1.2E-2</v>
      </c>
      <c r="N34" s="327">
        <f>L34*M34</f>
        <v>1512042.3744000001</v>
      </c>
      <c r="O34" s="1" t="s">
        <v>765</v>
      </c>
    </row>
    <row r="35" spans="1:15" x14ac:dyDescent="0.25">
      <c r="D35" s="327"/>
      <c r="E35" s="314"/>
      <c r="F35" s="327"/>
      <c r="I35" s="2" t="s">
        <v>764</v>
      </c>
      <c r="M35" s="552">
        <v>0.01</v>
      </c>
      <c r="N35" s="327">
        <f>M35*L34</f>
        <v>1260035.3120000002</v>
      </c>
      <c r="O35" s="1" t="s">
        <v>766</v>
      </c>
    </row>
    <row r="36" spans="1:15" ht="11.25" x14ac:dyDescent="0.2">
      <c r="A36" s="29" t="s">
        <v>23</v>
      </c>
      <c r="B36" s="30" t="s">
        <v>24</v>
      </c>
      <c r="D36" s="30"/>
      <c r="E36" s="32" t="s">
        <v>25</v>
      </c>
      <c r="F36" s="29"/>
      <c r="H36" s="32"/>
    </row>
    <row r="37" spans="1:15" ht="11.25" x14ac:dyDescent="0.2">
      <c r="A37" s="29" t="s">
        <v>26</v>
      </c>
      <c r="B37" s="30" t="s">
        <v>27</v>
      </c>
      <c r="D37" s="30"/>
      <c r="E37" s="32" t="s">
        <v>28</v>
      </c>
      <c r="F37" s="29"/>
      <c r="H37" s="32"/>
      <c r="M37" s="314"/>
      <c r="N37" s="314"/>
    </row>
    <row r="38" spans="1:15" x14ac:dyDescent="0.25">
      <c r="E38" s="314"/>
    </row>
    <row r="39" spans="1:15" x14ac:dyDescent="0.25">
      <c r="E39" s="314"/>
      <c r="K39" s="323"/>
    </row>
    <row r="40" spans="1:15" x14ac:dyDescent="0.25">
      <c r="E40" s="676"/>
    </row>
    <row r="41" spans="1:15" x14ac:dyDescent="0.25">
      <c r="E41" s="327"/>
      <c r="K41" s="323"/>
    </row>
    <row r="42" spans="1:15" x14ac:dyDescent="0.25">
      <c r="E42" s="327"/>
      <c r="K42" s="323"/>
    </row>
  </sheetData>
  <mergeCells count="1">
    <mergeCell ref="B2:C2"/>
  </mergeCells>
  <pageMargins left="0.511811024" right="0.511811024" top="0.78740157499999996" bottom="0.78740157499999996" header="0.31496062000000002" footer="0.31496062000000002"/>
  <pageSetup paperSize="9" orientation="landscape" horizontalDpi="0" verticalDpi="0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1"/>
  <sheetViews>
    <sheetView workbookViewId="0">
      <selection activeCell="H30" sqref="H30"/>
    </sheetView>
  </sheetViews>
  <sheetFormatPr defaultRowHeight="15" x14ac:dyDescent="0.25"/>
  <cols>
    <col min="1" max="1" width="81" customWidth="1"/>
    <col min="2" max="2" width="11.28515625" bestFit="1" customWidth="1"/>
    <col min="3" max="3" width="16.7109375" style="756" customWidth="1"/>
    <col min="4" max="6" width="12.5703125" style="3" bestFit="1" customWidth="1"/>
    <col min="7" max="7" width="12.28515625" style="3" customWidth="1"/>
    <col min="8" max="8" width="12.5703125" style="3" bestFit="1" customWidth="1"/>
    <col min="9" max="9" width="12.5703125" style="3" customWidth="1"/>
    <col min="10" max="10" width="12.85546875" style="3" customWidth="1"/>
    <col min="11" max="11" width="13" style="3" customWidth="1"/>
    <col min="12" max="12" width="12.28515625" style="3" customWidth="1"/>
    <col min="13" max="14" width="12.42578125" style="3" customWidth="1"/>
    <col min="15" max="15" width="13" style="3" customWidth="1"/>
    <col min="16" max="16" width="10.42578125" style="3" bestFit="1" customWidth="1"/>
    <col min="17" max="16384" width="9.140625" style="3"/>
  </cols>
  <sheetData>
    <row r="1" spans="1:18" s="1" customFormat="1" ht="11.25" x14ac:dyDescent="0.2">
      <c r="C1" s="756"/>
      <c r="D1" s="2"/>
      <c r="E1" s="39" t="s">
        <v>366</v>
      </c>
      <c r="F1" s="323"/>
      <c r="G1" s="2" t="s">
        <v>13</v>
      </c>
      <c r="L1" s="2" t="s">
        <v>447</v>
      </c>
      <c r="O1" s="39" t="s">
        <v>367</v>
      </c>
    </row>
    <row r="2" spans="1:18" x14ac:dyDescent="0.25">
      <c r="A2" t="s">
        <v>1793</v>
      </c>
      <c r="C2" s="2" t="s">
        <v>1766</v>
      </c>
      <c r="F2" s="361"/>
      <c r="G2" s="302"/>
      <c r="H2" s="302"/>
    </row>
    <row r="3" spans="1:18" s="1" customFormat="1" ht="11.25" x14ac:dyDescent="0.2">
      <c r="C3" s="2"/>
      <c r="G3" s="323"/>
      <c r="H3" s="327"/>
      <c r="I3" s="327"/>
    </row>
    <row r="4" spans="1:18" x14ac:dyDescent="0.25">
      <c r="A4" s="735" t="s">
        <v>1794</v>
      </c>
      <c r="B4" s="1200" t="s">
        <v>1828</v>
      </c>
      <c r="C4" s="1200"/>
      <c r="D4" s="23">
        <f>RCL!D2</f>
        <v>45078</v>
      </c>
      <c r="E4" s="25">
        <f>RCL!E2</f>
        <v>45047</v>
      </c>
      <c r="F4" s="23">
        <f>RCL!F2</f>
        <v>45017</v>
      </c>
      <c r="G4" s="23">
        <f>RCL!G2</f>
        <v>44986</v>
      </c>
      <c r="H4" s="25">
        <f>RCL!H2</f>
        <v>44958</v>
      </c>
      <c r="I4" s="23">
        <f>RCL!I2</f>
        <v>44927</v>
      </c>
      <c r="J4" s="25">
        <f>RCL!J2</f>
        <v>44896</v>
      </c>
      <c r="K4" s="23">
        <f>RCL!K2</f>
        <v>44866</v>
      </c>
      <c r="L4" s="25">
        <f>RCL!L2</f>
        <v>44835</v>
      </c>
      <c r="M4" s="23">
        <f>RCL!M2</f>
        <v>44805</v>
      </c>
      <c r="N4" s="25">
        <f>RCL!N2</f>
        <v>44774</v>
      </c>
      <c r="O4" s="23">
        <f>RCL!O2</f>
        <v>44743</v>
      </c>
    </row>
    <row r="5" spans="1:18" ht="15.75" thickBot="1" x14ac:dyDescent="0.3">
      <c r="A5" s="735" t="s">
        <v>1795</v>
      </c>
      <c r="B5" s="730" t="s">
        <v>1768</v>
      </c>
      <c r="C5" s="345" t="s">
        <v>240</v>
      </c>
      <c r="D5" s="24" t="s">
        <v>6</v>
      </c>
      <c r="E5" s="22" t="s">
        <v>7</v>
      </c>
      <c r="F5" s="24" t="s">
        <v>8</v>
      </c>
      <c r="G5" s="24" t="s">
        <v>9</v>
      </c>
      <c r="H5" s="22" t="s">
        <v>10</v>
      </c>
      <c r="I5" s="24" t="s">
        <v>11</v>
      </c>
      <c r="J5" s="22" t="s">
        <v>17</v>
      </c>
      <c r="K5" s="24" t="s">
        <v>18</v>
      </c>
      <c r="L5" s="22" t="s">
        <v>19</v>
      </c>
      <c r="M5" s="24" t="s">
        <v>20</v>
      </c>
      <c r="N5" s="22" t="s">
        <v>21</v>
      </c>
      <c r="O5" s="24" t="s">
        <v>22</v>
      </c>
    </row>
    <row r="6" spans="1:18" s="15" customFormat="1" ht="15.75" thickBot="1" x14ac:dyDescent="0.3">
      <c r="A6" s="763" t="s">
        <v>1796</v>
      </c>
      <c r="B6" s="769"/>
      <c r="C6" s="749">
        <f>SUM(C7:C9)</f>
        <v>138992608.06999999</v>
      </c>
      <c r="D6" s="135">
        <f>D7+D8</f>
        <v>12687077.41</v>
      </c>
      <c r="E6" s="135">
        <f>E7+E8</f>
        <v>11279446.310000001</v>
      </c>
      <c r="F6" s="135">
        <f t="shared" ref="F6:G6" si="0">F7+F8</f>
        <v>11493888.6</v>
      </c>
      <c r="G6" s="135">
        <f t="shared" si="0"/>
        <v>12006003.310000001</v>
      </c>
      <c r="H6" s="135">
        <f>H7+H8</f>
        <v>11027784.77</v>
      </c>
      <c r="I6" s="135">
        <f t="shared" ref="I6:O6" si="1">I7+I8</f>
        <v>10738542.109999999</v>
      </c>
      <c r="J6" s="135">
        <f t="shared" si="1"/>
        <v>17559207.449999999</v>
      </c>
      <c r="K6" s="135">
        <f t="shared" si="1"/>
        <v>10691699.969999999</v>
      </c>
      <c r="L6" s="135">
        <f t="shared" si="1"/>
        <v>10531830.92</v>
      </c>
      <c r="M6" s="135">
        <f t="shared" si="1"/>
        <v>10367704.5</v>
      </c>
      <c r="N6" s="135">
        <f t="shared" si="1"/>
        <v>10342789.360000001</v>
      </c>
      <c r="O6" s="135">
        <f t="shared" si="1"/>
        <v>10266633.360000001</v>
      </c>
      <c r="Q6" s="3"/>
      <c r="R6" s="3"/>
    </row>
    <row r="7" spans="1:18" x14ac:dyDescent="0.25">
      <c r="A7" s="733" t="s">
        <v>14</v>
      </c>
      <c r="B7" s="733" t="s">
        <v>1797</v>
      </c>
      <c r="C7" s="743">
        <f>SUM(D7:O7)</f>
        <v>137903655.03999999</v>
      </c>
      <c r="D7" s="26">
        <f>12592150.41</f>
        <v>12592150.41</v>
      </c>
      <c r="E7" s="26">
        <v>11200796.060000001</v>
      </c>
      <c r="F7" s="26">
        <f>11394115.85</f>
        <v>11394115.85</v>
      </c>
      <c r="G7" s="26">
        <f>11927042.43</f>
        <v>11927042.43</v>
      </c>
      <c r="H7" s="26">
        <v>11027784.77</v>
      </c>
      <c r="I7" s="26">
        <f>10646597.11</f>
        <v>10646597.109999999</v>
      </c>
      <c r="J7" s="26">
        <f>17381902.7</f>
        <v>17381902.699999999</v>
      </c>
      <c r="K7" s="26">
        <f>10619812.77</f>
        <v>10619812.77</v>
      </c>
      <c r="L7" s="26">
        <v>10439276.02</v>
      </c>
      <c r="M7" s="26">
        <v>10259086.9</v>
      </c>
      <c r="N7" s="26">
        <f>10241440.06</f>
        <v>10241440.060000001</v>
      </c>
      <c r="O7" s="27">
        <f>10173649.96</f>
        <v>10173649.960000001</v>
      </c>
      <c r="P7" s="396"/>
    </row>
    <row r="8" spans="1:18" x14ac:dyDescent="0.25">
      <c r="A8" s="728" t="s">
        <v>1798</v>
      </c>
      <c r="B8" s="728" t="s">
        <v>1799</v>
      </c>
      <c r="C8" s="746">
        <f>SUM(D8:O8)</f>
        <v>1088953.03</v>
      </c>
      <c r="D8" s="27">
        <f>94927</f>
        <v>94927</v>
      </c>
      <c r="E8" s="27">
        <v>78650.25</v>
      </c>
      <c r="F8" s="27">
        <f>99772.75</f>
        <v>99772.75</v>
      </c>
      <c r="G8" s="27">
        <v>78960.88</v>
      </c>
      <c r="H8" s="27"/>
      <c r="I8" s="27">
        <f>91945</f>
        <v>91945</v>
      </c>
      <c r="J8" s="27">
        <f>177304.75</f>
        <v>177304.75</v>
      </c>
      <c r="K8" s="27">
        <f>71887.2</f>
        <v>71887.199999999997</v>
      </c>
      <c r="L8" s="27">
        <f>92554.9</f>
        <v>92554.9</v>
      </c>
      <c r="M8" s="27">
        <f>108617.6</f>
        <v>108617.60000000001</v>
      </c>
      <c r="N8" s="27">
        <f>101349.3</f>
        <v>101349.3</v>
      </c>
      <c r="O8" s="27">
        <f>92983.4</f>
        <v>92983.4</v>
      </c>
    </row>
    <row r="9" spans="1:18" s="15" customFormat="1" ht="15.75" thickBot="1" x14ac:dyDescent="0.3">
      <c r="A9" s="710" t="s">
        <v>1800</v>
      </c>
      <c r="B9" s="735" t="s">
        <v>1801</v>
      </c>
      <c r="C9" s="744">
        <f>SUM(D9:O9)</f>
        <v>0</v>
      </c>
      <c r="D9" s="770"/>
      <c r="E9" s="770"/>
      <c r="F9" s="770"/>
      <c r="G9" s="770"/>
      <c r="H9" s="770"/>
      <c r="I9" s="770"/>
      <c r="J9" s="770"/>
      <c r="K9" s="770"/>
      <c r="L9" s="770"/>
      <c r="M9" s="770"/>
      <c r="N9" s="770"/>
      <c r="O9" s="770"/>
      <c r="P9" s="370"/>
      <c r="Q9" s="3"/>
      <c r="R9" s="3"/>
    </row>
    <row r="10" spans="1:18" s="15" customFormat="1" ht="15.75" thickBot="1" x14ac:dyDescent="0.3">
      <c r="A10" s="763" t="s">
        <v>3</v>
      </c>
      <c r="B10" s="769"/>
      <c r="C10" s="771">
        <f>SUM(C11:C17)</f>
        <v>38188682.469999999</v>
      </c>
      <c r="D10" s="742">
        <f>SUM(D11:D17)</f>
        <v>4369814.16</v>
      </c>
      <c r="E10" s="742">
        <f>SUM(E11:E17)</f>
        <v>3000019.9499999997</v>
      </c>
      <c r="F10" s="742">
        <f t="shared" ref="F10:I10" si="2">SUM(F11:F17)</f>
        <v>3234126.67</v>
      </c>
      <c r="G10" s="742">
        <f t="shared" si="2"/>
        <v>3759207.07</v>
      </c>
      <c r="H10" s="742">
        <f t="shared" si="2"/>
        <v>2862343.07</v>
      </c>
      <c r="I10" s="742">
        <f t="shared" si="2"/>
        <v>2765561.9299999997</v>
      </c>
      <c r="J10" s="742">
        <f>SUM(J11:J17)</f>
        <v>4106526.0200000005</v>
      </c>
      <c r="K10" s="742">
        <f t="shared" ref="K10:O10" si="3">SUM(K11:K17)</f>
        <v>2886581.2199999997</v>
      </c>
      <c r="L10" s="742">
        <f t="shared" si="3"/>
        <v>2963160.53</v>
      </c>
      <c r="M10" s="742">
        <f t="shared" si="3"/>
        <v>2718891.89</v>
      </c>
      <c r="N10" s="742">
        <f t="shared" si="3"/>
        <v>2833856.3499999996</v>
      </c>
      <c r="O10" s="742">
        <f t="shared" si="3"/>
        <v>2919397.84</v>
      </c>
      <c r="P10" s="370"/>
      <c r="Q10" s="3"/>
      <c r="R10" s="3"/>
    </row>
    <row r="11" spans="1:18" x14ac:dyDescent="0.25">
      <c r="A11" s="733" t="s">
        <v>1802</v>
      </c>
      <c r="B11" s="733" t="s">
        <v>29</v>
      </c>
      <c r="C11" s="743">
        <f t="shared" ref="C11:C17" si="4">SUM(D11:O11)</f>
        <v>29929658.980000004</v>
      </c>
      <c r="D11" s="775">
        <f>3645698.27</f>
        <v>3645698.27</v>
      </c>
      <c r="E11" s="775">
        <v>2428604.46</v>
      </c>
      <c r="F11" s="775">
        <f>2426513.07</f>
        <v>2426513.0699999998</v>
      </c>
      <c r="G11" s="775">
        <f>2408760.76</f>
        <v>2408760.7599999998</v>
      </c>
      <c r="H11" s="775">
        <f>2341605.24</f>
        <v>2341605.2400000002</v>
      </c>
      <c r="I11" s="775">
        <f>2218840.15</f>
        <v>2218840.15</v>
      </c>
      <c r="J11" s="775">
        <f>3408022.45</f>
        <v>3408022.45</v>
      </c>
      <c r="K11" s="775">
        <f>2264859.75</f>
        <v>2264859.75</v>
      </c>
      <c r="L11" s="775">
        <f>2255361.06</f>
        <v>2255361.06</v>
      </c>
      <c r="M11" s="775">
        <f>2237316.49</f>
        <v>2237316.4900000002</v>
      </c>
      <c r="N11" s="775">
        <f>2150516.8</f>
        <v>2150516.7999999998</v>
      </c>
      <c r="O11" s="775">
        <f>2143560.48</f>
        <v>2143560.48</v>
      </c>
    </row>
    <row r="12" spans="1:18" x14ac:dyDescent="0.25">
      <c r="A12" s="728" t="s">
        <v>1803</v>
      </c>
      <c r="B12" s="728" t="s">
        <v>30</v>
      </c>
      <c r="C12" s="743">
        <f t="shared" si="4"/>
        <v>3560340.2399999998</v>
      </c>
      <c r="D12" s="775">
        <f>434889.68</f>
        <v>434889.68</v>
      </c>
      <c r="E12" s="775">
        <v>284484.33</v>
      </c>
      <c r="F12" s="775">
        <f>285143.1</f>
        <v>285143.09999999998</v>
      </c>
      <c r="G12" s="775">
        <f>284340.33</f>
        <v>284340.33</v>
      </c>
      <c r="H12" s="775">
        <v>286118.84000000003</v>
      </c>
      <c r="I12" s="775">
        <f>280618.06</f>
        <v>280618.06</v>
      </c>
      <c r="J12" s="775">
        <f>406038.6</f>
        <v>406038.6</v>
      </c>
      <c r="K12" s="775">
        <f>261205.73</f>
        <v>261205.73</v>
      </c>
      <c r="L12" s="775">
        <f>258383.84</f>
        <v>258383.84</v>
      </c>
      <c r="M12" s="775">
        <f>259648.67</f>
        <v>259648.67</v>
      </c>
      <c r="N12" s="775">
        <f>260359.09</f>
        <v>260359.09</v>
      </c>
      <c r="O12" s="775">
        <f>259109.97</f>
        <v>259109.97</v>
      </c>
    </row>
    <row r="13" spans="1:18" x14ac:dyDescent="0.25">
      <c r="A13" s="417" t="s">
        <v>448</v>
      </c>
      <c r="B13" s="735" t="s">
        <v>1838</v>
      </c>
      <c r="C13" s="743">
        <f>SUM(D13:O13)</f>
        <v>26426.840000000004</v>
      </c>
      <c r="D13" s="775">
        <f>1629.86</f>
        <v>1629.86</v>
      </c>
      <c r="E13" s="775">
        <v>1629.86</v>
      </c>
      <c r="F13" s="775">
        <f>1629.86</f>
        <v>1629.86</v>
      </c>
      <c r="G13" s="775">
        <v>1629.86</v>
      </c>
      <c r="H13" s="775">
        <v>1629.86</v>
      </c>
      <c r="I13" s="775">
        <f>1541.82</f>
        <v>1541.82</v>
      </c>
      <c r="J13" s="775">
        <f>8667.67</f>
        <v>8667.67</v>
      </c>
      <c r="K13" s="775">
        <v>1613.61</v>
      </c>
      <c r="L13" s="775">
        <f>1613.61</f>
        <v>1613.61</v>
      </c>
      <c r="M13" s="775">
        <f>1613.61</f>
        <v>1613.61</v>
      </c>
      <c r="N13" s="775">
        <f>1613.61</f>
        <v>1613.61</v>
      </c>
      <c r="O13" s="775">
        <f>1613.61</f>
        <v>1613.61</v>
      </c>
    </row>
    <row r="14" spans="1:18" x14ac:dyDescent="0.25">
      <c r="A14" s="704" t="s">
        <v>15</v>
      </c>
      <c r="B14" s="735" t="s">
        <v>1839</v>
      </c>
      <c r="C14" s="743">
        <f t="shared" si="4"/>
        <v>5251.13</v>
      </c>
      <c r="D14" s="673"/>
      <c r="E14" s="673">
        <f>5251.13</f>
        <v>5251.13</v>
      </c>
      <c r="F14" s="673"/>
      <c r="G14" s="673"/>
      <c r="H14" s="673"/>
      <c r="I14" s="673"/>
      <c r="J14" s="673"/>
      <c r="K14" s="673"/>
      <c r="L14" s="673"/>
      <c r="M14" s="673"/>
      <c r="N14" s="673"/>
      <c r="O14" s="673"/>
    </row>
    <row r="15" spans="1:18" x14ac:dyDescent="0.25">
      <c r="A15" s="728" t="s">
        <v>1804</v>
      </c>
      <c r="B15" s="728" t="s">
        <v>1829</v>
      </c>
      <c r="C15" s="746">
        <f t="shared" si="4"/>
        <v>3154664.46</v>
      </c>
      <c r="D15" s="671">
        <v>158118.31</v>
      </c>
      <c r="E15" s="671">
        <v>150572.13</v>
      </c>
      <c r="F15" s="671">
        <f>417740.75</f>
        <v>417740.75</v>
      </c>
      <c r="G15" s="671">
        <v>953492.4</v>
      </c>
      <c r="H15" s="671">
        <v>124812.12</v>
      </c>
      <c r="I15" s="671">
        <f>154913.78</f>
        <v>154913.78</v>
      </c>
      <c r="J15" s="671">
        <f>8965.64</f>
        <v>8965.64</v>
      </c>
      <c r="K15" s="671">
        <f>221205.34</f>
        <v>221205.34</v>
      </c>
      <c r="L15" s="671">
        <f>310105.23</f>
        <v>310105.23</v>
      </c>
      <c r="M15" s="671">
        <f>83235.37</f>
        <v>83235.37</v>
      </c>
      <c r="N15" s="671">
        <f>284611.95</f>
        <v>284611.95</v>
      </c>
      <c r="O15" s="671">
        <f>286891.44</f>
        <v>286891.44</v>
      </c>
    </row>
    <row r="16" spans="1:18" x14ac:dyDescent="0.25">
      <c r="A16" s="648" t="s">
        <v>1835</v>
      </c>
      <c r="B16" s="735"/>
      <c r="C16" s="744"/>
      <c r="D16" s="673"/>
      <c r="E16" s="673"/>
      <c r="F16" s="673"/>
      <c r="G16" s="673"/>
      <c r="H16" s="673"/>
      <c r="I16" s="673"/>
      <c r="J16" s="782">
        <v>66367.66</v>
      </c>
      <c r="K16" s="782">
        <f>33464.79</f>
        <v>33464.79</v>
      </c>
      <c r="L16" s="782">
        <f>33464.79</f>
        <v>33464.79</v>
      </c>
      <c r="M16" s="782">
        <v>32845.75</v>
      </c>
      <c r="N16" s="782">
        <v>32522.9</v>
      </c>
      <c r="O16" s="782">
        <v>32138.34</v>
      </c>
    </row>
    <row r="17" spans="1:18" s="1" customFormat="1" ht="12" thickBot="1" x14ac:dyDescent="0.25">
      <c r="A17" s="710" t="s">
        <v>1830</v>
      </c>
      <c r="B17" s="710" t="s">
        <v>1836</v>
      </c>
      <c r="C17" s="744">
        <f t="shared" si="4"/>
        <v>1512340.8199999998</v>
      </c>
      <c r="D17" s="711">
        <f>129478.04</f>
        <v>129478.04</v>
      </c>
      <c r="E17" s="711">
        <f>129478.04</f>
        <v>129478.04</v>
      </c>
      <c r="F17" s="711">
        <v>103099.89</v>
      </c>
      <c r="G17" s="711">
        <f>110983.72</f>
        <v>110983.72</v>
      </c>
      <c r="H17" s="711">
        <v>108177.01</v>
      </c>
      <c r="I17" s="711">
        <v>109648.12</v>
      </c>
      <c r="J17" s="497">
        <f>208464</f>
        <v>208464</v>
      </c>
      <c r="K17" s="497">
        <f>104232</f>
        <v>104232</v>
      </c>
      <c r="L17" s="497">
        <f>104232</f>
        <v>104232</v>
      </c>
      <c r="M17" s="497">
        <f>104232</f>
        <v>104232</v>
      </c>
      <c r="N17" s="497">
        <f>104232</f>
        <v>104232</v>
      </c>
      <c r="O17" s="497">
        <f>41078+31772+9306+113928</f>
        <v>196084</v>
      </c>
    </row>
    <row r="18" spans="1:18" ht="15.75" thickBot="1" x14ac:dyDescent="0.3">
      <c r="A18" s="731" t="s">
        <v>1805</v>
      </c>
      <c r="B18" s="772"/>
      <c r="C18" s="774">
        <f>C6-C10</f>
        <v>100803925.59999999</v>
      </c>
      <c r="D18" s="757">
        <f>D6-D10</f>
        <v>8317263.25</v>
      </c>
      <c r="E18" s="757">
        <f>E6-E10</f>
        <v>8279426.3600000013</v>
      </c>
      <c r="F18" s="757">
        <f t="shared" ref="F18:O18" si="5">F6-F10</f>
        <v>8259761.9299999997</v>
      </c>
      <c r="G18" s="757">
        <f t="shared" si="5"/>
        <v>8246796.2400000002</v>
      </c>
      <c r="H18" s="757">
        <f t="shared" si="5"/>
        <v>8165441.6999999993</v>
      </c>
      <c r="I18" s="757">
        <f t="shared" si="5"/>
        <v>7972980.1799999997</v>
      </c>
      <c r="J18" s="757">
        <f t="shared" si="5"/>
        <v>13452681.43</v>
      </c>
      <c r="K18" s="757">
        <f t="shared" si="5"/>
        <v>7805118.7499999991</v>
      </c>
      <c r="L18" s="757">
        <f t="shared" si="5"/>
        <v>7568670.3900000006</v>
      </c>
      <c r="M18" s="757">
        <f t="shared" si="5"/>
        <v>7648812.6099999994</v>
      </c>
      <c r="N18" s="757">
        <f t="shared" si="5"/>
        <v>7508933.0100000016</v>
      </c>
      <c r="O18" s="757">
        <f t="shared" si="5"/>
        <v>7347235.5200000014</v>
      </c>
    </row>
    <row r="19" spans="1:18" x14ac:dyDescent="0.25">
      <c r="A19" s="733" t="s">
        <v>1002</v>
      </c>
      <c r="B19" s="6" t="s">
        <v>31</v>
      </c>
      <c r="C19" s="743">
        <f>SUM(D19:O19)</f>
        <v>0</v>
      </c>
      <c r="D19" s="773"/>
      <c r="E19" s="773"/>
      <c r="F19" s="773"/>
      <c r="G19" s="773"/>
      <c r="H19" s="773"/>
      <c r="I19" s="773"/>
      <c r="J19" s="773"/>
      <c r="K19" s="773"/>
      <c r="L19" s="773"/>
      <c r="M19" s="773"/>
      <c r="N19" s="773"/>
      <c r="O19" s="773"/>
    </row>
    <row r="20" spans="1:18" ht="15.75" thickBot="1" x14ac:dyDescent="0.3">
      <c r="A20" s="735" t="s">
        <v>985</v>
      </c>
      <c r="B20" s="710" t="s">
        <v>32</v>
      </c>
      <c r="C20" s="743">
        <f>SUM(D20:O20)</f>
        <v>0</v>
      </c>
      <c r="D20" s="300"/>
      <c r="E20" s="300"/>
      <c r="F20" s="300"/>
      <c r="G20" s="300"/>
      <c r="H20" s="300"/>
      <c r="I20" s="300"/>
      <c r="J20" s="300"/>
      <c r="K20" s="300"/>
      <c r="L20" s="300"/>
      <c r="M20" s="300"/>
      <c r="N20" s="300"/>
      <c r="O20" s="300"/>
    </row>
    <row r="21" spans="1:18" ht="15.75" thickBot="1" x14ac:dyDescent="0.3">
      <c r="A21" s="731" t="s">
        <v>16</v>
      </c>
      <c r="B21" s="751"/>
      <c r="C21" s="742">
        <f>SUM(C19:C20)</f>
        <v>0</v>
      </c>
      <c r="D21" s="742">
        <f t="shared" ref="D21:O21" si="6">SUM(D19:D20)</f>
        <v>0</v>
      </c>
      <c r="E21" s="742">
        <f t="shared" si="6"/>
        <v>0</v>
      </c>
      <c r="F21" s="742">
        <f t="shared" si="6"/>
        <v>0</v>
      </c>
      <c r="G21" s="742">
        <f t="shared" si="6"/>
        <v>0</v>
      </c>
      <c r="H21" s="742">
        <f t="shared" si="6"/>
        <v>0</v>
      </c>
      <c r="I21" s="742">
        <f t="shared" si="6"/>
        <v>0</v>
      </c>
      <c r="J21" s="742">
        <f t="shared" si="6"/>
        <v>0</v>
      </c>
      <c r="K21" s="742">
        <f t="shared" si="6"/>
        <v>0</v>
      </c>
      <c r="L21" s="742">
        <f t="shared" si="6"/>
        <v>0</v>
      </c>
      <c r="M21" s="742">
        <f t="shared" si="6"/>
        <v>0</v>
      </c>
      <c r="N21" s="742">
        <f t="shared" si="6"/>
        <v>0</v>
      </c>
      <c r="O21" s="742">
        <f t="shared" si="6"/>
        <v>0</v>
      </c>
    </row>
    <row r="22" spans="1:18" s="1" customFormat="1" ht="11.25" x14ac:dyDescent="0.2">
      <c r="A22" s="6" t="s">
        <v>1806</v>
      </c>
      <c r="B22" s="6" t="s">
        <v>1807</v>
      </c>
      <c r="C22" s="743">
        <f>SUM(D22:O22)</f>
        <v>0</v>
      </c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</row>
    <row r="23" spans="1:18" s="1" customFormat="1" ht="12" thickBot="1" x14ac:dyDescent="0.25">
      <c r="A23" s="710" t="s">
        <v>1808</v>
      </c>
      <c r="B23" s="710" t="s">
        <v>1807</v>
      </c>
      <c r="C23" s="743">
        <f>SUM(D23:O23)</f>
        <v>0</v>
      </c>
      <c r="D23" s="768"/>
      <c r="E23" s="768"/>
      <c r="F23" s="768"/>
      <c r="G23" s="768"/>
      <c r="H23" s="768"/>
      <c r="I23" s="768"/>
      <c r="J23" s="768"/>
      <c r="K23" s="768"/>
      <c r="L23" s="768"/>
      <c r="M23" s="768"/>
      <c r="N23" s="768"/>
      <c r="O23" s="768"/>
    </row>
    <row r="24" spans="1:18" s="15" customFormat="1" ht="15.75" thickBot="1" x14ac:dyDescent="0.3">
      <c r="A24" s="731" t="s">
        <v>1809</v>
      </c>
      <c r="B24" s="751"/>
      <c r="C24" s="742">
        <f>SUM(C22:C23)</f>
        <v>0</v>
      </c>
      <c r="D24" s="742">
        <f t="shared" ref="D24:O24" si="7">SUM(D22:D23)</f>
        <v>0</v>
      </c>
      <c r="E24" s="742">
        <f t="shared" si="7"/>
        <v>0</v>
      </c>
      <c r="F24" s="742">
        <f t="shared" si="7"/>
        <v>0</v>
      </c>
      <c r="G24" s="742">
        <f t="shared" si="7"/>
        <v>0</v>
      </c>
      <c r="H24" s="742">
        <f t="shared" si="7"/>
        <v>0</v>
      </c>
      <c r="I24" s="742">
        <f t="shared" si="7"/>
        <v>0</v>
      </c>
      <c r="J24" s="742">
        <f t="shared" si="7"/>
        <v>0</v>
      </c>
      <c r="K24" s="742">
        <f t="shared" si="7"/>
        <v>0</v>
      </c>
      <c r="L24" s="742">
        <f t="shared" si="7"/>
        <v>0</v>
      </c>
      <c r="M24" s="742">
        <f t="shared" si="7"/>
        <v>0</v>
      </c>
      <c r="N24" s="742">
        <f t="shared" si="7"/>
        <v>0</v>
      </c>
      <c r="O24" s="742">
        <f t="shared" si="7"/>
        <v>0</v>
      </c>
      <c r="Q24" s="3"/>
      <c r="R24" s="3"/>
    </row>
    <row r="25" spans="1:18" s="2" customFormat="1" ht="11.25" x14ac:dyDescent="0.2">
      <c r="A25" s="6" t="s">
        <v>1810</v>
      </c>
      <c r="B25" s="6" t="s">
        <v>1811</v>
      </c>
      <c r="C25" s="743">
        <f>SUM(D25:O25)</f>
        <v>0</v>
      </c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11"/>
      <c r="O25" s="11"/>
      <c r="Q25" s="1"/>
      <c r="R25" s="1"/>
    </row>
    <row r="26" spans="1:18" s="2" customFormat="1" ht="12" thickBot="1" x14ac:dyDescent="0.25">
      <c r="A26" s="710" t="s">
        <v>1812</v>
      </c>
      <c r="B26" s="710" t="s">
        <v>1813</v>
      </c>
      <c r="C26" s="743">
        <f>SUM(D26:O26)</f>
        <v>0</v>
      </c>
      <c r="D26" s="776"/>
      <c r="E26" s="776"/>
      <c r="F26" s="776"/>
      <c r="G26" s="776"/>
      <c r="H26" s="776"/>
      <c r="I26" s="776"/>
      <c r="J26" s="776"/>
      <c r="K26" s="776"/>
      <c r="L26" s="776"/>
      <c r="M26" s="776"/>
      <c r="N26" s="776"/>
      <c r="O26" s="776"/>
      <c r="Q26" s="1"/>
      <c r="R26" s="1"/>
    </row>
    <row r="27" spans="1:18" s="15" customFormat="1" ht="15.75" thickBot="1" x14ac:dyDescent="0.3">
      <c r="A27" s="731" t="s">
        <v>1814</v>
      </c>
      <c r="B27" s="751"/>
      <c r="C27" s="742">
        <f>SUM(C25:C26)</f>
        <v>0</v>
      </c>
      <c r="D27" s="742">
        <f>SUM(D25:D26)</f>
        <v>0</v>
      </c>
      <c r="E27" s="742">
        <f>SUM(E25:E26)</f>
        <v>0</v>
      </c>
      <c r="F27" s="742">
        <f>SUM(F25:F26)</f>
        <v>0</v>
      </c>
      <c r="G27" s="742">
        <f t="shared" ref="G27" si="8">SUM(G25:G26)</f>
        <v>0</v>
      </c>
      <c r="H27" s="742">
        <f t="shared" ref="H27" si="9">SUM(H25:H26)</f>
        <v>0</v>
      </c>
      <c r="I27" s="742">
        <f t="shared" ref="I27" si="10">SUM(I25:I26)</f>
        <v>0</v>
      </c>
      <c r="J27" s="742">
        <f t="shared" ref="J27" si="11">SUM(J25:J26)</f>
        <v>0</v>
      </c>
      <c r="K27" s="742">
        <f t="shared" ref="K27" si="12">SUM(K25:K26)</f>
        <v>0</v>
      </c>
      <c r="L27" s="742">
        <f t="shared" ref="L27" si="13">SUM(L25:L26)</f>
        <v>0</v>
      </c>
      <c r="M27" s="742">
        <f t="shared" ref="M27" si="14">SUM(M25:M26)</f>
        <v>0</v>
      </c>
      <c r="N27" s="742">
        <f t="shared" ref="N27" si="15">SUM(N25:N26)</f>
        <v>0</v>
      </c>
      <c r="O27" s="742">
        <f t="shared" ref="O27" si="16">SUM(O25:O26)</f>
        <v>0</v>
      </c>
      <c r="Q27" s="3"/>
      <c r="R27" s="3"/>
    </row>
    <row r="28" spans="1:18" ht="15.75" thickBot="1" x14ac:dyDescent="0.3">
      <c r="A28" s="731" t="s">
        <v>1815</v>
      </c>
      <c r="B28" s="752" t="s">
        <v>4</v>
      </c>
      <c r="C28" s="742">
        <f>C18+C21+C24+C27</f>
        <v>100803925.59999999</v>
      </c>
      <c r="D28" s="742">
        <f>D18+D21+D24+D27</f>
        <v>8317263.25</v>
      </c>
      <c r="E28" s="742">
        <f t="shared" ref="E28:O28" si="17">E18+E21+E24+E27</f>
        <v>8279426.3600000013</v>
      </c>
      <c r="F28" s="742">
        <f t="shared" si="17"/>
        <v>8259761.9299999997</v>
      </c>
      <c r="G28" s="742">
        <f t="shared" si="17"/>
        <v>8246796.2400000002</v>
      </c>
      <c r="H28" s="742">
        <f t="shared" si="17"/>
        <v>8165441.6999999993</v>
      </c>
      <c r="I28" s="742">
        <f t="shared" si="17"/>
        <v>7972980.1799999997</v>
      </c>
      <c r="J28" s="742">
        <f t="shared" si="17"/>
        <v>13452681.43</v>
      </c>
      <c r="K28" s="742">
        <f t="shared" si="17"/>
        <v>7805118.7499999991</v>
      </c>
      <c r="L28" s="742">
        <f t="shared" si="17"/>
        <v>7568670.3900000006</v>
      </c>
      <c r="M28" s="742">
        <f t="shared" si="17"/>
        <v>7648812.6099999994</v>
      </c>
      <c r="N28" s="742">
        <f t="shared" si="17"/>
        <v>7508933.0100000016</v>
      </c>
      <c r="O28" s="742">
        <f t="shared" si="17"/>
        <v>7347235.5200000014</v>
      </c>
    </row>
    <row r="29" spans="1:18" ht="15.75" thickBot="1" x14ac:dyDescent="0.3">
      <c r="A29" s="753" t="s">
        <v>1816</v>
      </c>
      <c r="B29" s="779">
        <v>5.7099999999999998E-2</v>
      </c>
      <c r="C29" s="750">
        <f>SUM(D29:O29)</f>
        <v>2356442.1693079998</v>
      </c>
      <c r="D29" s="301">
        <f>D28*B29</f>
        <v>474915.73157499998</v>
      </c>
      <c r="E29" s="301">
        <f>E28*B29</f>
        <v>472755.24515600008</v>
      </c>
      <c r="F29" s="301">
        <f>F28*B29</f>
        <v>471632.40620299999</v>
      </c>
      <c r="G29" s="301">
        <f>G28*B29</f>
        <v>470892.06530399999</v>
      </c>
      <c r="H29" s="301">
        <f>H28*B29</f>
        <v>466246.72106999991</v>
      </c>
      <c r="I29" s="8"/>
      <c r="J29" s="8"/>
      <c r="K29" s="8"/>
      <c r="L29" s="8"/>
      <c r="M29" s="8"/>
      <c r="N29" s="8"/>
      <c r="O29" s="8"/>
    </row>
    <row r="30" spans="1:18" s="15" customFormat="1" ht="15.75" thickBot="1" x14ac:dyDescent="0.3">
      <c r="A30" s="754" t="s">
        <v>1817</v>
      </c>
      <c r="B30" s="755"/>
      <c r="C30" s="742">
        <f>C28-C29</f>
        <v>98447483.430691987</v>
      </c>
      <c r="D30" s="742">
        <f>D28-D29</f>
        <v>7842347.5184249999</v>
      </c>
      <c r="E30" s="742">
        <f>E28-E29</f>
        <v>7806671.1148440009</v>
      </c>
      <c r="F30" s="742">
        <f t="shared" ref="F30:O30" si="18">F28-F29</f>
        <v>7788129.5237969998</v>
      </c>
      <c r="G30" s="742">
        <f t="shared" si="18"/>
        <v>7775904.1746960003</v>
      </c>
      <c r="H30" s="742">
        <f t="shared" si="18"/>
        <v>7699194.9789299993</v>
      </c>
      <c r="I30" s="742">
        <f t="shared" si="18"/>
        <v>7972980.1799999997</v>
      </c>
      <c r="J30" s="742">
        <f t="shared" si="18"/>
        <v>13452681.43</v>
      </c>
      <c r="K30" s="742">
        <f t="shared" si="18"/>
        <v>7805118.7499999991</v>
      </c>
      <c r="L30" s="742">
        <f t="shared" si="18"/>
        <v>7568670.3900000006</v>
      </c>
      <c r="M30" s="742">
        <f t="shared" si="18"/>
        <v>7648812.6099999994</v>
      </c>
      <c r="N30" s="742">
        <f t="shared" si="18"/>
        <v>7508933.0100000016</v>
      </c>
      <c r="O30" s="742">
        <f t="shared" si="18"/>
        <v>7347235.5200000014</v>
      </c>
    </row>
    <row r="31" spans="1:18" x14ac:dyDescent="0.25">
      <c r="A31" s="780" t="s">
        <v>1831</v>
      </c>
      <c r="C31"/>
      <c r="D31"/>
      <c r="E31"/>
      <c r="F31"/>
      <c r="G31"/>
      <c r="H31"/>
      <c r="I31"/>
      <c r="J31"/>
      <c r="K31"/>
      <c r="L31"/>
      <c r="M31"/>
      <c r="N31"/>
      <c r="O31"/>
    </row>
    <row r="32" spans="1:18" s="1" customFormat="1" ht="11.25" x14ac:dyDescent="0.2">
      <c r="C32" s="756"/>
    </row>
    <row r="33" spans="1:13" s="1" customFormat="1" ht="11.25" x14ac:dyDescent="0.2">
      <c r="C33" s="756"/>
    </row>
    <row r="34" spans="1:13" s="31" customFormat="1" ht="11.25" x14ac:dyDescent="0.2">
      <c r="A34" s="1"/>
      <c r="B34" s="1"/>
      <c r="C34" s="756"/>
      <c r="F34" s="489" t="s">
        <v>23</v>
      </c>
      <c r="I34" s="29" t="s">
        <v>24</v>
      </c>
      <c r="J34" s="28"/>
      <c r="L34" s="30"/>
      <c r="M34" s="400" t="s">
        <v>25</v>
      </c>
    </row>
    <row r="35" spans="1:13" s="31" customFormat="1" ht="11.25" x14ac:dyDescent="0.2">
      <c r="A35" s="1"/>
      <c r="B35" s="1"/>
      <c r="C35" s="756"/>
      <c r="F35" s="29" t="s">
        <v>26</v>
      </c>
      <c r="I35" s="29" t="s">
        <v>27</v>
      </c>
      <c r="J35" s="28"/>
      <c r="L35" s="30"/>
      <c r="M35" s="400" t="s">
        <v>28</v>
      </c>
    </row>
    <row r="36" spans="1:13" x14ac:dyDescent="0.25">
      <c r="G36" s="361"/>
    </row>
    <row r="41" spans="1:13" x14ac:dyDescent="0.25">
      <c r="D41" s="329"/>
    </row>
  </sheetData>
  <mergeCells count="1">
    <mergeCell ref="B4:C4"/>
  </mergeCells>
  <pageMargins left="0.511811024" right="0.511811024" top="0.78740157499999996" bottom="0.78740157499999996" header="0.31496062000000002" footer="0.31496062000000002"/>
  <pageSetup paperSize="9" orientation="landscape" horizontalDpi="0" verticalDpi="0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R62"/>
  <sheetViews>
    <sheetView workbookViewId="0">
      <selection activeCell="L55" sqref="L55"/>
    </sheetView>
  </sheetViews>
  <sheetFormatPr defaultRowHeight="8.25" x14ac:dyDescent="0.15"/>
  <cols>
    <col min="1" max="1" width="1.140625" style="33" customWidth="1"/>
    <col min="2" max="2" width="16.28515625" style="33" customWidth="1"/>
    <col min="3" max="3" width="9.7109375" style="33" customWidth="1"/>
    <col min="4" max="4" width="8.85546875" style="33" customWidth="1"/>
    <col min="5" max="5" width="9.5703125" style="33" customWidth="1"/>
    <col min="6" max="6" width="9.140625" style="33" customWidth="1"/>
    <col min="7" max="7" width="9.28515625" style="33" customWidth="1"/>
    <col min="8" max="8" width="8.7109375" style="33" customWidth="1"/>
    <col min="9" max="9" width="9" style="33" customWidth="1"/>
    <col min="10" max="10" width="8.85546875" style="33" bestFit="1" customWidth="1"/>
    <col min="11" max="11" width="8.85546875" style="33" customWidth="1"/>
    <col min="12" max="12" width="9" style="33" bestFit="1" customWidth="1"/>
    <col min="13" max="13" width="8.7109375" style="33" customWidth="1"/>
    <col min="14" max="15" width="9.42578125" style="33" bestFit="1" customWidth="1"/>
    <col min="16" max="16" width="9.140625" style="33"/>
    <col min="17" max="17" width="9.42578125" style="33" bestFit="1" customWidth="1"/>
    <col min="18" max="18" width="9.140625" style="33"/>
    <col min="19" max="19" width="24.140625" style="33" bestFit="1" customWidth="1"/>
    <col min="20" max="20" width="10.42578125" style="33" customWidth="1"/>
    <col min="21" max="21" width="10.28515625" style="33" customWidth="1"/>
    <col min="22" max="256" width="9.140625" style="33"/>
    <col min="257" max="257" width="6.140625" style="33" customWidth="1"/>
    <col min="258" max="258" width="16.7109375" style="33" customWidth="1"/>
    <col min="259" max="260" width="9.85546875" style="33" bestFit="1" customWidth="1"/>
    <col min="261" max="261" width="9.140625" style="33" bestFit="1" customWidth="1"/>
    <col min="262" max="262" width="9.140625" style="33"/>
    <col min="263" max="263" width="9" style="33" customWidth="1"/>
    <col min="264" max="264" width="9.140625" style="33" bestFit="1" customWidth="1"/>
    <col min="265" max="265" width="9" style="33" customWidth="1"/>
    <col min="266" max="266" width="8.85546875" style="33" bestFit="1" customWidth="1"/>
    <col min="267" max="267" width="9.140625" style="33"/>
    <col min="268" max="268" width="8.85546875" style="33" bestFit="1" customWidth="1"/>
    <col min="269" max="269" width="9" style="33" bestFit="1" customWidth="1"/>
    <col min="270" max="270" width="9" style="33" customWidth="1"/>
    <col min="271" max="271" width="8.85546875" style="33" bestFit="1" customWidth="1"/>
    <col min="272" max="274" width="9.140625" style="33"/>
    <col min="275" max="275" width="24.140625" style="33" bestFit="1" customWidth="1"/>
    <col min="276" max="276" width="10.42578125" style="33" customWidth="1"/>
    <col min="277" max="277" width="10.28515625" style="33" customWidth="1"/>
    <col min="278" max="512" width="9.140625" style="33"/>
    <col min="513" max="513" width="6.140625" style="33" customWidth="1"/>
    <col min="514" max="514" width="16.7109375" style="33" customWidth="1"/>
    <col min="515" max="516" width="9.85546875" style="33" bestFit="1" customWidth="1"/>
    <col min="517" max="517" width="9.140625" style="33" bestFit="1" customWidth="1"/>
    <col min="518" max="518" width="9.140625" style="33"/>
    <col min="519" max="519" width="9" style="33" customWidth="1"/>
    <col min="520" max="520" width="9.140625" style="33" bestFit="1" customWidth="1"/>
    <col min="521" max="521" width="9" style="33" customWidth="1"/>
    <col min="522" max="522" width="8.85546875" style="33" bestFit="1" customWidth="1"/>
    <col min="523" max="523" width="9.140625" style="33"/>
    <col min="524" max="524" width="8.85546875" style="33" bestFit="1" customWidth="1"/>
    <col min="525" max="525" width="9" style="33" bestFit="1" customWidth="1"/>
    <col min="526" max="526" width="9" style="33" customWidth="1"/>
    <col min="527" max="527" width="8.85546875" style="33" bestFit="1" customWidth="1"/>
    <col min="528" max="530" width="9.140625" style="33"/>
    <col min="531" max="531" width="24.140625" style="33" bestFit="1" customWidth="1"/>
    <col min="532" max="532" width="10.42578125" style="33" customWidth="1"/>
    <col min="533" max="533" width="10.28515625" style="33" customWidth="1"/>
    <col min="534" max="768" width="9.140625" style="33"/>
    <col min="769" max="769" width="6.140625" style="33" customWidth="1"/>
    <col min="770" max="770" width="16.7109375" style="33" customWidth="1"/>
    <col min="771" max="772" width="9.85546875" style="33" bestFit="1" customWidth="1"/>
    <col min="773" max="773" width="9.140625" style="33" bestFit="1" customWidth="1"/>
    <col min="774" max="774" width="9.140625" style="33"/>
    <col min="775" max="775" width="9" style="33" customWidth="1"/>
    <col min="776" max="776" width="9.140625" style="33" bestFit="1" customWidth="1"/>
    <col min="777" max="777" width="9" style="33" customWidth="1"/>
    <col min="778" max="778" width="8.85546875" style="33" bestFit="1" customWidth="1"/>
    <col min="779" max="779" width="9.140625" style="33"/>
    <col min="780" max="780" width="8.85546875" style="33" bestFit="1" customWidth="1"/>
    <col min="781" max="781" width="9" style="33" bestFit="1" customWidth="1"/>
    <col min="782" max="782" width="9" style="33" customWidth="1"/>
    <col min="783" max="783" width="8.85546875" style="33" bestFit="1" customWidth="1"/>
    <col min="784" max="786" width="9.140625" style="33"/>
    <col min="787" max="787" width="24.140625" style="33" bestFit="1" customWidth="1"/>
    <col min="788" max="788" width="10.42578125" style="33" customWidth="1"/>
    <col min="789" max="789" width="10.28515625" style="33" customWidth="1"/>
    <col min="790" max="1024" width="9.140625" style="33"/>
    <col min="1025" max="1025" width="6.140625" style="33" customWidth="1"/>
    <col min="1026" max="1026" width="16.7109375" style="33" customWidth="1"/>
    <col min="1027" max="1028" width="9.85546875" style="33" bestFit="1" customWidth="1"/>
    <col min="1029" max="1029" width="9.140625" style="33" bestFit="1" customWidth="1"/>
    <col min="1030" max="1030" width="9.140625" style="33"/>
    <col min="1031" max="1031" width="9" style="33" customWidth="1"/>
    <col min="1032" max="1032" width="9.140625" style="33" bestFit="1" customWidth="1"/>
    <col min="1033" max="1033" width="9" style="33" customWidth="1"/>
    <col min="1034" max="1034" width="8.85546875" style="33" bestFit="1" customWidth="1"/>
    <col min="1035" max="1035" width="9.140625" style="33"/>
    <col min="1036" max="1036" width="8.85546875" style="33" bestFit="1" customWidth="1"/>
    <col min="1037" max="1037" width="9" style="33" bestFit="1" customWidth="1"/>
    <col min="1038" max="1038" width="9" style="33" customWidth="1"/>
    <col min="1039" max="1039" width="8.85546875" style="33" bestFit="1" customWidth="1"/>
    <col min="1040" max="1042" width="9.140625" style="33"/>
    <col min="1043" max="1043" width="24.140625" style="33" bestFit="1" customWidth="1"/>
    <col min="1044" max="1044" width="10.42578125" style="33" customWidth="1"/>
    <col min="1045" max="1045" width="10.28515625" style="33" customWidth="1"/>
    <col min="1046" max="1280" width="9.140625" style="33"/>
    <col min="1281" max="1281" width="6.140625" style="33" customWidth="1"/>
    <col min="1282" max="1282" width="16.7109375" style="33" customWidth="1"/>
    <col min="1283" max="1284" width="9.85546875" style="33" bestFit="1" customWidth="1"/>
    <col min="1285" max="1285" width="9.140625" style="33" bestFit="1" customWidth="1"/>
    <col min="1286" max="1286" width="9.140625" style="33"/>
    <col min="1287" max="1287" width="9" style="33" customWidth="1"/>
    <col min="1288" max="1288" width="9.140625" style="33" bestFit="1" customWidth="1"/>
    <col min="1289" max="1289" width="9" style="33" customWidth="1"/>
    <col min="1290" max="1290" width="8.85546875" style="33" bestFit="1" customWidth="1"/>
    <col min="1291" max="1291" width="9.140625" style="33"/>
    <col min="1292" max="1292" width="8.85546875" style="33" bestFit="1" customWidth="1"/>
    <col min="1293" max="1293" width="9" style="33" bestFit="1" customWidth="1"/>
    <col min="1294" max="1294" width="9" style="33" customWidth="1"/>
    <col min="1295" max="1295" width="8.85546875" style="33" bestFit="1" customWidth="1"/>
    <col min="1296" max="1298" width="9.140625" style="33"/>
    <col min="1299" max="1299" width="24.140625" style="33" bestFit="1" customWidth="1"/>
    <col min="1300" max="1300" width="10.42578125" style="33" customWidth="1"/>
    <col min="1301" max="1301" width="10.28515625" style="33" customWidth="1"/>
    <col min="1302" max="1536" width="9.140625" style="33"/>
    <col min="1537" max="1537" width="6.140625" style="33" customWidth="1"/>
    <col min="1538" max="1538" width="16.7109375" style="33" customWidth="1"/>
    <col min="1539" max="1540" width="9.85546875" style="33" bestFit="1" customWidth="1"/>
    <col min="1541" max="1541" width="9.140625" style="33" bestFit="1" customWidth="1"/>
    <col min="1542" max="1542" width="9.140625" style="33"/>
    <col min="1543" max="1543" width="9" style="33" customWidth="1"/>
    <col min="1544" max="1544" width="9.140625" style="33" bestFit="1" customWidth="1"/>
    <col min="1545" max="1545" width="9" style="33" customWidth="1"/>
    <col min="1546" max="1546" width="8.85546875" style="33" bestFit="1" customWidth="1"/>
    <col min="1547" max="1547" width="9.140625" style="33"/>
    <col min="1548" max="1548" width="8.85546875" style="33" bestFit="1" customWidth="1"/>
    <col min="1549" max="1549" width="9" style="33" bestFit="1" customWidth="1"/>
    <col min="1550" max="1550" width="9" style="33" customWidth="1"/>
    <col min="1551" max="1551" width="8.85546875" style="33" bestFit="1" customWidth="1"/>
    <col min="1552" max="1554" width="9.140625" style="33"/>
    <col min="1555" max="1555" width="24.140625" style="33" bestFit="1" customWidth="1"/>
    <col min="1556" max="1556" width="10.42578125" style="33" customWidth="1"/>
    <col min="1557" max="1557" width="10.28515625" style="33" customWidth="1"/>
    <col min="1558" max="1792" width="9.140625" style="33"/>
    <col min="1793" max="1793" width="6.140625" style="33" customWidth="1"/>
    <col min="1794" max="1794" width="16.7109375" style="33" customWidth="1"/>
    <col min="1795" max="1796" width="9.85546875" style="33" bestFit="1" customWidth="1"/>
    <col min="1797" max="1797" width="9.140625" style="33" bestFit="1" customWidth="1"/>
    <col min="1798" max="1798" width="9.140625" style="33"/>
    <col min="1799" max="1799" width="9" style="33" customWidth="1"/>
    <col min="1800" max="1800" width="9.140625" style="33" bestFit="1" customWidth="1"/>
    <col min="1801" max="1801" width="9" style="33" customWidth="1"/>
    <col min="1802" max="1802" width="8.85546875" style="33" bestFit="1" customWidth="1"/>
    <col min="1803" max="1803" width="9.140625" style="33"/>
    <col min="1804" max="1804" width="8.85546875" style="33" bestFit="1" customWidth="1"/>
    <col min="1805" max="1805" width="9" style="33" bestFit="1" customWidth="1"/>
    <col min="1806" max="1806" width="9" style="33" customWidth="1"/>
    <col min="1807" max="1807" width="8.85546875" style="33" bestFit="1" customWidth="1"/>
    <col min="1808" max="1810" width="9.140625" style="33"/>
    <col min="1811" max="1811" width="24.140625" style="33" bestFit="1" customWidth="1"/>
    <col min="1812" max="1812" width="10.42578125" style="33" customWidth="1"/>
    <col min="1813" max="1813" width="10.28515625" style="33" customWidth="1"/>
    <col min="1814" max="2048" width="9.140625" style="33"/>
    <col min="2049" max="2049" width="6.140625" style="33" customWidth="1"/>
    <col min="2050" max="2050" width="16.7109375" style="33" customWidth="1"/>
    <col min="2051" max="2052" width="9.85546875" style="33" bestFit="1" customWidth="1"/>
    <col min="2053" max="2053" width="9.140625" style="33" bestFit="1" customWidth="1"/>
    <col min="2054" max="2054" width="9.140625" style="33"/>
    <col min="2055" max="2055" width="9" style="33" customWidth="1"/>
    <col min="2056" max="2056" width="9.140625" style="33" bestFit="1" customWidth="1"/>
    <col min="2057" max="2057" width="9" style="33" customWidth="1"/>
    <col min="2058" max="2058" width="8.85546875" style="33" bestFit="1" customWidth="1"/>
    <col min="2059" max="2059" width="9.140625" style="33"/>
    <col min="2060" max="2060" width="8.85546875" style="33" bestFit="1" customWidth="1"/>
    <col min="2061" max="2061" width="9" style="33" bestFit="1" customWidth="1"/>
    <col min="2062" max="2062" width="9" style="33" customWidth="1"/>
    <col min="2063" max="2063" width="8.85546875" style="33" bestFit="1" customWidth="1"/>
    <col min="2064" max="2066" width="9.140625" style="33"/>
    <col min="2067" max="2067" width="24.140625" style="33" bestFit="1" customWidth="1"/>
    <col min="2068" max="2068" width="10.42578125" style="33" customWidth="1"/>
    <col min="2069" max="2069" width="10.28515625" style="33" customWidth="1"/>
    <col min="2070" max="2304" width="9.140625" style="33"/>
    <col min="2305" max="2305" width="6.140625" style="33" customWidth="1"/>
    <col min="2306" max="2306" width="16.7109375" style="33" customWidth="1"/>
    <col min="2307" max="2308" width="9.85546875" style="33" bestFit="1" customWidth="1"/>
    <col min="2309" max="2309" width="9.140625" style="33" bestFit="1" customWidth="1"/>
    <col min="2310" max="2310" width="9.140625" style="33"/>
    <col min="2311" max="2311" width="9" style="33" customWidth="1"/>
    <col min="2312" max="2312" width="9.140625" style="33" bestFit="1" customWidth="1"/>
    <col min="2313" max="2313" width="9" style="33" customWidth="1"/>
    <col min="2314" max="2314" width="8.85546875" style="33" bestFit="1" customWidth="1"/>
    <col min="2315" max="2315" width="9.140625" style="33"/>
    <col min="2316" max="2316" width="8.85546875" style="33" bestFit="1" customWidth="1"/>
    <col min="2317" max="2317" width="9" style="33" bestFit="1" customWidth="1"/>
    <col min="2318" max="2318" width="9" style="33" customWidth="1"/>
    <col min="2319" max="2319" width="8.85546875" style="33" bestFit="1" customWidth="1"/>
    <col min="2320" max="2322" width="9.140625" style="33"/>
    <col min="2323" max="2323" width="24.140625" style="33" bestFit="1" customWidth="1"/>
    <col min="2324" max="2324" width="10.42578125" style="33" customWidth="1"/>
    <col min="2325" max="2325" width="10.28515625" style="33" customWidth="1"/>
    <col min="2326" max="2560" width="9.140625" style="33"/>
    <col min="2561" max="2561" width="6.140625" style="33" customWidth="1"/>
    <col min="2562" max="2562" width="16.7109375" style="33" customWidth="1"/>
    <col min="2563" max="2564" width="9.85546875" style="33" bestFit="1" customWidth="1"/>
    <col min="2565" max="2565" width="9.140625" style="33" bestFit="1" customWidth="1"/>
    <col min="2566" max="2566" width="9.140625" style="33"/>
    <col min="2567" max="2567" width="9" style="33" customWidth="1"/>
    <col min="2568" max="2568" width="9.140625" style="33" bestFit="1" customWidth="1"/>
    <col min="2569" max="2569" width="9" style="33" customWidth="1"/>
    <col min="2570" max="2570" width="8.85546875" style="33" bestFit="1" customWidth="1"/>
    <col min="2571" max="2571" width="9.140625" style="33"/>
    <col min="2572" max="2572" width="8.85546875" style="33" bestFit="1" customWidth="1"/>
    <col min="2573" max="2573" width="9" style="33" bestFit="1" customWidth="1"/>
    <col min="2574" max="2574" width="9" style="33" customWidth="1"/>
    <col min="2575" max="2575" width="8.85546875" style="33" bestFit="1" customWidth="1"/>
    <col min="2576" max="2578" width="9.140625" style="33"/>
    <col min="2579" max="2579" width="24.140625" style="33" bestFit="1" customWidth="1"/>
    <col min="2580" max="2580" width="10.42578125" style="33" customWidth="1"/>
    <col min="2581" max="2581" width="10.28515625" style="33" customWidth="1"/>
    <col min="2582" max="2816" width="9.140625" style="33"/>
    <col min="2817" max="2817" width="6.140625" style="33" customWidth="1"/>
    <col min="2818" max="2818" width="16.7109375" style="33" customWidth="1"/>
    <col min="2819" max="2820" width="9.85546875" style="33" bestFit="1" customWidth="1"/>
    <col min="2821" max="2821" width="9.140625" style="33" bestFit="1" customWidth="1"/>
    <col min="2822" max="2822" width="9.140625" style="33"/>
    <col min="2823" max="2823" width="9" style="33" customWidth="1"/>
    <col min="2824" max="2824" width="9.140625" style="33" bestFit="1" customWidth="1"/>
    <col min="2825" max="2825" width="9" style="33" customWidth="1"/>
    <col min="2826" max="2826" width="8.85546875" style="33" bestFit="1" customWidth="1"/>
    <col min="2827" max="2827" width="9.140625" style="33"/>
    <col min="2828" max="2828" width="8.85546875" style="33" bestFit="1" customWidth="1"/>
    <col min="2829" max="2829" width="9" style="33" bestFit="1" customWidth="1"/>
    <col min="2830" max="2830" width="9" style="33" customWidth="1"/>
    <col min="2831" max="2831" width="8.85546875" style="33" bestFit="1" customWidth="1"/>
    <col min="2832" max="2834" width="9.140625" style="33"/>
    <col min="2835" max="2835" width="24.140625" style="33" bestFit="1" customWidth="1"/>
    <col min="2836" max="2836" width="10.42578125" style="33" customWidth="1"/>
    <col min="2837" max="2837" width="10.28515625" style="33" customWidth="1"/>
    <col min="2838" max="3072" width="9.140625" style="33"/>
    <col min="3073" max="3073" width="6.140625" style="33" customWidth="1"/>
    <col min="3074" max="3074" width="16.7109375" style="33" customWidth="1"/>
    <col min="3075" max="3076" width="9.85546875" style="33" bestFit="1" customWidth="1"/>
    <col min="3077" max="3077" width="9.140625" style="33" bestFit="1" customWidth="1"/>
    <col min="3078" max="3078" width="9.140625" style="33"/>
    <col min="3079" max="3079" width="9" style="33" customWidth="1"/>
    <col min="3080" max="3080" width="9.140625" style="33" bestFit="1" customWidth="1"/>
    <col min="3081" max="3081" width="9" style="33" customWidth="1"/>
    <col min="3082" max="3082" width="8.85546875" style="33" bestFit="1" customWidth="1"/>
    <col min="3083" max="3083" width="9.140625" style="33"/>
    <col min="3084" max="3084" width="8.85546875" style="33" bestFit="1" customWidth="1"/>
    <col min="3085" max="3085" width="9" style="33" bestFit="1" customWidth="1"/>
    <col min="3086" max="3086" width="9" style="33" customWidth="1"/>
    <col min="3087" max="3087" width="8.85546875" style="33" bestFit="1" customWidth="1"/>
    <col min="3088" max="3090" width="9.140625" style="33"/>
    <col min="3091" max="3091" width="24.140625" style="33" bestFit="1" customWidth="1"/>
    <col min="3092" max="3092" width="10.42578125" style="33" customWidth="1"/>
    <col min="3093" max="3093" width="10.28515625" style="33" customWidth="1"/>
    <col min="3094" max="3328" width="9.140625" style="33"/>
    <col min="3329" max="3329" width="6.140625" style="33" customWidth="1"/>
    <col min="3330" max="3330" width="16.7109375" style="33" customWidth="1"/>
    <col min="3331" max="3332" width="9.85546875" style="33" bestFit="1" customWidth="1"/>
    <col min="3333" max="3333" width="9.140625" style="33" bestFit="1" customWidth="1"/>
    <col min="3334" max="3334" width="9.140625" style="33"/>
    <col min="3335" max="3335" width="9" style="33" customWidth="1"/>
    <col min="3336" max="3336" width="9.140625" style="33" bestFit="1" customWidth="1"/>
    <col min="3337" max="3337" width="9" style="33" customWidth="1"/>
    <col min="3338" max="3338" width="8.85546875" style="33" bestFit="1" customWidth="1"/>
    <col min="3339" max="3339" width="9.140625" style="33"/>
    <col min="3340" max="3340" width="8.85546875" style="33" bestFit="1" customWidth="1"/>
    <col min="3341" max="3341" width="9" style="33" bestFit="1" customWidth="1"/>
    <col min="3342" max="3342" width="9" style="33" customWidth="1"/>
    <col min="3343" max="3343" width="8.85546875" style="33" bestFit="1" customWidth="1"/>
    <col min="3344" max="3346" width="9.140625" style="33"/>
    <col min="3347" max="3347" width="24.140625" style="33" bestFit="1" customWidth="1"/>
    <col min="3348" max="3348" width="10.42578125" style="33" customWidth="1"/>
    <col min="3349" max="3349" width="10.28515625" style="33" customWidth="1"/>
    <col min="3350" max="3584" width="9.140625" style="33"/>
    <col min="3585" max="3585" width="6.140625" style="33" customWidth="1"/>
    <col min="3586" max="3586" width="16.7109375" style="33" customWidth="1"/>
    <col min="3587" max="3588" width="9.85546875" style="33" bestFit="1" customWidth="1"/>
    <col min="3589" max="3589" width="9.140625" style="33" bestFit="1" customWidth="1"/>
    <col min="3590" max="3590" width="9.140625" style="33"/>
    <col min="3591" max="3591" width="9" style="33" customWidth="1"/>
    <col min="3592" max="3592" width="9.140625" style="33" bestFit="1" customWidth="1"/>
    <col min="3593" max="3593" width="9" style="33" customWidth="1"/>
    <col min="3594" max="3594" width="8.85546875" style="33" bestFit="1" customWidth="1"/>
    <col min="3595" max="3595" width="9.140625" style="33"/>
    <col min="3596" max="3596" width="8.85546875" style="33" bestFit="1" customWidth="1"/>
    <col min="3597" max="3597" width="9" style="33" bestFit="1" customWidth="1"/>
    <col min="3598" max="3598" width="9" style="33" customWidth="1"/>
    <col min="3599" max="3599" width="8.85546875" style="33" bestFit="1" customWidth="1"/>
    <col min="3600" max="3602" width="9.140625" style="33"/>
    <col min="3603" max="3603" width="24.140625" style="33" bestFit="1" customWidth="1"/>
    <col min="3604" max="3604" width="10.42578125" style="33" customWidth="1"/>
    <col min="3605" max="3605" width="10.28515625" style="33" customWidth="1"/>
    <col min="3606" max="3840" width="9.140625" style="33"/>
    <col min="3841" max="3841" width="6.140625" style="33" customWidth="1"/>
    <col min="3842" max="3842" width="16.7109375" style="33" customWidth="1"/>
    <col min="3843" max="3844" width="9.85546875" style="33" bestFit="1" customWidth="1"/>
    <col min="3845" max="3845" width="9.140625" style="33" bestFit="1" customWidth="1"/>
    <col min="3846" max="3846" width="9.140625" style="33"/>
    <col min="3847" max="3847" width="9" style="33" customWidth="1"/>
    <col min="3848" max="3848" width="9.140625" style="33" bestFit="1" customWidth="1"/>
    <col min="3849" max="3849" width="9" style="33" customWidth="1"/>
    <col min="3850" max="3850" width="8.85546875" style="33" bestFit="1" customWidth="1"/>
    <col min="3851" max="3851" width="9.140625" style="33"/>
    <col min="3852" max="3852" width="8.85546875" style="33" bestFit="1" customWidth="1"/>
    <col min="3853" max="3853" width="9" style="33" bestFit="1" customWidth="1"/>
    <col min="3854" max="3854" width="9" style="33" customWidth="1"/>
    <col min="3855" max="3855" width="8.85546875" style="33" bestFit="1" customWidth="1"/>
    <col min="3856" max="3858" width="9.140625" style="33"/>
    <col min="3859" max="3859" width="24.140625" style="33" bestFit="1" customWidth="1"/>
    <col min="3860" max="3860" width="10.42578125" style="33" customWidth="1"/>
    <col min="3861" max="3861" width="10.28515625" style="33" customWidth="1"/>
    <col min="3862" max="4096" width="9.140625" style="33"/>
    <col min="4097" max="4097" width="6.140625" style="33" customWidth="1"/>
    <col min="4098" max="4098" width="16.7109375" style="33" customWidth="1"/>
    <col min="4099" max="4100" width="9.85546875" style="33" bestFit="1" customWidth="1"/>
    <col min="4101" max="4101" width="9.140625" style="33" bestFit="1" customWidth="1"/>
    <col min="4102" max="4102" width="9.140625" style="33"/>
    <col min="4103" max="4103" width="9" style="33" customWidth="1"/>
    <col min="4104" max="4104" width="9.140625" style="33" bestFit="1" customWidth="1"/>
    <col min="4105" max="4105" width="9" style="33" customWidth="1"/>
    <col min="4106" max="4106" width="8.85546875" style="33" bestFit="1" customWidth="1"/>
    <col min="4107" max="4107" width="9.140625" style="33"/>
    <col min="4108" max="4108" width="8.85546875" style="33" bestFit="1" customWidth="1"/>
    <col min="4109" max="4109" width="9" style="33" bestFit="1" customWidth="1"/>
    <col min="4110" max="4110" width="9" style="33" customWidth="1"/>
    <col min="4111" max="4111" width="8.85546875" style="33" bestFit="1" customWidth="1"/>
    <col min="4112" max="4114" width="9.140625" style="33"/>
    <col min="4115" max="4115" width="24.140625" style="33" bestFit="1" customWidth="1"/>
    <col min="4116" max="4116" width="10.42578125" style="33" customWidth="1"/>
    <col min="4117" max="4117" width="10.28515625" style="33" customWidth="1"/>
    <col min="4118" max="4352" width="9.140625" style="33"/>
    <col min="4353" max="4353" width="6.140625" style="33" customWidth="1"/>
    <col min="4354" max="4354" width="16.7109375" style="33" customWidth="1"/>
    <col min="4355" max="4356" width="9.85546875" style="33" bestFit="1" customWidth="1"/>
    <col min="4357" max="4357" width="9.140625" style="33" bestFit="1" customWidth="1"/>
    <col min="4358" max="4358" width="9.140625" style="33"/>
    <col min="4359" max="4359" width="9" style="33" customWidth="1"/>
    <col min="4360" max="4360" width="9.140625" style="33" bestFit="1" customWidth="1"/>
    <col min="4361" max="4361" width="9" style="33" customWidth="1"/>
    <col min="4362" max="4362" width="8.85546875" style="33" bestFit="1" customWidth="1"/>
    <col min="4363" max="4363" width="9.140625" style="33"/>
    <col min="4364" max="4364" width="8.85546875" style="33" bestFit="1" customWidth="1"/>
    <col min="4365" max="4365" width="9" style="33" bestFit="1" customWidth="1"/>
    <col min="4366" max="4366" width="9" style="33" customWidth="1"/>
    <col min="4367" max="4367" width="8.85546875" style="33" bestFit="1" customWidth="1"/>
    <col min="4368" max="4370" width="9.140625" style="33"/>
    <col min="4371" max="4371" width="24.140625" style="33" bestFit="1" customWidth="1"/>
    <col min="4372" max="4372" width="10.42578125" style="33" customWidth="1"/>
    <col min="4373" max="4373" width="10.28515625" style="33" customWidth="1"/>
    <col min="4374" max="4608" width="9.140625" style="33"/>
    <col min="4609" max="4609" width="6.140625" style="33" customWidth="1"/>
    <col min="4610" max="4610" width="16.7109375" style="33" customWidth="1"/>
    <col min="4611" max="4612" width="9.85546875" style="33" bestFit="1" customWidth="1"/>
    <col min="4613" max="4613" width="9.140625" style="33" bestFit="1" customWidth="1"/>
    <col min="4614" max="4614" width="9.140625" style="33"/>
    <col min="4615" max="4615" width="9" style="33" customWidth="1"/>
    <col min="4616" max="4616" width="9.140625" style="33" bestFit="1" customWidth="1"/>
    <col min="4617" max="4617" width="9" style="33" customWidth="1"/>
    <col min="4618" max="4618" width="8.85546875" style="33" bestFit="1" customWidth="1"/>
    <col min="4619" max="4619" width="9.140625" style="33"/>
    <col min="4620" max="4620" width="8.85546875" style="33" bestFit="1" customWidth="1"/>
    <col min="4621" max="4621" width="9" style="33" bestFit="1" customWidth="1"/>
    <col min="4622" max="4622" width="9" style="33" customWidth="1"/>
    <col min="4623" max="4623" width="8.85546875" style="33" bestFit="1" customWidth="1"/>
    <col min="4624" max="4626" width="9.140625" style="33"/>
    <col min="4627" max="4627" width="24.140625" style="33" bestFit="1" customWidth="1"/>
    <col min="4628" max="4628" width="10.42578125" style="33" customWidth="1"/>
    <col min="4629" max="4629" width="10.28515625" style="33" customWidth="1"/>
    <col min="4630" max="4864" width="9.140625" style="33"/>
    <col min="4865" max="4865" width="6.140625" style="33" customWidth="1"/>
    <col min="4866" max="4866" width="16.7109375" style="33" customWidth="1"/>
    <col min="4867" max="4868" width="9.85546875" style="33" bestFit="1" customWidth="1"/>
    <col min="4869" max="4869" width="9.140625" style="33" bestFit="1" customWidth="1"/>
    <col min="4870" max="4870" width="9.140625" style="33"/>
    <col min="4871" max="4871" width="9" style="33" customWidth="1"/>
    <col min="4872" max="4872" width="9.140625" style="33" bestFit="1" customWidth="1"/>
    <col min="4873" max="4873" width="9" style="33" customWidth="1"/>
    <col min="4874" max="4874" width="8.85546875" style="33" bestFit="1" customWidth="1"/>
    <col min="4875" max="4875" width="9.140625" style="33"/>
    <col min="4876" max="4876" width="8.85546875" style="33" bestFit="1" customWidth="1"/>
    <col min="4877" max="4877" width="9" style="33" bestFit="1" customWidth="1"/>
    <col min="4878" max="4878" width="9" style="33" customWidth="1"/>
    <col min="4879" max="4879" width="8.85546875" style="33" bestFit="1" customWidth="1"/>
    <col min="4880" max="4882" width="9.140625" style="33"/>
    <col min="4883" max="4883" width="24.140625" style="33" bestFit="1" customWidth="1"/>
    <col min="4884" max="4884" width="10.42578125" style="33" customWidth="1"/>
    <col min="4885" max="4885" width="10.28515625" style="33" customWidth="1"/>
    <col min="4886" max="5120" width="9.140625" style="33"/>
    <col min="5121" max="5121" width="6.140625" style="33" customWidth="1"/>
    <col min="5122" max="5122" width="16.7109375" style="33" customWidth="1"/>
    <col min="5123" max="5124" width="9.85546875" style="33" bestFit="1" customWidth="1"/>
    <col min="5125" max="5125" width="9.140625" style="33" bestFit="1" customWidth="1"/>
    <col min="5126" max="5126" width="9.140625" style="33"/>
    <col min="5127" max="5127" width="9" style="33" customWidth="1"/>
    <col min="5128" max="5128" width="9.140625" style="33" bestFit="1" customWidth="1"/>
    <col min="5129" max="5129" width="9" style="33" customWidth="1"/>
    <col min="5130" max="5130" width="8.85546875" style="33" bestFit="1" customWidth="1"/>
    <col min="5131" max="5131" width="9.140625" style="33"/>
    <col min="5132" max="5132" width="8.85546875" style="33" bestFit="1" customWidth="1"/>
    <col min="5133" max="5133" width="9" style="33" bestFit="1" customWidth="1"/>
    <col min="5134" max="5134" width="9" style="33" customWidth="1"/>
    <col min="5135" max="5135" width="8.85546875" style="33" bestFit="1" customWidth="1"/>
    <col min="5136" max="5138" width="9.140625" style="33"/>
    <col min="5139" max="5139" width="24.140625" style="33" bestFit="1" customWidth="1"/>
    <col min="5140" max="5140" width="10.42578125" style="33" customWidth="1"/>
    <col min="5141" max="5141" width="10.28515625" style="33" customWidth="1"/>
    <col min="5142" max="5376" width="9.140625" style="33"/>
    <col min="5377" max="5377" width="6.140625" style="33" customWidth="1"/>
    <col min="5378" max="5378" width="16.7109375" style="33" customWidth="1"/>
    <col min="5379" max="5380" width="9.85546875" style="33" bestFit="1" customWidth="1"/>
    <col min="5381" max="5381" width="9.140625" style="33" bestFit="1" customWidth="1"/>
    <col min="5382" max="5382" width="9.140625" style="33"/>
    <col min="5383" max="5383" width="9" style="33" customWidth="1"/>
    <col min="5384" max="5384" width="9.140625" style="33" bestFit="1" customWidth="1"/>
    <col min="5385" max="5385" width="9" style="33" customWidth="1"/>
    <col min="5386" max="5386" width="8.85546875" style="33" bestFit="1" customWidth="1"/>
    <col min="5387" max="5387" width="9.140625" style="33"/>
    <col min="5388" max="5388" width="8.85546875" style="33" bestFit="1" customWidth="1"/>
    <col min="5389" max="5389" width="9" style="33" bestFit="1" customWidth="1"/>
    <col min="5390" max="5390" width="9" style="33" customWidth="1"/>
    <col min="5391" max="5391" width="8.85546875" style="33" bestFit="1" customWidth="1"/>
    <col min="5392" max="5394" width="9.140625" style="33"/>
    <col min="5395" max="5395" width="24.140625" style="33" bestFit="1" customWidth="1"/>
    <col min="5396" max="5396" width="10.42578125" style="33" customWidth="1"/>
    <col min="5397" max="5397" width="10.28515625" style="33" customWidth="1"/>
    <col min="5398" max="5632" width="9.140625" style="33"/>
    <col min="5633" max="5633" width="6.140625" style="33" customWidth="1"/>
    <col min="5634" max="5634" width="16.7109375" style="33" customWidth="1"/>
    <col min="5635" max="5636" width="9.85546875" style="33" bestFit="1" customWidth="1"/>
    <col min="5637" max="5637" width="9.140625" style="33" bestFit="1" customWidth="1"/>
    <col min="5638" max="5638" width="9.140625" style="33"/>
    <col min="5639" max="5639" width="9" style="33" customWidth="1"/>
    <col min="5640" max="5640" width="9.140625" style="33" bestFit="1" customWidth="1"/>
    <col min="5641" max="5641" width="9" style="33" customWidth="1"/>
    <col min="5642" max="5642" width="8.85546875" style="33" bestFit="1" customWidth="1"/>
    <col min="5643" max="5643" width="9.140625" style="33"/>
    <col min="5644" max="5644" width="8.85546875" style="33" bestFit="1" customWidth="1"/>
    <col min="5645" max="5645" width="9" style="33" bestFit="1" customWidth="1"/>
    <col min="5646" max="5646" width="9" style="33" customWidth="1"/>
    <col min="5647" max="5647" width="8.85546875" style="33" bestFit="1" customWidth="1"/>
    <col min="5648" max="5650" width="9.140625" style="33"/>
    <col min="5651" max="5651" width="24.140625" style="33" bestFit="1" customWidth="1"/>
    <col min="5652" max="5652" width="10.42578125" style="33" customWidth="1"/>
    <col min="5653" max="5653" width="10.28515625" style="33" customWidth="1"/>
    <col min="5654" max="5888" width="9.140625" style="33"/>
    <col min="5889" max="5889" width="6.140625" style="33" customWidth="1"/>
    <col min="5890" max="5890" width="16.7109375" style="33" customWidth="1"/>
    <col min="5891" max="5892" width="9.85546875" style="33" bestFit="1" customWidth="1"/>
    <col min="5893" max="5893" width="9.140625" style="33" bestFit="1" customWidth="1"/>
    <col min="5894" max="5894" width="9.140625" style="33"/>
    <col min="5895" max="5895" width="9" style="33" customWidth="1"/>
    <col min="5896" max="5896" width="9.140625" style="33" bestFit="1" customWidth="1"/>
    <col min="5897" max="5897" width="9" style="33" customWidth="1"/>
    <col min="5898" max="5898" width="8.85546875" style="33" bestFit="1" customWidth="1"/>
    <col min="5899" max="5899" width="9.140625" style="33"/>
    <col min="5900" max="5900" width="8.85546875" style="33" bestFit="1" customWidth="1"/>
    <col min="5901" max="5901" width="9" style="33" bestFit="1" customWidth="1"/>
    <col min="5902" max="5902" width="9" style="33" customWidth="1"/>
    <col min="5903" max="5903" width="8.85546875" style="33" bestFit="1" customWidth="1"/>
    <col min="5904" max="5906" width="9.140625" style="33"/>
    <col min="5907" max="5907" width="24.140625" style="33" bestFit="1" customWidth="1"/>
    <col min="5908" max="5908" width="10.42578125" style="33" customWidth="1"/>
    <col min="5909" max="5909" width="10.28515625" style="33" customWidth="1"/>
    <col min="5910" max="6144" width="9.140625" style="33"/>
    <col min="6145" max="6145" width="6.140625" style="33" customWidth="1"/>
    <col min="6146" max="6146" width="16.7109375" style="33" customWidth="1"/>
    <col min="6147" max="6148" width="9.85546875" style="33" bestFit="1" customWidth="1"/>
    <col min="6149" max="6149" width="9.140625" style="33" bestFit="1" customWidth="1"/>
    <col min="6150" max="6150" width="9.140625" style="33"/>
    <col min="6151" max="6151" width="9" style="33" customWidth="1"/>
    <col min="6152" max="6152" width="9.140625" style="33" bestFit="1" customWidth="1"/>
    <col min="6153" max="6153" width="9" style="33" customWidth="1"/>
    <col min="6154" max="6154" width="8.85546875" style="33" bestFit="1" customWidth="1"/>
    <col min="6155" max="6155" width="9.140625" style="33"/>
    <col min="6156" max="6156" width="8.85546875" style="33" bestFit="1" customWidth="1"/>
    <col min="6157" max="6157" width="9" style="33" bestFit="1" customWidth="1"/>
    <col min="6158" max="6158" width="9" style="33" customWidth="1"/>
    <col min="6159" max="6159" width="8.85546875" style="33" bestFit="1" customWidth="1"/>
    <col min="6160" max="6162" width="9.140625" style="33"/>
    <col min="6163" max="6163" width="24.140625" style="33" bestFit="1" customWidth="1"/>
    <col min="6164" max="6164" width="10.42578125" style="33" customWidth="1"/>
    <col min="6165" max="6165" width="10.28515625" style="33" customWidth="1"/>
    <col min="6166" max="6400" width="9.140625" style="33"/>
    <col min="6401" max="6401" width="6.140625" style="33" customWidth="1"/>
    <col min="6402" max="6402" width="16.7109375" style="33" customWidth="1"/>
    <col min="6403" max="6404" width="9.85546875" style="33" bestFit="1" customWidth="1"/>
    <col min="6405" max="6405" width="9.140625" style="33" bestFit="1" customWidth="1"/>
    <col min="6406" max="6406" width="9.140625" style="33"/>
    <col min="6407" max="6407" width="9" style="33" customWidth="1"/>
    <col min="6408" max="6408" width="9.140625" style="33" bestFit="1" customWidth="1"/>
    <col min="6409" max="6409" width="9" style="33" customWidth="1"/>
    <col min="6410" max="6410" width="8.85546875" style="33" bestFit="1" customWidth="1"/>
    <col min="6411" max="6411" width="9.140625" style="33"/>
    <col min="6412" max="6412" width="8.85546875" style="33" bestFit="1" customWidth="1"/>
    <col min="6413" max="6413" width="9" style="33" bestFit="1" customWidth="1"/>
    <col min="6414" max="6414" width="9" style="33" customWidth="1"/>
    <col min="6415" max="6415" width="8.85546875" style="33" bestFit="1" customWidth="1"/>
    <col min="6416" max="6418" width="9.140625" style="33"/>
    <col min="6419" max="6419" width="24.140625" style="33" bestFit="1" customWidth="1"/>
    <col min="6420" max="6420" width="10.42578125" style="33" customWidth="1"/>
    <col min="6421" max="6421" width="10.28515625" style="33" customWidth="1"/>
    <col min="6422" max="6656" width="9.140625" style="33"/>
    <col min="6657" max="6657" width="6.140625" style="33" customWidth="1"/>
    <col min="6658" max="6658" width="16.7109375" style="33" customWidth="1"/>
    <col min="6659" max="6660" width="9.85546875" style="33" bestFit="1" customWidth="1"/>
    <col min="6661" max="6661" width="9.140625" style="33" bestFit="1" customWidth="1"/>
    <col min="6662" max="6662" width="9.140625" style="33"/>
    <col min="6663" max="6663" width="9" style="33" customWidth="1"/>
    <col min="6664" max="6664" width="9.140625" style="33" bestFit="1" customWidth="1"/>
    <col min="6665" max="6665" width="9" style="33" customWidth="1"/>
    <col min="6666" max="6666" width="8.85546875" style="33" bestFit="1" customWidth="1"/>
    <col min="6667" max="6667" width="9.140625" style="33"/>
    <col min="6668" max="6668" width="8.85546875" style="33" bestFit="1" customWidth="1"/>
    <col min="6669" max="6669" width="9" style="33" bestFit="1" customWidth="1"/>
    <col min="6670" max="6670" width="9" style="33" customWidth="1"/>
    <col min="6671" max="6671" width="8.85546875" style="33" bestFit="1" customWidth="1"/>
    <col min="6672" max="6674" width="9.140625" style="33"/>
    <col min="6675" max="6675" width="24.140625" style="33" bestFit="1" customWidth="1"/>
    <col min="6676" max="6676" width="10.42578125" style="33" customWidth="1"/>
    <col min="6677" max="6677" width="10.28515625" style="33" customWidth="1"/>
    <col min="6678" max="6912" width="9.140625" style="33"/>
    <col min="6913" max="6913" width="6.140625" style="33" customWidth="1"/>
    <col min="6914" max="6914" width="16.7109375" style="33" customWidth="1"/>
    <col min="6915" max="6916" width="9.85546875" style="33" bestFit="1" customWidth="1"/>
    <col min="6917" max="6917" width="9.140625" style="33" bestFit="1" customWidth="1"/>
    <col min="6918" max="6918" width="9.140625" style="33"/>
    <col min="6919" max="6919" width="9" style="33" customWidth="1"/>
    <col min="6920" max="6920" width="9.140625" style="33" bestFit="1" customWidth="1"/>
    <col min="6921" max="6921" width="9" style="33" customWidth="1"/>
    <col min="6922" max="6922" width="8.85546875" style="33" bestFit="1" customWidth="1"/>
    <col min="6923" max="6923" width="9.140625" style="33"/>
    <col min="6924" max="6924" width="8.85546875" style="33" bestFit="1" customWidth="1"/>
    <col min="6925" max="6925" width="9" style="33" bestFit="1" customWidth="1"/>
    <col min="6926" max="6926" width="9" style="33" customWidth="1"/>
    <col min="6927" max="6927" width="8.85546875" style="33" bestFit="1" customWidth="1"/>
    <col min="6928" max="6930" width="9.140625" style="33"/>
    <col min="6931" max="6931" width="24.140625" style="33" bestFit="1" customWidth="1"/>
    <col min="6932" max="6932" width="10.42578125" style="33" customWidth="1"/>
    <col min="6933" max="6933" width="10.28515625" style="33" customWidth="1"/>
    <col min="6934" max="7168" width="9.140625" style="33"/>
    <col min="7169" max="7169" width="6.140625" style="33" customWidth="1"/>
    <col min="7170" max="7170" width="16.7109375" style="33" customWidth="1"/>
    <col min="7171" max="7172" width="9.85546875" style="33" bestFit="1" customWidth="1"/>
    <col min="7173" max="7173" width="9.140625" style="33" bestFit="1" customWidth="1"/>
    <col min="7174" max="7174" width="9.140625" style="33"/>
    <col min="7175" max="7175" width="9" style="33" customWidth="1"/>
    <col min="7176" max="7176" width="9.140625" style="33" bestFit="1" customWidth="1"/>
    <col min="7177" max="7177" width="9" style="33" customWidth="1"/>
    <col min="7178" max="7178" width="8.85546875" style="33" bestFit="1" customWidth="1"/>
    <col min="7179" max="7179" width="9.140625" style="33"/>
    <col min="7180" max="7180" width="8.85546875" style="33" bestFit="1" customWidth="1"/>
    <col min="7181" max="7181" width="9" style="33" bestFit="1" customWidth="1"/>
    <col min="7182" max="7182" width="9" style="33" customWidth="1"/>
    <col min="7183" max="7183" width="8.85546875" style="33" bestFit="1" customWidth="1"/>
    <col min="7184" max="7186" width="9.140625" style="33"/>
    <col min="7187" max="7187" width="24.140625" style="33" bestFit="1" customWidth="1"/>
    <col min="7188" max="7188" width="10.42578125" style="33" customWidth="1"/>
    <col min="7189" max="7189" width="10.28515625" style="33" customWidth="1"/>
    <col min="7190" max="7424" width="9.140625" style="33"/>
    <col min="7425" max="7425" width="6.140625" style="33" customWidth="1"/>
    <col min="7426" max="7426" width="16.7109375" style="33" customWidth="1"/>
    <col min="7427" max="7428" width="9.85546875" style="33" bestFit="1" customWidth="1"/>
    <col min="7429" max="7429" width="9.140625" style="33" bestFit="1" customWidth="1"/>
    <col min="7430" max="7430" width="9.140625" style="33"/>
    <col min="7431" max="7431" width="9" style="33" customWidth="1"/>
    <col min="7432" max="7432" width="9.140625" style="33" bestFit="1" customWidth="1"/>
    <col min="7433" max="7433" width="9" style="33" customWidth="1"/>
    <col min="7434" max="7434" width="8.85546875" style="33" bestFit="1" customWidth="1"/>
    <col min="7435" max="7435" width="9.140625" style="33"/>
    <col min="7436" max="7436" width="8.85546875" style="33" bestFit="1" customWidth="1"/>
    <col min="7437" max="7437" width="9" style="33" bestFit="1" customWidth="1"/>
    <col min="7438" max="7438" width="9" style="33" customWidth="1"/>
    <col min="7439" max="7439" width="8.85546875" style="33" bestFit="1" customWidth="1"/>
    <col min="7440" max="7442" width="9.140625" style="33"/>
    <col min="7443" max="7443" width="24.140625" style="33" bestFit="1" customWidth="1"/>
    <col min="7444" max="7444" width="10.42578125" style="33" customWidth="1"/>
    <col min="7445" max="7445" width="10.28515625" style="33" customWidth="1"/>
    <col min="7446" max="7680" width="9.140625" style="33"/>
    <col min="7681" max="7681" width="6.140625" style="33" customWidth="1"/>
    <col min="7682" max="7682" width="16.7109375" style="33" customWidth="1"/>
    <col min="7683" max="7684" width="9.85546875" style="33" bestFit="1" customWidth="1"/>
    <col min="7685" max="7685" width="9.140625" style="33" bestFit="1" customWidth="1"/>
    <col min="7686" max="7686" width="9.140625" style="33"/>
    <col min="7687" max="7687" width="9" style="33" customWidth="1"/>
    <col min="7688" max="7688" width="9.140625" style="33" bestFit="1" customWidth="1"/>
    <col min="7689" max="7689" width="9" style="33" customWidth="1"/>
    <col min="7690" max="7690" width="8.85546875" style="33" bestFit="1" customWidth="1"/>
    <col min="7691" max="7691" width="9.140625" style="33"/>
    <col min="7692" max="7692" width="8.85546875" style="33" bestFit="1" customWidth="1"/>
    <col min="7693" max="7693" width="9" style="33" bestFit="1" customWidth="1"/>
    <col min="7694" max="7694" width="9" style="33" customWidth="1"/>
    <col min="7695" max="7695" width="8.85546875" style="33" bestFit="1" customWidth="1"/>
    <col min="7696" max="7698" width="9.140625" style="33"/>
    <col min="7699" max="7699" width="24.140625" style="33" bestFit="1" customWidth="1"/>
    <col min="7700" max="7700" width="10.42578125" style="33" customWidth="1"/>
    <col min="7701" max="7701" width="10.28515625" style="33" customWidth="1"/>
    <col min="7702" max="7936" width="9.140625" style="33"/>
    <col min="7937" max="7937" width="6.140625" style="33" customWidth="1"/>
    <col min="7938" max="7938" width="16.7109375" style="33" customWidth="1"/>
    <col min="7939" max="7940" width="9.85546875" style="33" bestFit="1" customWidth="1"/>
    <col min="7941" max="7941" width="9.140625" style="33" bestFit="1" customWidth="1"/>
    <col min="7942" max="7942" width="9.140625" style="33"/>
    <col min="7943" max="7943" width="9" style="33" customWidth="1"/>
    <col min="7944" max="7944" width="9.140625" style="33" bestFit="1" customWidth="1"/>
    <col min="7945" max="7945" width="9" style="33" customWidth="1"/>
    <col min="7946" max="7946" width="8.85546875" style="33" bestFit="1" customWidth="1"/>
    <col min="7947" max="7947" width="9.140625" style="33"/>
    <col min="7948" max="7948" width="8.85546875" style="33" bestFit="1" customWidth="1"/>
    <col min="7949" max="7949" width="9" style="33" bestFit="1" customWidth="1"/>
    <col min="7950" max="7950" width="9" style="33" customWidth="1"/>
    <col min="7951" max="7951" width="8.85546875" style="33" bestFit="1" customWidth="1"/>
    <col min="7952" max="7954" width="9.140625" style="33"/>
    <col min="7955" max="7955" width="24.140625" style="33" bestFit="1" customWidth="1"/>
    <col min="7956" max="7956" width="10.42578125" style="33" customWidth="1"/>
    <col min="7957" max="7957" width="10.28515625" style="33" customWidth="1"/>
    <col min="7958" max="8192" width="9.140625" style="33"/>
    <col min="8193" max="8193" width="6.140625" style="33" customWidth="1"/>
    <col min="8194" max="8194" width="16.7109375" style="33" customWidth="1"/>
    <col min="8195" max="8196" width="9.85546875" style="33" bestFit="1" customWidth="1"/>
    <col min="8197" max="8197" width="9.140625" style="33" bestFit="1" customWidth="1"/>
    <col min="8198" max="8198" width="9.140625" style="33"/>
    <col min="8199" max="8199" width="9" style="33" customWidth="1"/>
    <col min="8200" max="8200" width="9.140625" style="33" bestFit="1" customWidth="1"/>
    <col min="8201" max="8201" width="9" style="33" customWidth="1"/>
    <col min="8202" max="8202" width="8.85546875" style="33" bestFit="1" customWidth="1"/>
    <col min="8203" max="8203" width="9.140625" style="33"/>
    <col min="8204" max="8204" width="8.85546875" style="33" bestFit="1" customWidth="1"/>
    <col min="8205" max="8205" width="9" style="33" bestFit="1" customWidth="1"/>
    <col min="8206" max="8206" width="9" style="33" customWidth="1"/>
    <col min="8207" max="8207" width="8.85546875" style="33" bestFit="1" customWidth="1"/>
    <col min="8208" max="8210" width="9.140625" style="33"/>
    <col min="8211" max="8211" width="24.140625" style="33" bestFit="1" customWidth="1"/>
    <col min="8212" max="8212" width="10.42578125" style="33" customWidth="1"/>
    <col min="8213" max="8213" width="10.28515625" style="33" customWidth="1"/>
    <col min="8214" max="8448" width="9.140625" style="33"/>
    <col min="8449" max="8449" width="6.140625" style="33" customWidth="1"/>
    <col min="8450" max="8450" width="16.7109375" style="33" customWidth="1"/>
    <col min="8451" max="8452" width="9.85546875" style="33" bestFit="1" customWidth="1"/>
    <col min="8453" max="8453" width="9.140625" style="33" bestFit="1" customWidth="1"/>
    <col min="8454" max="8454" width="9.140625" style="33"/>
    <col min="8455" max="8455" width="9" style="33" customWidth="1"/>
    <col min="8456" max="8456" width="9.140625" style="33" bestFit="1" customWidth="1"/>
    <col min="8457" max="8457" width="9" style="33" customWidth="1"/>
    <col min="8458" max="8458" width="8.85546875" style="33" bestFit="1" customWidth="1"/>
    <col min="8459" max="8459" width="9.140625" style="33"/>
    <col min="8460" max="8460" width="8.85546875" style="33" bestFit="1" customWidth="1"/>
    <col min="8461" max="8461" width="9" style="33" bestFit="1" customWidth="1"/>
    <col min="8462" max="8462" width="9" style="33" customWidth="1"/>
    <col min="8463" max="8463" width="8.85546875" style="33" bestFit="1" customWidth="1"/>
    <col min="8464" max="8466" width="9.140625" style="33"/>
    <col min="8467" max="8467" width="24.140625" style="33" bestFit="1" customWidth="1"/>
    <col min="8468" max="8468" width="10.42578125" style="33" customWidth="1"/>
    <col min="8469" max="8469" width="10.28515625" style="33" customWidth="1"/>
    <col min="8470" max="8704" width="9.140625" style="33"/>
    <col min="8705" max="8705" width="6.140625" style="33" customWidth="1"/>
    <col min="8706" max="8706" width="16.7109375" style="33" customWidth="1"/>
    <col min="8707" max="8708" width="9.85546875" style="33" bestFit="1" customWidth="1"/>
    <col min="8709" max="8709" width="9.140625" style="33" bestFit="1" customWidth="1"/>
    <col min="8710" max="8710" width="9.140625" style="33"/>
    <col min="8711" max="8711" width="9" style="33" customWidth="1"/>
    <col min="8712" max="8712" width="9.140625" style="33" bestFit="1" customWidth="1"/>
    <col min="8713" max="8713" width="9" style="33" customWidth="1"/>
    <col min="8714" max="8714" width="8.85546875" style="33" bestFit="1" customWidth="1"/>
    <col min="8715" max="8715" width="9.140625" style="33"/>
    <col min="8716" max="8716" width="8.85546875" style="33" bestFit="1" customWidth="1"/>
    <col min="8717" max="8717" width="9" style="33" bestFit="1" customWidth="1"/>
    <col min="8718" max="8718" width="9" style="33" customWidth="1"/>
    <col min="8719" max="8719" width="8.85546875" style="33" bestFit="1" customWidth="1"/>
    <col min="8720" max="8722" width="9.140625" style="33"/>
    <col min="8723" max="8723" width="24.140625" style="33" bestFit="1" customWidth="1"/>
    <col min="8724" max="8724" width="10.42578125" style="33" customWidth="1"/>
    <col min="8725" max="8725" width="10.28515625" style="33" customWidth="1"/>
    <col min="8726" max="8960" width="9.140625" style="33"/>
    <col min="8961" max="8961" width="6.140625" style="33" customWidth="1"/>
    <col min="8962" max="8962" width="16.7109375" style="33" customWidth="1"/>
    <col min="8963" max="8964" width="9.85546875" style="33" bestFit="1" customWidth="1"/>
    <col min="8965" max="8965" width="9.140625" style="33" bestFit="1" customWidth="1"/>
    <col min="8966" max="8966" width="9.140625" style="33"/>
    <col min="8967" max="8967" width="9" style="33" customWidth="1"/>
    <col min="8968" max="8968" width="9.140625" style="33" bestFit="1" customWidth="1"/>
    <col min="8969" max="8969" width="9" style="33" customWidth="1"/>
    <col min="8970" max="8970" width="8.85546875" style="33" bestFit="1" customWidth="1"/>
    <col min="8971" max="8971" width="9.140625" style="33"/>
    <col min="8972" max="8972" width="8.85546875" style="33" bestFit="1" customWidth="1"/>
    <col min="8973" max="8973" width="9" style="33" bestFit="1" customWidth="1"/>
    <col min="8974" max="8974" width="9" style="33" customWidth="1"/>
    <col min="8975" max="8975" width="8.85546875" style="33" bestFit="1" customWidth="1"/>
    <col min="8976" max="8978" width="9.140625" style="33"/>
    <col min="8979" max="8979" width="24.140625" style="33" bestFit="1" customWidth="1"/>
    <col min="8980" max="8980" width="10.42578125" style="33" customWidth="1"/>
    <col min="8981" max="8981" width="10.28515625" style="33" customWidth="1"/>
    <col min="8982" max="9216" width="9.140625" style="33"/>
    <col min="9217" max="9217" width="6.140625" style="33" customWidth="1"/>
    <col min="9218" max="9218" width="16.7109375" style="33" customWidth="1"/>
    <col min="9219" max="9220" width="9.85546875" style="33" bestFit="1" customWidth="1"/>
    <col min="9221" max="9221" width="9.140625" style="33" bestFit="1" customWidth="1"/>
    <col min="9222" max="9222" width="9.140625" style="33"/>
    <col min="9223" max="9223" width="9" style="33" customWidth="1"/>
    <col min="9224" max="9224" width="9.140625" style="33" bestFit="1" customWidth="1"/>
    <col min="9225" max="9225" width="9" style="33" customWidth="1"/>
    <col min="9226" max="9226" width="8.85546875" style="33" bestFit="1" customWidth="1"/>
    <col min="9227" max="9227" width="9.140625" style="33"/>
    <col min="9228" max="9228" width="8.85546875" style="33" bestFit="1" customWidth="1"/>
    <col min="9229" max="9229" width="9" style="33" bestFit="1" customWidth="1"/>
    <col min="9230" max="9230" width="9" style="33" customWidth="1"/>
    <col min="9231" max="9231" width="8.85546875" style="33" bestFit="1" customWidth="1"/>
    <col min="9232" max="9234" width="9.140625" style="33"/>
    <col min="9235" max="9235" width="24.140625" style="33" bestFit="1" customWidth="1"/>
    <col min="9236" max="9236" width="10.42578125" style="33" customWidth="1"/>
    <col min="9237" max="9237" width="10.28515625" style="33" customWidth="1"/>
    <col min="9238" max="9472" width="9.140625" style="33"/>
    <col min="9473" max="9473" width="6.140625" style="33" customWidth="1"/>
    <col min="9474" max="9474" width="16.7109375" style="33" customWidth="1"/>
    <col min="9475" max="9476" width="9.85546875" style="33" bestFit="1" customWidth="1"/>
    <col min="9477" max="9477" width="9.140625" style="33" bestFit="1" customWidth="1"/>
    <col min="9478" max="9478" width="9.140625" style="33"/>
    <col min="9479" max="9479" width="9" style="33" customWidth="1"/>
    <col min="9480" max="9480" width="9.140625" style="33" bestFit="1" customWidth="1"/>
    <col min="9481" max="9481" width="9" style="33" customWidth="1"/>
    <col min="9482" max="9482" width="8.85546875" style="33" bestFit="1" customWidth="1"/>
    <col min="9483" max="9483" width="9.140625" style="33"/>
    <col min="9484" max="9484" width="8.85546875" style="33" bestFit="1" customWidth="1"/>
    <col min="9485" max="9485" width="9" style="33" bestFit="1" customWidth="1"/>
    <col min="9486" max="9486" width="9" style="33" customWidth="1"/>
    <col min="9487" max="9487" width="8.85546875" style="33" bestFit="1" customWidth="1"/>
    <col min="9488" max="9490" width="9.140625" style="33"/>
    <col min="9491" max="9491" width="24.140625" style="33" bestFit="1" customWidth="1"/>
    <col min="9492" max="9492" width="10.42578125" style="33" customWidth="1"/>
    <col min="9493" max="9493" width="10.28515625" style="33" customWidth="1"/>
    <col min="9494" max="9728" width="9.140625" style="33"/>
    <col min="9729" max="9729" width="6.140625" style="33" customWidth="1"/>
    <col min="9730" max="9730" width="16.7109375" style="33" customWidth="1"/>
    <col min="9731" max="9732" width="9.85546875" style="33" bestFit="1" customWidth="1"/>
    <col min="9733" max="9733" width="9.140625" style="33" bestFit="1" customWidth="1"/>
    <col min="9734" max="9734" width="9.140625" style="33"/>
    <col min="9735" max="9735" width="9" style="33" customWidth="1"/>
    <col min="9736" max="9736" width="9.140625" style="33" bestFit="1" customWidth="1"/>
    <col min="9737" max="9737" width="9" style="33" customWidth="1"/>
    <col min="9738" max="9738" width="8.85546875" style="33" bestFit="1" customWidth="1"/>
    <col min="9739" max="9739" width="9.140625" style="33"/>
    <col min="9740" max="9740" width="8.85546875" style="33" bestFit="1" customWidth="1"/>
    <col min="9741" max="9741" width="9" style="33" bestFit="1" customWidth="1"/>
    <col min="9742" max="9742" width="9" style="33" customWidth="1"/>
    <col min="9743" max="9743" width="8.85546875" style="33" bestFit="1" customWidth="1"/>
    <col min="9744" max="9746" width="9.140625" style="33"/>
    <col min="9747" max="9747" width="24.140625" style="33" bestFit="1" customWidth="1"/>
    <col min="9748" max="9748" width="10.42578125" style="33" customWidth="1"/>
    <col min="9749" max="9749" width="10.28515625" style="33" customWidth="1"/>
    <col min="9750" max="9984" width="9.140625" style="33"/>
    <col min="9985" max="9985" width="6.140625" style="33" customWidth="1"/>
    <col min="9986" max="9986" width="16.7109375" style="33" customWidth="1"/>
    <col min="9987" max="9988" width="9.85546875" style="33" bestFit="1" customWidth="1"/>
    <col min="9989" max="9989" width="9.140625" style="33" bestFit="1" customWidth="1"/>
    <col min="9990" max="9990" width="9.140625" style="33"/>
    <col min="9991" max="9991" width="9" style="33" customWidth="1"/>
    <col min="9992" max="9992" width="9.140625" style="33" bestFit="1" customWidth="1"/>
    <col min="9993" max="9993" width="9" style="33" customWidth="1"/>
    <col min="9994" max="9994" width="8.85546875" style="33" bestFit="1" customWidth="1"/>
    <col min="9995" max="9995" width="9.140625" style="33"/>
    <col min="9996" max="9996" width="8.85546875" style="33" bestFit="1" customWidth="1"/>
    <col min="9997" max="9997" width="9" style="33" bestFit="1" customWidth="1"/>
    <col min="9998" max="9998" width="9" style="33" customWidth="1"/>
    <col min="9999" max="9999" width="8.85546875" style="33" bestFit="1" customWidth="1"/>
    <col min="10000" max="10002" width="9.140625" style="33"/>
    <col min="10003" max="10003" width="24.140625" style="33" bestFit="1" customWidth="1"/>
    <col min="10004" max="10004" width="10.42578125" style="33" customWidth="1"/>
    <col min="10005" max="10005" width="10.28515625" style="33" customWidth="1"/>
    <col min="10006" max="10240" width="9.140625" style="33"/>
    <col min="10241" max="10241" width="6.140625" style="33" customWidth="1"/>
    <col min="10242" max="10242" width="16.7109375" style="33" customWidth="1"/>
    <col min="10243" max="10244" width="9.85546875" style="33" bestFit="1" customWidth="1"/>
    <col min="10245" max="10245" width="9.140625" style="33" bestFit="1" customWidth="1"/>
    <col min="10246" max="10246" width="9.140625" style="33"/>
    <col min="10247" max="10247" width="9" style="33" customWidth="1"/>
    <col min="10248" max="10248" width="9.140625" style="33" bestFit="1" customWidth="1"/>
    <col min="10249" max="10249" width="9" style="33" customWidth="1"/>
    <col min="10250" max="10250" width="8.85546875" style="33" bestFit="1" customWidth="1"/>
    <col min="10251" max="10251" width="9.140625" style="33"/>
    <col min="10252" max="10252" width="8.85546875" style="33" bestFit="1" customWidth="1"/>
    <col min="10253" max="10253" width="9" style="33" bestFit="1" customWidth="1"/>
    <col min="10254" max="10254" width="9" style="33" customWidth="1"/>
    <col min="10255" max="10255" width="8.85546875" style="33" bestFit="1" customWidth="1"/>
    <col min="10256" max="10258" width="9.140625" style="33"/>
    <col min="10259" max="10259" width="24.140625" style="33" bestFit="1" customWidth="1"/>
    <col min="10260" max="10260" width="10.42578125" style="33" customWidth="1"/>
    <col min="10261" max="10261" width="10.28515625" style="33" customWidth="1"/>
    <col min="10262" max="10496" width="9.140625" style="33"/>
    <col min="10497" max="10497" width="6.140625" style="33" customWidth="1"/>
    <col min="10498" max="10498" width="16.7109375" style="33" customWidth="1"/>
    <col min="10499" max="10500" width="9.85546875" style="33" bestFit="1" customWidth="1"/>
    <col min="10501" max="10501" width="9.140625" style="33" bestFit="1" customWidth="1"/>
    <col min="10502" max="10502" width="9.140625" style="33"/>
    <col min="10503" max="10503" width="9" style="33" customWidth="1"/>
    <col min="10504" max="10504" width="9.140625" style="33" bestFit="1" customWidth="1"/>
    <col min="10505" max="10505" width="9" style="33" customWidth="1"/>
    <col min="10506" max="10506" width="8.85546875" style="33" bestFit="1" customWidth="1"/>
    <col min="10507" max="10507" width="9.140625" style="33"/>
    <col min="10508" max="10508" width="8.85546875" style="33" bestFit="1" customWidth="1"/>
    <col min="10509" max="10509" width="9" style="33" bestFit="1" customWidth="1"/>
    <col min="10510" max="10510" width="9" style="33" customWidth="1"/>
    <col min="10511" max="10511" width="8.85546875" style="33" bestFit="1" customWidth="1"/>
    <col min="10512" max="10514" width="9.140625" style="33"/>
    <col min="10515" max="10515" width="24.140625" style="33" bestFit="1" customWidth="1"/>
    <col min="10516" max="10516" width="10.42578125" style="33" customWidth="1"/>
    <col min="10517" max="10517" width="10.28515625" style="33" customWidth="1"/>
    <col min="10518" max="10752" width="9.140625" style="33"/>
    <col min="10753" max="10753" width="6.140625" style="33" customWidth="1"/>
    <col min="10754" max="10754" width="16.7109375" style="33" customWidth="1"/>
    <col min="10755" max="10756" width="9.85546875" style="33" bestFit="1" customWidth="1"/>
    <col min="10757" max="10757" width="9.140625" style="33" bestFit="1" customWidth="1"/>
    <col min="10758" max="10758" width="9.140625" style="33"/>
    <col min="10759" max="10759" width="9" style="33" customWidth="1"/>
    <col min="10760" max="10760" width="9.140625" style="33" bestFit="1" customWidth="1"/>
    <col min="10761" max="10761" width="9" style="33" customWidth="1"/>
    <col min="10762" max="10762" width="8.85546875" style="33" bestFit="1" customWidth="1"/>
    <col min="10763" max="10763" width="9.140625" style="33"/>
    <col min="10764" max="10764" width="8.85546875" style="33" bestFit="1" customWidth="1"/>
    <col min="10765" max="10765" width="9" style="33" bestFit="1" customWidth="1"/>
    <col min="10766" max="10766" width="9" style="33" customWidth="1"/>
    <col min="10767" max="10767" width="8.85546875" style="33" bestFit="1" customWidth="1"/>
    <col min="10768" max="10770" width="9.140625" style="33"/>
    <col min="10771" max="10771" width="24.140625" style="33" bestFit="1" customWidth="1"/>
    <col min="10772" max="10772" width="10.42578125" style="33" customWidth="1"/>
    <col min="10773" max="10773" width="10.28515625" style="33" customWidth="1"/>
    <col min="10774" max="11008" width="9.140625" style="33"/>
    <col min="11009" max="11009" width="6.140625" style="33" customWidth="1"/>
    <col min="11010" max="11010" width="16.7109375" style="33" customWidth="1"/>
    <col min="11011" max="11012" width="9.85546875" style="33" bestFit="1" customWidth="1"/>
    <col min="11013" max="11013" width="9.140625" style="33" bestFit="1" customWidth="1"/>
    <col min="11014" max="11014" width="9.140625" style="33"/>
    <col min="11015" max="11015" width="9" style="33" customWidth="1"/>
    <col min="11016" max="11016" width="9.140625" style="33" bestFit="1" customWidth="1"/>
    <col min="11017" max="11017" width="9" style="33" customWidth="1"/>
    <col min="11018" max="11018" width="8.85546875" style="33" bestFit="1" customWidth="1"/>
    <col min="11019" max="11019" width="9.140625" style="33"/>
    <col min="11020" max="11020" width="8.85546875" style="33" bestFit="1" customWidth="1"/>
    <col min="11021" max="11021" width="9" style="33" bestFit="1" customWidth="1"/>
    <col min="11022" max="11022" width="9" style="33" customWidth="1"/>
    <col min="11023" max="11023" width="8.85546875" style="33" bestFit="1" customWidth="1"/>
    <col min="11024" max="11026" width="9.140625" style="33"/>
    <col min="11027" max="11027" width="24.140625" style="33" bestFit="1" customWidth="1"/>
    <col min="11028" max="11028" width="10.42578125" style="33" customWidth="1"/>
    <col min="11029" max="11029" width="10.28515625" style="33" customWidth="1"/>
    <col min="11030" max="11264" width="9.140625" style="33"/>
    <col min="11265" max="11265" width="6.140625" style="33" customWidth="1"/>
    <col min="11266" max="11266" width="16.7109375" style="33" customWidth="1"/>
    <col min="11267" max="11268" width="9.85546875" style="33" bestFit="1" customWidth="1"/>
    <col min="11269" max="11269" width="9.140625" style="33" bestFit="1" customWidth="1"/>
    <col min="11270" max="11270" width="9.140625" style="33"/>
    <col min="11271" max="11271" width="9" style="33" customWidth="1"/>
    <col min="11272" max="11272" width="9.140625" style="33" bestFit="1" customWidth="1"/>
    <col min="11273" max="11273" width="9" style="33" customWidth="1"/>
    <col min="11274" max="11274" width="8.85546875" style="33" bestFit="1" customWidth="1"/>
    <col min="11275" max="11275" width="9.140625" style="33"/>
    <col min="11276" max="11276" width="8.85546875" style="33" bestFit="1" customWidth="1"/>
    <col min="11277" max="11277" width="9" style="33" bestFit="1" customWidth="1"/>
    <col min="11278" max="11278" width="9" style="33" customWidth="1"/>
    <col min="11279" max="11279" width="8.85546875" style="33" bestFit="1" customWidth="1"/>
    <col min="11280" max="11282" width="9.140625" style="33"/>
    <col min="11283" max="11283" width="24.140625" style="33" bestFit="1" customWidth="1"/>
    <col min="11284" max="11284" width="10.42578125" style="33" customWidth="1"/>
    <col min="11285" max="11285" width="10.28515625" style="33" customWidth="1"/>
    <col min="11286" max="11520" width="9.140625" style="33"/>
    <col min="11521" max="11521" width="6.140625" style="33" customWidth="1"/>
    <col min="11522" max="11522" width="16.7109375" style="33" customWidth="1"/>
    <col min="11523" max="11524" width="9.85546875" style="33" bestFit="1" customWidth="1"/>
    <col min="11525" max="11525" width="9.140625" style="33" bestFit="1" customWidth="1"/>
    <col min="11526" max="11526" width="9.140625" style="33"/>
    <col min="11527" max="11527" width="9" style="33" customWidth="1"/>
    <col min="11528" max="11528" width="9.140625" style="33" bestFit="1" customWidth="1"/>
    <col min="11529" max="11529" width="9" style="33" customWidth="1"/>
    <col min="11530" max="11530" width="8.85546875" style="33" bestFit="1" customWidth="1"/>
    <col min="11531" max="11531" width="9.140625" style="33"/>
    <col min="11532" max="11532" width="8.85546875" style="33" bestFit="1" customWidth="1"/>
    <col min="11533" max="11533" width="9" style="33" bestFit="1" customWidth="1"/>
    <col min="11534" max="11534" width="9" style="33" customWidth="1"/>
    <col min="11535" max="11535" width="8.85546875" style="33" bestFit="1" customWidth="1"/>
    <col min="11536" max="11538" width="9.140625" style="33"/>
    <col min="11539" max="11539" width="24.140625" style="33" bestFit="1" customWidth="1"/>
    <col min="11540" max="11540" width="10.42578125" style="33" customWidth="1"/>
    <col min="11541" max="11541" width="10.28515625" style="33" customWidth="1"/>
    <col min="11542" max="11776" width="9.140625" style="33"/>
    <col min="11777" max="11777" width="6.140625" style="33" customWidth="1"/>
    <col min="11778" max="11778" width="16.7109375" style="33" customWidth="1"/>
    <col min="11779" max="11780" width="9.85546875" style="33" bestFit="1" customWidth="1"/>
    <col min="11781" max="11781" width="9.140625" style="33" bestFit="1" customWidth="1"/>
    <col min="11782" max="11782" width="9.140625" style="33"/>
    <col min="11783" max="11783" width="9" style="33" customWidth="1"/>
    <col min="11784" max="11784" width="9.140625" style="33" bestFit="1" customWidth="1"/>
    <col min="11785" max="11785" width="9" style="33" customWidth="1"/>
    <col min="11786" max="11786" width="8.85546875" style="33" bestFit="1" customWidth="1"/>
    <col min="11787" max="11787" width="9.140625" style="33"/>
    <col min="11788" max="11788" width="8.85546875" style="33" bestFit="1" customWidth="1"/>
    <col min="11789" max="11789" width="9" style="33" bestFit="1" customWidth="1"/>
    <col min="11790" max="11790" width="9" style="33" customWidth="1"/>
    <col min="11791" max="11791" width="8.85546875" style="33" bestFit="1" customWidth="1"/>
    <col min="11792" max="11794" width="9.140625" style="33"/>
    <col min="11795" max="11795" width="24.140625" style="33" bestFit="1" customWidth="1"/>
    <col min="11796" max="11796" width="10.42578125" style="33" customWidth="1"/>
    <col min="11797" max="11797" width="10.28515625" style="33" customWidth="1"/>
    <col min="11798" max="12032" width="9.140625" style="33"/>
    <col min="12033" max="12033" width="6.140625" style="33" customWidth="1"/>
    <col min="12034" max="12034" width="16.7109375" style="33" customWidth="1"/>
    <col min="12035" max="12036" width="9.85546875" style="33" bestFit="1" customWidth="1"/>
    <col min="12037" max="12037" width="9.140625" style="33" bestFit="1" customWidth="1"/>
    <col min="12038" max="12038" width="9.140625" style="33"/>
    <col min="12039" max="12039" width="9" style="33" customWidth="1"/>
    <col min="12040" max="12040" width="9.140625" style="33" bestFit="1" customWidth="1"/>
    <col min="12041" max="12041" width="9" style="33" customWidth="1"/>
    <col min="12042" max="12042" width="8.85546875" style="33" bestFit="1" customWidth="1"/>
    <col min="12043" max="12043" width="9.140625" style="33"/>
    <col min="12044" max="12044" width="8.85546875" style="33" bestFit="1" customWidth="1"/>
    <col min="12045" max="12045" width="9" style="33" bestFit="1" customWidth="1"/>
    <col min="12046" max="12046" width="9" style="33" customWidth="1"/>
    <col min="12047" max="12047" width="8.85546875" style="33" bestFit="1" customWidth="1"/>
    <col min="12048" max="12050" width="9.140625" style="33"/>
    <col min="12051" max="12051" width="24.140625" style="33" bestFit="1" customWidth="1"/>
    <col min="12052" max="12052" width="10.42578125" style="33" customWidth="1"/>
    <col min="12053" max="12053" width="10.28515625" style="33" customWidth="1"/>
    <col min="12054" max="12288" width="9.140625" style="33"/>
    <col min="12289" max="12289" width="6.140625" style="33" customWidth="1"/>
    <col min="12290" max="12290" width="16.7109375" style="33" customWidth="1"/>
    <col min="12291" max="12292" width="9.85546875" style="33" bestFit="1" customWidth="1"/>
    <col min="12293" max="12293" width="9.140625" style="33" bestFit="1" customWidth="1"/>
    <col min="12294" max="12294" width="9.140625" style="33"/>
    <col min="12295" max="12295" width="9" style="33" customWidth="1"/>
    <col min="12296" max="12296" width="9.140625" style="33" bestFit="1" customWidth="1"/>
    <col min="12297" max="12297" width="9" style="33" customWidth="1"/>
    <col min="12298" max="12298" width="8.85546875" style="33" bestFit="1" customWidth="1"/>
    <col min="12299" max="12299" width="9.140625" style="33"/>
    <col min="12300" max="12300" width="8.85546875" style="33" bestFit="1" customWidth="1"/>
    <col min="12301" max="12301" width="9" style="33" bestFit="1" customWidth="1"/>
    <col min="12302" max="12302" width="9" style="33" customWidth="1"/>
    <col min="12303" max="12303" width="8.85546875" style="33" bestFit="1" customWidth="1"/>
    <col min="12304" max="12306" width="9.140625" style="33"/>
    <col min="12307" max="12307" width="24.140625" style="33" bestFit="1" customWidth="1"/>
    <col min="12308" max="12308" width="10.42578125" style="33" customWidth="1"/>
    <col min="12309" max="12309" width="10.28515625" style="33" customWidth="1"/>
    <col min="12310" max="12544" width="9.140625" style="33"/>
    <col min="12545" max="12545" width="6.140625" style="33" customWidth="1"/>
    <col min="12546" max="12546" width="16.7109375" style="33" customWidth="1"/>
    <col min="12547" max="12548" width="9.85546875" style="33" bestFit="1" customWidth="1"/>
    <col min="12549" max="12549" width="9.140625" style="33" bestFit="1" customWidth="1"/>
    <col min="12550" max="12550" width="9.140625" style="33"/>
    <col min="12551" max="12551" width="9" style="33" customWidth="1"/>
    <col min="12552" max="12552" width="9.140625" style="33" bestFit="1" customWidth="1"/>
    <col min="12553" max="12553" width="9" style="33" customWidth="1"/>
    <col min="12554" max="12554" width="8.85546875" style="33" bestFit="1" customWidth="1"/>
    <col min="12555" max="12555" width="9.140625" style="33"/>
    <col min="12556" max="12556" width="8.85546875" style="33" bestFit="1" customWidth="1"/>
    <col min="12557" max="12557" width="9" style="33" bestFit="1" customWidth="1"/>
    <col min="12558" max="12558" width="9" style="33" customWidth="1"/>
    <col min="12559" max="12559" width="8.85546875" style="33" bestFit="1" customWidth="1"/>
    <col min="12560" max="12562" width="9.140625" style="33"/>
    <col min="12563" max="12563" width="24.140625" style="33" bestFit="1" customWidth="1"/>
    <col min="12564" max="12564" width="10.42578125" style="33" customWidth="1"/>
    <col min="12565" max="12565" width="10.28515625" style="33" customWidth="1"/>
    <col min="12566" max="12800" width="9.140625" style="33"/>
    <col min="12801" max="12801" width="6.140625" style="33" customWidth="1"/>
    <col min="12802" max="12802" width="16.7109375" style="33" customWidth="1"/>
    <col min="12803" max="12804" width="9.85546875" style="33" bestFit="1" customWidth="1"/>
    <col min="12805" max="12805" width="9.140625" style="33" bestFit="1" customWidth="1"/>
    <col min="12806" max="12806" width="9.140625" style="33"/>
    <col min="12807" max="12807" width="9" style="33" customWidth="1"/>
    <col min="12808" max="12808" width="9.140625" style="33" bestFit="1" customWidth="1"/>
    <col min="12809" max="12809" width="9" style="33" customWidth="1"/>
    <col min="12810" max="12810" width="8.85546875" style="33" bestFit="1" customWidth="1"/>
    <col min="12811" max="12811" width="9.140625" style="33"/>
    <col min="12812" max="12812" width="8.85546875" style="33" bestFit="1" customWidth="1"/>
    <col min="12813" max="12813" width="9" style="33" bestFit="1" customWidth="1"/>
    <col min="12814" max="12814" width="9" style="33" customWidth="1"/>
    <col min="12815" max="12815" width="8.85546875" style="33" bestFit="1" customWidth="1"/>
    <col min="12816" max="12818" width="9.140625" style="33"/>
    <col min="12819" max="12819" width="24.140625" style="33" bestFit="1" customWidth="1"/>
    <col min="12820" max="12820" width="10.42578125" style="33" customWidth="1"/>
    <col min="12821" max="12821" width="10.28515625" style="33" customWidth="1"/>
    <col min="12822" max="13056" width="9.140625" style="33"/>
    <col min="13057" max="13057" width="6.140625" style="33" customWidth="1"/>
    <col min="13058" max="13058" width="16.7109375" style="33" customWidth="1"/>
    <col min="13059" max="13060" width="9.85546875" style="33" bestFit="1" customWidth="1"/>
    <col min="13061" max="13061" width="9.140625" style="33" bestFit="1" customWidth="1"/>
    <col min="13062" max="13062" width="9.140625" style="33"/>
    <col min="13063" max="13063" width="9" style="33" customWidth="1"/>
    <col min="13064" max="13064" width="9.140625" style="33" bestFit="1" customWidth="1"/>
    <col min="13065" max="13065" width="9" style="33" customWidth="1"/>
    <col min="13066" max="13066" width="8.85546875" style="33" bestFit="1" customWidth="1"/>
    <col min="13067" max="13067" width="9.140625" style="33"/>
    <col min="13068" max="13068" width="8.85546875" style="33" bestFit="1" customWidth="1"/>
    <col min="13069" max="13069" width="9" style="33" bestFit="1" customWidth="1"/>
    <col min="13070" max="13070" width="9" style="33" customWidth="1"/>
    <col min="13071" max="13071" width="8.85546875" style="33" bestFit="1" customWidth="1"/>
    <col min="13072" max="13074" width="9.140625" style="33"/>
    <col min="13075" max="13075" width="24.140625" style="33" bestFit="1" customWidth="1"/>
    <col min="13076" max="13076" width="10.42578125" style="33" customWidth="1"/>
    <col min="13077" max="13077" width="10.28515625" style="33" customWidth="1"/>
    <col min="13078" max="13312" width="9.140625" style="33"/>
    <col min="13313" max="13313" width="6.140625" style="33" customWidth="1"/>
    <col min="13314" max="13314" width="16.7109375" style="33" customWidth="1"/>
    <col min="13315" max="13316" width="9.85546875" style="33" bestFit="1" customWidth="1"/>
    <col min="13317" max="13317" width="9.140625" style="33" bestFit="1" customWidth="1"/>
    <col min="13318" max="13318" width="9.140625" style="33"/>
    <col min="13319" max="13319" width="9" style="33" customWidth="1"/>
    <col min="13320" max="13320" width="9.140625" style="33" bestFit="1" customWidth="1"/>
    <col min="13321" max="13321" width="9" style="33" customWidth="1"/>
    <col min="13322" max="13322" width="8.85546875" style="33" bestFit="1" customWidth="1"/>
    <col min="13323" max="13323" width="9.140625" style="33"/>
    <col min="13324" max="13324" width="8.85546875" style="33" bestFit="1" customWidth="1"/>
    <col min="13325" max="13325" width="9" style="33" bestFit="1" customWidth="1"/>
    <col min="13326" max="13326" width="9" style="33" customWidth="1"/>
    <col min="13327" max="13327" width="8.85546875" style="33" bestFit="1" customWidth="1"/>
    <col min="13328" max="13330" width="9.140625" style="33"/>
    <col min="13331" max="13331" width="24.140625" style="33" bestFit="1" customWidth="1"/>
    <col min="13332" max="13332" width="10.42578125" style="33" customWidth="1"/>
    <col min="13333" max="13333" width="10.28515625" style="33" customWidth="1"/>
    <col min="13334" max="13568" width="9.140625" style="33"/>
    <col min="13569" max="13569" width="6.140625" style="33" customWidth="1"/>
    <col min="13570" max="13570" width="16.7109375" style="33" customWidth="1"/>
    <col min="13571" max="13572" width="9.85546875" style="33" bestFit="1" customWidth="1"/>
    <col min="13573" max="13573" width="9.140625" style="33" bestFit="1" customWidth="1"/>
    <col min="13574" max="13574" width="9.140625" style="33"/>
    <col min="13575" max="13575" width="9" style="33" customWidth="1"/>
    <col min="13576" max="13576" width="9.140625" style="33" bestFit="1" customWidth="1"/>
    <col min="13577" max="13577" width="9" style="33" customWidth="1"/>
    <col min="13578" max="13578" width="8.85546875" style="33" bestFit="1" customWidth="1"/>
    <col min="13579" max="13579" width="9.140625" style="33"/>
    <col min="13580" max="13580" width="8.85546875" style="33" bestFit="1" customWidth="1"/>
    <col min="13581" max="13581" width="9" style="33" bestFit="1" customWidth="1"/>
    <col min="13582" max="13582" width="9" style="33" customWidth="1"/>
    <col min="13583" max="13583" width="8.85546875" style="33" bestFit="1" customWidth="1"/>
    <col min="13584" max="13586" width="9.140625" style="33"/>
    <col min="13587" max="13587" width="24.140625" style="33" bestFit="1" customWidth="1"/>
    <col min="13588" max="13588" width="10.42578125" style="33" customWidth="1"/>
    <col min="13589" max="13589" width="10.28515625" style="33" customWidth="1"/>
    <col min="13590" max="13824" width="9.140625" style="33"/>
    <col min="13825" max="13825" width="6.140625" style="33" customWidth="1"/>
    <col min="13826" max="13826" width="16.7109375" style="33" customWidth="1"/>
    <col min="13827" max="13828" width="9.85546875" style="33" bestFit="1" customWidth="1"/>
    <col min="13829" max="13829" width="9.140625" style="33" bestFit="1" customWidth="1"/>
    <col min="13830" max="13830" width="9.140625" style="33"/>
    <col min="13831" max="13831" width="9" style="33" customWidth="1"/>
    <col min="13832" max="13832" width="9.140625" style="33" bestFit="1" customWidth="1"/>
    <col min="13833" max="13833" width="9" style="33" customWidth="1"/>
    <col min="13834" max="13834" width="8.85546875" style="33" bestFit="1" customWidth="1"/>
    <col min="13835" max="13835" width="9.140625" style="33"/>
    <col min="13836" max="13836" width="8.85546875" style="33" bestFit="1" customWidth="1"/>
    <col min="13837" max="13837" width="9" style="33" bestFit="1" customWidth="1"/>
    <col min="13838" max="13838" width="9" style="33" customWidth="1"/>
    <col min="13839" max="13839" width="8.85546875" style="33" bestFit="1" customWidth="1"/>
    <col min="13840" max="13842" width="9.140625" style="33"/>
    <col min="13843" max="13843" width="24.140625" style="33" bestFit="1" customWidth="1"/>
    <col min="13844" max="13844" width="10.42578125" style="33" customWidth="1"/>
    <col min="13845" max="13845" width="10.28515625" style="33" customWidth="1"/>
    <col min="13846" max="14080" width="9.140625" style="33"/>
    <col min="14081" max="14081" width="6.140625" style="33" customWidth="1"/>
    <col min="14082" max="14082" width="16.7109375" style="33" customWidth="1"/>
    <col min="14083" max="14084" width="9.85546875" style="33" bestFit="1" customWidth="1"/>
    <col min="14085" max="14085" width="9.140625" style="33" bestFit="1" customWidth="1"/>
    <col min="14086" max="14086" width="9.140625" style="33"/>
    <col min="14087" max="14087" width="9" style="33" customWidth="1"/>
    <col min="14088" max="14088" width="9.140625" style="33" bestFit="1" customWidth="1"/>
    <col min="14089" max="14089" width="9" style="33" customWidth="1"/>
    <col min="14090" max="14090" width="8.85546875" style="33" bestFit="1" customWidth="1"/>
    <col min="14091" max="14091" width="9.140625" style="33"/>
    <col min="14092" max="14092" width="8.85546875" style="33" bestFit="1" customWidth="1"/>
    <col min="14093" max="14093" width="9" style="33" bestFit="1" customWidth="1"/>
    <col min="14094" max="14094" width="9" style="33" customWidth="1"/>
    <col min="14095" max="14095" width="8.85546875" style="33" bestFit="1" customWidth="1"/>
    <col min="14096" max="14098" width="9.140625" style="33"/>
    <col min="14099" max="14099" width="24.140625" style="33" bestFit="1" customWidth="1"/>
    <col min="14100" max="14100" width="10.42578125" style="33" customWidth="1"/>
    <col min="14101" max="14101" width="10.28515625" style="33" customWidth="1"/>
    <col min="14102" max="14336" width="9.140625" style="33"/>
    <col min="14337" max="14337" width="6.140625" style="33" customWidth="1"/>
    <col min="14338" max="14338" width="16.7109375" style="33" customWidth="1"/>
    <col min="14339" max="14340" width="9.85546875" style="33" bestFit="1" customWidth="1"/>
    <col min="14341" max="14341" width="9.140625" style="33" bestFit="1" customWidth="1"/>
    <col min="14342" max="14342" width="9.140625" style="33"/>
    <col min="14343" max="14343" width="9" style="33" customWidth="1"/>
    <col min="14344" max="14344" width="9.140625" style="33" bestFit="1" customWidth="1"/>
    <col min="14345" max="14345" width="9" style="33" customWidth="1"/>
    <col min="14346" max="14346" width="8.85546875" style="33" bestFit="1" customWidth="1"/>
    <col min="14347" max="14347" width="9.140625" style="33"/>
    <col min="14348" max="14348" width="8.85546875" style="33" bestFit="1" customWidth="1"/>
    <col min="14349" max="14349" width="9" style="33" bestFit="1" customWidth="1"/>
    <col min="14350" max="14350" width="9" style="33" customWidth="1"/>
    <col min="14351" max="14351" width="8.85546875" style="33" bestFit="1" customWidth="1"/>
    <col min="14352" max="14354" width="9.140625" style="33"/>
    <col min="14355" max="14355" width="24.140625" style="33" bestFit="1" customWidth="1"/>
    <col min="14356" max="14356" width="10.42578125" style="33" customWidth="1"/>
    <col min="14357" max="14357" width="10.28515625" style="33" customWidth="1"/>
    <col min="14358" max="14592" width="9.140625" style="33"/>
    <col min="14593" max="14593" width="6.140625" style="33" customWidth="1"/>
    <col min="14594" max="14594" width="16.7109375" style="33" customWidth="1"/>
    <col min="14595" max="14596" width="9.85546875" style="33" bestFit="1" customWidth="1"/>
    <col min="14597" max="14597" width="9.140625" style="33" bestFit="1" customWidth="1"/>
    <col min="14598" max="14598" width="9.140625" style="33"/>
    <col min="14599" max="14599" width="9" style="33" customWidth="1"/>
    <col min="14600" max="14600" width="9.140625" style="33" bestFit="1" customWidth="1"/>
    <col min="14601" max="14601" width="9" style="33" customWidth="1"/>
    <col min="14602" max="14602" width="8.85546875" style="33" bestFit="1" customWidth="1"/>
    <col min="14603" max="14603" width="9.140625" style="33"/>
    <col min="14604" max="14604" width="8.85546875" style="33" bestFit="1" customWidth="1"/>
    <col min="14605" max="14605" width="9" style="33" bestFit="1" customWidth="1"/>
    <col min="14606" max="14606" width="9" style="33" customWidth="1"/>
    <col min="14607" max="14607" width="8.85546875" style="33" bestFit="1" customWidth="1"/>
    <col min="14608" max="14610" width="9.140625" style="33"/>
    <col min="14611" max="14611" width="24.140625" style="33" bestFit="1" customWidth="1"/>
    <col min="14612" max="14612" width="10.42578125" style="33" customWidth="1"/>
    <col min="14613" max="14613" width="10.28515625" style="33" customWidth="1"/>
    <col min="14614" max="14848" width="9.140625" style="33"/>
    <col min="14849" max="14849" width="6.140625" style="33" customWidth="1"/>
    <col min="14850" max="14850" width="16.7109375" style="33" customWidth="1"/>
    <col min="14851" max="14852" width="9.85546875" style="33" bestFit="1" customWidth="1"/>
    <col min="14853" max="14853" width="9.140625" style="33" bestFit="1" customWidth="1"/>
    <col min="14854" max="14854" width="9.140625" style="33"/>
    <col min="14855" max="14855" width="9" style="33" customWidth="1"/>
    <col min="14856" max="14856" width="9.140625" style="33" bestFit="1" customWidth="1"/>
    <col min="14857" max="14857" width="9" style="33" customWidth="1"/>
    <col min="14858" max="14858" width="8.85546875" style="33" bestFit="1" customWidth="1"/>
    <col min="14859" max="14859" width="9.140625" style="33"/>
    <col min="14860" max="14860" width="8.85546875" style="33" bestFit="1" customWidth="1"/>
    <col min="14861" max="14861" width="9" style="33" bestFit="1" customWidth="1"/>
    <col min="14862" max="14862" width="9" style="33" customWidth="1"/>
    <col min="14863" max="14863" width="8.85546875" style="33" bestFit="1" customWidth="1"/>
    <col min="14864" max="14866" width="9.140625" style="33"/>
    <col min="14867" max="14867" width="24.140625" style="33" bestFit="1" customWidth="1"/>
    <col min="14868" max="14868" width="10.42578125" style="33" customWidth="1"/>
    <col min="14869" max="14869" width="10.28515625" style="33" customWidth="1"/>
    <col min="14870" max="15104" width="9.140625" style="33"/>
    <col min="15105" max="15105" width="6.140625" style="33" customWidth="1"/>
    <col min="15106" max="15106" width="16.7109375" style="33" customWidth="1"/>
    <col min="15107" max="15108" width="9.85546875" style="33" bestFit="1" customWidth="1"/>
    <col min="15109" max="15109" width="9.140625" style="33" bestFit="1" customWidth="1"/>
    <col min="15110" max="15110" width="9.140625" style="33"/>
    <col min="15111" max="15111" width="9" style="33" customWidth="1"/>
    <col min="15112" max="15112" width="9.140625" style="33" bestFit="1" customWidth="1"/>
    <col min="15113" max="15113" width="9" style="33" customWidth="1"/>
    <col min="15114" max="15114" width="8.85546875" style="33" bestFit="1" customWidth="1"/>
    <col min="15115" max="15115" width="9.140625" style="33"/>
    <col min="15116" max="15116" width="8.85546875" style="33" bestFit="1" customWidth="1"/>
    <col min="15117" max="15117" width="9" style="33" bestFit="1" customWidth="1"/>
    <col min="15118" max="15118" width="9" style="33" customWidth="1"/>
    <col min="15119" max="15119" width="8.85546875" style="33" bestFit="1" customWidth="1"/>
    <col min="15120" max="15122" width="9.140625" style="33"/>
    <col min="15123" max="15123" width="24.140625" style="33" bestFit="1" customWidth="1"/>
    <col min="15124" max="15124" width="10.42578125" style="33" customWidth="1"/>
    <col min="15125" max="15125" width="10.28515625" style="33" customWidth="1"/>
    <col min="15126" max="15360" width="9.140625" style="33"/>
    <col min="15361" max="15361" width="6.140625" style="33" customWidth="1"/>
    <col min="15362" max="15362" width="16.7109375" style="33" customWidth="1"/>
    <col min="15363" max="15364" width="9.85546875" style="33" bestFit="1" customWidth="1"/>
    <col min="15365" max="15365" width="9.140625" style="33" bestFit="1" customWidth="1"/>
    <col min="15366" max="15366" width="9.140625" style="33"/>
    <col min="15367" max="15367" width="9" style="33" customWidth="1"/>
    <col min="15368" max="15368" width="9.140625" style="33" bestFit="1" customWidth="1"/>
    <col min="15369" max="15369" width="9" style="33" customWidth="1"/>
    <col min="15370" max="15370" width="8.85546875" style="33" bestFit="1" customWidth="1"/>
    <col min="15371" max="15371" width="9.140625" style="33"/>
    <col min="15372" max="15372" width="8.85546875" style="33" bestFit="1" customWidth="1"/>
    <col min="15373" max="15373" width="9" style="33" bestFit="1" customWidth="1"/>
    <col min="15374" max="15374" width="9" style="33" customWidth="1"/>
    <col min="15375" max="15375" width="8.85546875" style="33" bestFit="1" customWidth="1"/>
    <col min="15376" max="15378" width="9.140625" style="33"/>
    <col min="15379" max="15379" width="24.140625" style="33" bestFit="1" customWidth="1"/>
    <col min="15380" max="15380" width="10.42578125" style="33" customWidth="1"/>
    <col min="15381" max="15381" width="10.28515625" style="33" customWidth="1"/>
    <col min="15382" max="15616" width="9.140625" style="33"/>
    <col min="15617" max="15617" width="6.140625" style="33" customWidth="1"/>
    <col min="15618" max="15618" width="16.7109375" style="33" customWidth="1"/>
    <col min="15619" max="15620" width="9.85546875" style="33" bestFit="1" customWidth="1"/>
    <col min="15621" max="15621" width="9.140625" style="33" bestFit="1" customWidth="1"/>
    <col min="15622" max="15622" width="9.140625" style="33"/>
    <col min="15623" max="15623" width="9" style="33" customWidth="1"/>
    <col min="15624" max="15624" width="9.140625" style="33" bestFit="1" customWidth="1"/>
    <col min="15625" max="15625" width="9" style="33" customWidth="1"/>
    <col min="15626" max="15626" width="8.85546875" style="33" bestFit="1" customWidth="1"/>
    <col min="15627" max="15627" width="9.140625" style="33"/>
    <col min="15628" max="15628" width="8.85546875" style="33" bestFit="1" customWidth="1"/>
    <col min="15629" max="15629" width="9" style="33" bestFit="1" customWidth="1"/>
    <col min="15630" max="15630" width="9" style="33" customWidth="1"/>
    <col min="15631" max="15631" width="8.85546875" style="33" bestFit="1" customWidth="1"/>
    <col min="15632" max="15634" width="9.140625" style="33"/>
    <col min="15635" max="15635" width="24.140625" style="33" bestFit="1" customWidth="1"/>
    <col min="15636" max="15636" width="10.42578125" style="33" customWidth="1"/>
    <col min="15637" max="15637" width="10.28515625" style="33" customWidth="1"/>
    <col min="15638" max="15872" width="9.140625" style="33"/>
    <col min="15873" max="15873" width="6.140625" style="33" customWidth="1"/>
    <col min="15874" max="15874" width="16.7109375" style="33" customWidth="1"/>
    <col min="15875" max="15876" width="9.85546875" style="33" bestFit="1" customWidth="1"/>
    <col min="15877" max="15877" width="9.140625" style="33" bestFit="1" customWidth="1"/>
    <col min="15878" max="15878" width="9.140625" style="33"/>
    <col min="15879" max="15879" width="9" style="33" customWidth="1"/>
    <col min="15880" max="15880" width="9.140625" style="33" bestFit="1" customWidth="1"/>
    <col min="15881" max="15881" width="9" style="33" customWidth="1"/>
    <col min="15882" max="15882" width="8.85546875" style="33" bestFit="1" customWidth="1"/>
    <col min="15883" max="15883" width="9.140625" style="33"/>
    <col min="15884" max="15884" width="8.85546875" style="33" bestFit="1" customWidth="1"/>
    <col min="15885" max="15885" width="9" style="33" bestFit="1" customWidth="1"/>
    <col min="15886" max="15886" width="9" style="33" customWidth="1"/>
    <col min="15887" max="15887" width="8.85546875" style="33" bestFit="1" customWidth="1"/>
    <col min="15888" max="15890" width="9.140625" style="33"/>
    <col min="15891" max="15891" width="24.140625" style="33" bestFit="1" customWidth="1"/>
    <col min="15892" max="15892" width="10.42578125" style="33" customWidth="1"/>
    <col min="15893" max="15893" width="10.28515625" style="33" customWidth="1"/>
    <col min="15894" max="16128" width="9.140625" style="33"/>
    <col min="16129" max="16129" width="6.140625" style="33" customWidth="1"/>
    <col min="16130" max="16130" width="16.7109375" style="33" customWidth="1"/>
    <col min="16131" max="16132" width="9.85546875" style="33" bestFit="1" customWidth="1"/>
    <col min="16133" max="16133" width="9.140625" style="33" bestFit="1" customWidth="1"/>
    <col min="16134" max="16134" width="9.140625" style="33"/>
    <col min="16135" max="16135" width="9" style="33" customWidth="1"/>
    <col min="16136" max="16136" width="9.140625" style="33" bestFit="1" customWidth="1"/>
    <col min="16137" max="16137" width="9" style="33" customWidth="1"/>
    <col min="16138" max="16138" width="8.85546875" style="33" bestFit="1" customWidth="1"/>
    <col min="16139" max="16139" width="9.140625" style="33"/>
    <col min="16140" max="16140" width="8.85546875" style="33" bestFit="1" customWidth="1"/>
    <col min="16141" max="16141" width="9" style="33" bestFit="1" customWidth="1"/>
    <col min="16142" max="16142" width="9" style="33" customWidth="1"/>
    <col min="16143" max="16143" width="8.85546875" style="33" bestFit="1" customWidth="1"/>
    <col min="16144" max="16146" width="9.140625" style="33"/>
    <col min="16147" max="16147" width="24.140625" style="33" bestFit="1" customWidth="1"/>
    <col min="16148" max="16148" width="10.42578125" style="33" customWidth="1"/>
    <col min="16149" max="16149" width="10.28515625" style="33" customWidth="1"/>
    <col min="16150" max="16384" width="9.140625" style="33"/>
  </cols>
  <sheetData>
    <row r="2" spans="2:18" ht="15.75" thickBot="1" x14ac:dyDescent="0.25">
      <c r="B2" s="147"/>
      <c r="C2" s="285" t="s">
        <v>359</v>
      </c>
      <c r="J2" s="35" t="s">
        <v>447</v>
      </c>
      <c r="K2" s="35"/>
    </row>
    <row r="3" spans="2:18" x14ac:dyDescent="0.15">
      <c r="B3" s="286"/>
      <c r="C3" s="287"/>
      <c r="D3" s="20">
        <f>DCLP!D4</f>
        <v>45078</v>
      </c>
      <c r="E3" s="20">
        <f>DCLP!E4</f>
        <v>45047</v>
      </c>
      <c r="F3" s="20">
        <f>DCLP!F4</f>
        <v>45017</v>
      </c>
      <c r="G3" s="20">
        <f>DCLP!G4</f>
        <v>44986</v>
      </c>
      <c r="H3" s="20">
        <f>DCLP!H4</f>
        <v>44958</v>
      </c>
      <c r="I3" s="20">
        <f>DCLP!I4</f>
        <v>44927</v>
      </c>
      <c r="J3" s="20">
        <f>DCLP!J4</f>
        <v>44896</v>
      </c>
      <c r="K3" s="20">
        <f>DCLP!K4</f>
        <v>44866</v>
      </c>
      <c r="L3" s="20">
        <f>DCLP!L4</f>
        <v>44835</v>
      </c>
      <c r="M3" s="20">
        <f>DCLP!M4</f>
        <v>44805</v>
      </c>
      <c r="N3" s="20">
        <f>DCLP!N4</f>
        <v>44774</v>
      </c>
      <c r="O3" s="20">
        <f>DCLP!O4</f>
        <v>44743</v>
      </c>
    </row>
    <row r="4" spans="2:18" ht="9" thickBot="1" x14ac:dyDescent="0.2">
      <c r="B4" s="288" t="s">
        <v>360</v>
      </c>
      <c r="C4" s="289"/>
      <c r="D4" s="21" t="s">
        <v>6</v>
      </c>
      <c r="E4" s="4" t="s">
        <v>7</v>
      </c>
      <c r="F4" s="21" t="s">
        <v>8</v>
      </c>
      <c r="G4" s="4" t="s">
        <v>9</v>
      </c>
      <c r="H4" s="21" t="s">
        <v>10</v>
      </c>
      <c r="I4" s="4" t="s">
        <v>11</v>
      </c>
      <c r="J4" s="21" t="s">
        <v>17</v>
      </c>
      <c r="K4" s="4" t="s">
        <v>18</v>
      </c>
      <c r="L4" s="21" t="s">
        <v>19</v>
      </c>
      <c r="M4" s="4" t="s">
        <v>20</v>
      </c>
      <c r="N4" s="21" t="s">
        <v>21</v>
      </c>
      <c r="O4" s="290" t="s">
        <v>22</v>
      </c>
      <c r="Q4" s="165"/>
      <c r="R4" s="338"/>
    </row>
    <row r="5" spans="2:18" x14ac:dyDescent="0.15">
      <c r="B5" s="291" t="s">
        <v>361</v>
      </c>
      <c r="C5" s="292">
        <f>(SUM(D5:O5))</f>
        <v>98216679.200691998</v>
      </c>
      <c r="D5" s="293">
        <f>DCLP!D30</f>
        <v>7842347.5184249999</v>
      </c>
      <c r="E5" s="293">
        <f>DCLP!E30</f>
        <v>7806671.1148440009</v>
      </c>
      <c r="F5" s="293">
        <f>DCLP!F30</f>
        <v>7788129.5237969998</v>
      </c>
      <c r="G5" s="293">
        <f>DCLP!G30</f>
        <v>7775904.1746960003</v>
      </c>
      <c r="H5" s="293">
        <f>DCLP!H30</f>
        <v>7699194.9789299993</v>
      </c>
      <c r="I5" s="293">
        <f>DCLP!I30</f>
        <v>7972980.1799999997</v>
      </c>
      <c r="J5" s="293">
        <f>DCLP!J30</f>
        <v>13452681.43</v>
      </c>
      <c r="K5" s="293">
        <f>DCLP!K30</f>
        <v>7805118.7499999991</v>
      </c>
      <c r="L5" s="293">
        <f>DCLP!L30</f>
        <v>7568670.3900000006</v>
      </c>
      <c r="M5" s="293">
        <f>DCLP!M30</f>
        <v>7648812.6099999994</v>
      </c>
      <c r="N5" s="293">
        <f>DCLP!N30</f>
        <v>7508933.0100000016</v>
      </c>
      <c r="O5" s="293">
        <f>DCLP!O30</f>
        <v>7347235.5200000014</v>
      </c>
      <c r="Q5" s="99"/>
      <c r="R5" s="99"/>
    </row>
    <row r="6" spans="2:18" x14ac:dyDescent="0.15">
      <c r="B6" s="207" t="s">
        <v>362</v>
      </c>
      <c r="C6" s="144">
        <f>RCL!C29</f>
        <v>129745178.91</v>
      </c>
      <c r="D6" s="144">
        <f>RCL!D29</f>
        <v>9758331.7599999979</v>
      </c>
      <c r="E6" s="144">
        <f>RCL!E29</f>
        <v>11472232.82</v>
      </c>
      <c r="F6" s="341">
        <f>RCL!F29</f>
        <v>10696326.48</v>
      </c>
      <c r="G6" s="144">
        <f>RCL!G29</f>
        <v>11476312.789999999</v>
      </c>
      <c r="H6" s="341">
        <f>RCL!H29</f>
        <v>10069373.73</v>
      </c>
      <c r="I6" s="144">
        <f>RCL!I29</f>
        <v>11625558.01</v>
      </c>
      <c r="J6" s="144">
        <f>RCL!J29</f>
        <v>14325676.780000001</v>
      </c>
      <c r="K6" s="144">
        <f>RCL!K29</f>
        <v>9425877.0600000005</v>
      </c>
      <c r="L6" s="144">
        <f>RCL!L29</f>
        <v>9673537.8600000013</v>
      </c>
      <c r="M6" s="144">
        <f>RCL!M29</f>
        <v>9410157.1300000008</v>
      </c>
      <c r="N6" s="144">
        <f>RCL!N29</f>
        <v>9066515.8599999994</v>
      </c>
      <c r="O6" s="144">
        <f>RCL!O29</f>
        <v>10509309.42</v>
      </c>
    </row>
    <row r="7" spans="2:18" x14ac:dyDescent="0.15">
      <c r="B7" s="85" t="s">
        <v>363</v>
      </c>
      <c r="C7" s="294">
        <f t="shared" ref="C7:O7" si="0">C5/C6</f>
        <v>0.75699675337317707</v>
      </c>
      <c r="D7" s="181">
        <f t="shared" si="0"/>
        <v>0.80365657894223941</v>
      </c>
      <c r="E7" s="181">
        <f t="shared" si="0"/>
        <v>0.68048402062014646</v>
      </c>
      <c r="F7" s="181">
        <f t="shared" si="0"/>
        <v>0.72811254764514255</v>
      </c>
      <c r="G7" s="181">
        <f t="shared" si="0"/>
        <v>0.67756119208179932</v>
      </c>
      <c r="H7" s="181">
        <f t="shared" si="0"/>
        <v>0.76461507789620986</v>
      </c>
      <c r="I7" s="181">
        <f t="shared" si="0"/>
        <v>0.6858148377171962</v>
      </c>
      <c r="J7" s="181">
        <f t="shared" si="0"/>
        <v>0.93906079528341824</v>
      </c>
      <c r="K7" s="181">
        <f t="shared" si="0"/>
        <v>0.82805225448166397</v>
      </c>
      <c r="L7" s="181">
        <f t="shared" si="0"/>
        <v>0.78240975530745471</v>
      </c>
      <c r="M7" s="181">
        <f t="shared" si="0"/>
        <v>0.81282517436560586</v>
      </c>
      <c r="N7" s="181">
        <f t="shared" si="0"/>
        <v>0.8282049164142754</v>
      </c>
      <c r="O7" s="181">
        <f t="shared" si="0"/>
        <v>0.6991168711825787</v>
      </c>
      <c r="Q7" s="34"/>
    </row>
    <row r="8" spans="2:18" x14ac:dyDescent="0.15">
      <c r="B8" s="207" t="s">
        <v>364</v>
      </c>
      <c r="C8" s="183">
        <v>0.54</v>
      </c>
      <c r="D8" s="183">
        <v>0.54</v>
      </c>
      <c r="E8" s="183">
        <v>0.54</v>
      </c>
      <c r="F8" s="183">
        <v>0.54</v>
      </c>
      <c r="G8" s="183">
        <v>0.54</v>
      </c>
      <c r="H8" s="183">
        <v>0.54</v>
      </c>
      <c r="I8" s="183">
        <v>0.54</v>
      </c>
      <c r="J8" s="183">
        <v>0.54</v>
      </c>
      <c r="K8" s="183">
        <v>0.54</v>
      </c>
      <c r="L8" s="183">
        <v>0.54</v>
      </c>
      <c r="M8" s="183">
        <v>0.54</v>
      </c>
      <c r="N8" s="183">
        <v>0.54</v>
      </c>
      <c r="O8" s="183">
        <v>0.54</v>
      </c>
    </row>
    <row r="9" spans="2:18" x14ac:dyDescent="0.15">
      <c r="B9" s="56" t="s">
        <v>436</v>
      </c>
      <c r="C9" s="33" t="s">
        <v>534</v>
      </c>
      <c r="D9" s="295"/>
      <c r="E9" s="295"/>
      <c r="F9" s="295"/>
      <c r="G9" s="295"/>
      <c r="H9" s="295"/>
      <c r="I9" s="295"/>
      <c r="J9" s="295"/>
      <c r="K9" s="295"/>
      <c r="L9" s="295"/>
      <c r="M9" s="295"/>
      <c r="N9" s="295"/>
      <c r="O9" s="295"/>
    </row>
    <row r="10" spans="2:18" x14ac:dyDescent="0.15">
      <c r="B10" s="438"/>
      <c r="C10" s="192" t="s">
        <v>1837</v>
      </c>
      <c r="D10" s="192"/>
      <c r="E10" s="192"/>
      <c r="F10" s="192"/>
    </row>
    <row r="11" spans="2:18" x14ac:dyDescent="0.15">
      <c r="B11" s="438"/>
      <c r="C11" s="33" t="s">
        <v>1840</v>
      </c>
      <c r="D11" s="192"/>
      <c r="E11" s="192"/>
      <c r="F11" s="192"/>
    </row>
    <row r="22" spans="17:17" x14ac:dyDescent="0.15">
      <c r="Q22" s="298"/>
    </row>
    <row r="52" spans="2:11" x14ac:dyDescent="0.15">
      <c r="B52" s="56" t="s">
        <v>365</v>
      </c>
      <c r="C52" s="78" t="s">
        <v>430</v>
      </c>
    </row>
    <row r="56" spans="2:11" s="31" customFormat="1" ht="11.25" x14ac:dyDescent="0.2">
      <c r="B56" s="28"/>
      <c r="C56" s="29" t="s">
        <v>23</v>
      </c>
      <c r="D56" s="28"/>
      <c r="E56" s="28"/>
      <c r="F56" s="30" t="s">
        <v>24</v>
      </c>
      <c r="G56" s="30"/>
      <c r="I56" s="29"/>
      <c r="J56" s="781" t="s">
        <v>25</v>
      </c>
      <c r="K56" s="32"/>
    </row>
    <row r="57" spans="2:11" s="31" customFormat="1" ht="11.25" x14ac:dyDescent="0.2">
      <c r="B57" s="28"/>
      <c r="C57" s="29" t="s">
        <v>26</v>
      </c>
      <c r="D57" s="28"/>
      <c r="E57" s="28"/>
      <c r="F57" s="30" t="s">
        <v>27</v>
      </c>
      <c r="G57" s="30"/>
      <c r="I57" s="29"/>
      <c r="J57" s="32" t="s">
        <v>28</v>
      </c>
      <c r="K57" s="32"/>
    </row>
    <row r="58" spans="2:11" x14ac:dyDescent="0.15">
      <c r="F58" s="34"/>
    </row>
    <row r="60" spans="2:11" x14ac:dyDescent="0.15">
      <c r="C60" s="338"/>
    </row>
    <row r="61" spans="2:11" x14ac:dyDescent="0.15">
      <c r="C61" s="338"/>
    </row>
    <row r="62" spans="2:11" x14ac:dyDescent="0.15">
      <c r="C62" s="338"/>
      <c r="D62" s="99"/>
    </row>
  </sheetData>
  <pageMargins left="0.511811024" right="0.511811024" top="0.78740157499999996" bottom="0.78740157499999996" header="0.31496062000000002" footer="0.31496062000000002"/>
  <pageSetup paperSize="9" orientation="landscape" horizontalDpi="0" verticalDpi="0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83"/>
  <sheetViews>
    <sheetView workbookViewId="0">
      <selection activeCell="J61" sqref="J61"/>
    </sheetView>
  </sheetViews>
  <sheetFormatPr defaultRowHeight="8.25" x14ac:dyDescent="0.15"/>
  <cols>
    <col min="1" max="1" width="5" style="3" customWidth="1"/>
    <col min="2" max="2" width="7.42578125" style="3" customWidth="1"/>
    <col min="3" max="3" width="3" style="3" customWidth="1"/>
    <col min="4" max="5" width="9.28515625" style="3" customWidth="1"/>
    <col min="6" max="6" width="8.5703125" style="3" customWidth="1"/>
    <col min="7" max="8" width="9.28515625" style="3" customWidth="1"/>
    <col min="9" max="9" width="9.140625" style="3" customWidth="1"/>
    <col min="10" max="10" width="9.140625" style="3" bestFit="1" customWidth="1"/>
    <col min="11" max="11" width="9.28515625" style="3" customWidth="1"/>
    <col min="12" max="12" width="9.7109375" style="3" customWidth="1"/>
    <col min="13" max="15" width="8.85546875" style="3" customWidth="1"/>
    <col min="16" max="16" width="9.5703125" style="3" customWidth="1"/>
    <col min="17" max="17" width="9.42578125" style="3" bestFit="1" customWidth="1"/>
    <col min="18" max="21" width="9.140625" style="3"/>
    <col min="22" max="22" width="13.7109375" style="3" customWidth="1"/>
    <col min="23" max="23" width="15.5703125" style="3" customWidth="1"/>
    <col min="24" max="24" width="18" style="3" customWidth="1"/>
    <col min="25" max="25" width="17.28515625" style="3" customWidth="1"/>
    <col min="26" max="263" width="9.140625" style="3"/>
    <col min="264" max="264" width="2.42578125" style="3" customWidth="1"/>
    <col min="265" max="265" width="10" style="3" customWidth="1"/>
    <col min="266" max="266" width="44.85546875" style="3" customWidth="1"/>
    <col min="267" max="267" width="5.140625" style="3" customWidth="1"/>
    <col min="268" max="268" width="13.7109375" style="3" bestFit="1" customWidth="1"/>
    <col min="269" max="271" width="12.7109375" style="3" bestFit="1" customWidth="1"/>
    <col min="272" max="272" width="13.7109375" style="3" bestFit="1" customWidth="1"/>
    <col min="273" max="273" width="5.5703125" style="3" bestFit="1" customWidth="1"/>
    <col min="274" max="519" width="9.140625" style="3"/>
    <col min="520" max="520" width="2.42578125" style="3" customWidth="1"/>
    <col min="521" max="521" width="10" style="3" customWidth="1"/>
    <col min="522" max="522" width="44.85546875" style="3" customWidth="1"/>
    <col min="523" max="523" width="5.140625" style="3" customWidth="1"/>
    <col min="524" max="524" width="13.7109375" style="3" bestFit="1" customWidth="1"/>
    <col min="525" max="527" width="12.7109375" style="3" bestFit="1" customWidth="1"/>
    <col min="528" max="528" width="13.7109375" style="3" bestFit="1" customWidth="1"/>
    <col min="529" max="529" width="5.5703125" style="3" bestFit="1" customWidth="1"/>
    <col min="530" max="775" width="9.140625" style="3"/>
    <col min="776" max="776" width="2.42578125" style="3" customWidth="1"/>
    <col min="777" max="777" width="10" style="3" customWidth="1"/>
    <col min="778" max="778" width="44.85546875" style="3" customWidth="1"/>
    <col min="779" max="779" width="5.140625" style="3" customWidth="1"/>
    <col min="780" max="780" width="13.7109375" style="3" bestFit="1" customWidth="1"/>
    <col min="781" max="783" width="12.7109375" style="3" bestFit="1" customWidth="1"/>
    <col min="784" max="784" width="13.7109375" style="3" bestFit="1" customWidth="1"/>
    <col min="785" max="785" width="5.5703125" style="3" bestFit="1" customWidth="1"/>
    <col min="786" max="1031" width="9.140625" style="3"/>
    <col min="1032" max="1032" width="2.42578125" style="3" customWidth="1"/>
    <col min="1033" max="1033" width="10" style="3" customWidth="1"/>
    <col min="1034" max="1034" width="44.85546875" style="3" customWidth="1"/>
    <col min="1035" max="1035" width="5.140625" style="3" customWidth="1"/>
    <col min="1036" max="1036" width="13.7109375" style="3" bestFit="1" customWidth="1"/>
    <col min="1037" max="1039" width="12.7109375" style="3" bestFit="1" customWidth="1"/>
    <col min="1040" max="1040" width="13.7109375" style="3" bestFit="1" customWidth="1"/>
    <col min="1041" max="1041" width="5.5703125" style="3" bestFit="1" customWidth="1"/>
    <col min="1042" max="1287" width="9.140625" style="3"/>
    <col min="1288" max="1288" width="2.42578125" style="3" customWidth="1"/>
    <col min="1289" max="1289" width="10" style="3" customWidth="1"/>
    <col min="1290" max="1290" width="44.85546875" style="3" customWidth="1"/>
    <col min="1291" max="1291" width="5.140625" style="3" customWidth="1"/>
    <col min="1292" max="1292" width="13.7109375" style="3" bestFit="1" customWidth="1"/>
    <col min="1293" max="1295" width="12.7109375" style="3" bestFit="1" customWidth="1"/>
    <col min="1296" max="1296" width="13.7109375" style="3" bestFit="1" customWidth="1"/>
    <col min="1297" max="1297" width="5.5703125" style="3" bestFit="1" customWidth="1"/>
    <col min="1298" max="1543" width="9.140625" style="3"/>
    <col min="1544" max="1544" width="2.42578125" style="3" customWidth="1"/>
    <col min="1545" max="1545" width="10" style="3" customWidth="1"/>
    <col min="1546" max="1546" width="44.85546875" style="3" customWidth="1"/>
    <col min="1547" max="1547" width="5.140625" style="3" customWidth="1"/>
    <col min="1548" max="1548" width="13.7109375" style="3" bestFit="1" customWidth="1"/>
    <col min="1549" max="1551" width="12.7109375" style="3" bestFit="1" customWidth="1"/>
    <col min="1552" max="1552" width="13.7109375" style="3" bestFit="1" customWidth="1"/>
    <col min="1553" max="1553" width="5.5703125" style="3" bestFit="1" customWidth="1"/>
    <col min="1554" max="1799" width="9.140625" style="3"/>
    <col min="1800" max="1800" width="2.42578125" style="3" customWidth="1"/>
    <col min="1801" max="1801" width="10" style="3" customWidth="1"/>
    <col min="1802" max="1802" width="44.85546875" style="3" customWidth="1"/>
    <col min="1803" max="1803" width="5.140625" style="3" customWidth="1"/>
    <col min="1804" max="1804" width="13.7109375" style="3" bestFit="1" customWidth="1"/>
    <col min="1805" max="1807" width="12.7109375" style="3" bestFit="1" customWidth="1"/>
    <col min="1808" max="1808" width="13.7109375" style="3" bestFit="1" customWidth="1"/>
    <col min="1809" max="1809" width="5.5703125" style="3" bestFit="1" customWidth="1"/>
    <col min="1810" max="2055" width="9.140625" style="3"/>
    <col min="2056" max="2056" width="2.42578125" style="3" customWidth="1"/>
    <col min="2057" max="2057" width="10" style="3" customWidth="1"/>
    <col min="2058" max="2058" width="44.85546875" style="3" customWidth="1"/>
    <col min="2059" max="2059" width="5.140625" style="3" customWidth="1"/>
    <col min="2060" max="2060" width="13.7109375" style="3" bestFit="1" customWidth="1"/>
    <col min="2061" max="2063" width="12.7109375" style="3" bestFit="1" customWidth="1"/>
    <col min="2064" max="2064" width="13.7109375" style="3" bestFit="1" customWidth="1"/>
    <col min="2065" max="2065" width="5.5703125" style="3" bestFit="1" customWidth="1"/>
    <col min="2066" max="2311" width="9.140625" style="3"/>
    <col min="2312" max="2312" width="2.42578125" style="3" customWidth="1"/>
    <col min="2313" max="2313" width="10" style="3" customWidth="1"/>
    <col min="2314" max="2314" width="44.85546875" style="3" customWidth="1"/>
    <col min="2315" max="2315" width="5.140625" style="3" customWidth="1"/>
    <col min="2316" max="2316" width="13.7109375" style="3" bestFit="1" customWidth="1"/>
    <col min="2317" max="2319" width="12.7109375" style="3" bestFit="1" customWidth="1"/>
    <col min="2320" max="2320" width="13.7109375" style="3" bestFit="1" customWidth="1"/>
    <col min="2321" max="2321" width="5.5703125" style="3" bestFit="1" customWidth="1"/>
    <col min="2322" max="2567" width="9.140625" style="3"/>
    <col min="2568" max="2568" width="2.42578125" style="3" customWidth="1"/>
    <col min="2569" max="2569" width="10" style="3" customWidth="1"/>
    <col min="2570" max="2570" width="44.85546875" style="3" customWidth="1"/>
    <col min="2571" max="2571" width="5.140625" style="3" customWidth="1"/>
    <col min="2572" max="2572" width="13.7109375" style="3" bestFit="1" customWidth="1"/>
    <col min="2573" max="2575" width="12.7109375" style="3" bestFit="1" customWidth="1"/>
    <col min="2576" max="2576" width="13.7109375" style="3" bestFit="1" customWidth="1"/>
    <col min="2577" max="2577" width="5.5703125" style="3" bestFit="1" customWidth="1"/>
    <col min="2578" max="2823" width="9.140625" style="3"/>
    <col min="2824" max="2824" width="2.42578125" style="3" customWidth="1"/>
    <col min="2825" max="2825" width="10" style="3" customWidth="1"/>
    <col min="2826" max="2826" width="44.85546875" style="3" customWidth="1"/>
    <col min="2827" max="2827" width="5.140625" style="3" customWidth="1"/>
    <col min="2828" max="2828" width="13.7109375" style="3" bestFit="1" customWidth="1"/>
    <col min="2829" max="2831" width="12.7109375" style="3" bestFit="1" customWidth="1"/>
    <col min="2832" max="2832" width="13.7109375" style="3" bestFit="1" customWidth="1"/>
    <col min="2833" max="2833" width="5.5703125" style="3" bestFit="1" customWidth="1"/>
    <col min="2834" max="3079" width="9.140625" style="3"/>
    <col min="3080" max="3080" width="2.42578125" style="3" customWidth="1"/>
    <col min="3081" max="3081" width="10" style="3" customWidth="1"/>
    <col min="3082" max="3082" width="44.85546875" style="3" customWidth="1"/>
    <col min="3083" max="3083" width="5.140625" style="3" customWidth="1"/>
    <col min="3084" max="3084" width="13.7109375" style="3" bestFit="1" customWidth="1"/>
    <col min="3085" max="3087" width="12.7109375" style="3" bestFit="1" customWidth="1"/>
    <col min="3088" max="3088" width="13.7109375" style="3" bestFit="1" customWidth="1"/>
    <col min="3089" max="3089" width="5.5703125" style="3" bestFit="1" customWidth="1"/>
    <col min="3090" max="3335" width="9.140625" style="3"/>
    <col min="3336" max="3336" width="2.42578125" style="3" customWidth="1"/>
    <col min="3337" max="3337" width="10" style="3" customWidth="1"/>
    <col min="3338" max="3338" width="44.85546875" style="3" customWidth="1"/>
    <col min="3339" max="3339" width="5.140625" style="3" customWidth="1"/>
    <col min="3340" max="3340" width="13.7109375" style="3" bestFit="1" customWidth="1"/>
    <col min="3341" max="3343" width="12.7109375" style="3" bestFit="1" customWidth="1"/>
    <col min="3344" max="3344" width="13.7109375" style="3" bestFit="1" customWidth="1"/>
    <col min="3345" max="3345" width="5.5703125" style="3" bestFit="1" customWidth="1"/>
    <col min="3346" max="3591" width="9.140625" style="3"/>
    <col min="3592" max="3592" width="2.42578125" style="3" customWidth="1"/>
    <col min="3593" max="3593" width="10" style="3" customWidth="1"/>
    <col min="3594" max="3594" width="44.85546875" style="3" customWidth="1"/>
    <col min="3595" max="3595" width="5.140625" style="3" customWidth="1"/>
    <col min="3596" max="3596" width="13.7109375" style="3" bestFit="1" customWidth="1"/>
    <col min="3597" max="3599" width="12.7109375" style="3" bestFit="1" customWidth="1"/>
    <col min="3600" max="3600" width="13.7109375" style="3" bestFit="1" customWidth="1"/>
    <col min="3601" max="3601" width="5.5703125" style="3" bestFit="1" customWidth="1"/>
    <col min="3602" max="3847" width="9.140625" style="3"/>
    <col min="3848" max="3848" width="2.42578125" style="3" customWidth="1"/>
    <col min="3849" max="3849" width="10" style="3" customWidth="1"/>
    <col min="3850" max="3850" width="44.85546875" style="3" customWidth="1"/>
    <col min="3851" max="3851" width="5.140625" style="3" customWidth="1"/>
    <col min="3852" max="3852" width="13.7109375" style="3" bestFit="1" customWidth="1"/>
    <col min="3853" max="3855" width="12.7109375" style="3" bestFit="1" customWidth="1"/>
    <col min="3856" max="3856" width="13.7109375" style="3" bestFit="1" customWidth="1"/>
    <col min="3857" max="3857" width="5.5703125" style="3" bestFit="1" customWidth="1"/>
    <col min="3858" max="4103" width="9.140625" style="3"/>
    <col min="4104" max="4104" width="2.42578125" style="3" customWidth="1"/>
    <col min="4105" max="4105" width="10" style="3" customWidth="1"/>
    <col min="4106" max="4106" width="44.85546875" style="3" customWidth="1"/>
    <col min="4107" max="4107" width="5.140625" style="3" customWidth="1"/>
    <col min="4108" max="4108" width="13.7109375" style="3" bestFit="1" customWidth="1"/>
    <col min="4109" max="4111" width="12.7109375" style="3" bestFit="1" customWidth="1"/>
    <col min="4112" max="4112" width="13.7109375" style="3" bestFit="1" customWidth="1"/>
    <col min="4113" max="4113" width="5.5703125" style="3" bestFit="1" customWidth="1"/>
    <col min="4114" max="4359" width="9.140625" style="3"/>
    <col min="4360" max="4360" width="2.42578125" style="3" customWidth="1"/>
    <col min="4361" max="4361" width="10" style="3" customWidth="1"/>
    <col min="4362" max="4362" width="44.85546875" style="3" customWidth="1"/>
    <col min="4363" max="4363" width="5.140625" style="3" customWidth="1"/>
    <col min="4364" max="4364" width="13.7109375" style="3" bestFit="1" customWidth="1"/>
    <col min="4365" max="4367" width="12.7109375" style="3" bestFit="1" customWidth="1"/>
    <col min="4368" max="4368" width="13.7109375" style="3" bestFit="1" customWidth="1"/>
    <col min="4369" max="4369" width="5.5703125" style="3" bestFit="1" customWidth="1"/>
    <col min="4370" max="4615" width="9.140625" style="3"/>
    <col min="4616" max="4616" width="2.42578125" style="3" customWidth="1"/>
    <col min="4617" max="4617" width="10" style="3" customWidth="1"/>
    <col min="4618" max="4618" width="44.85546875" style="3" customWidth="1"/>
    <col min="4619" max="4619" width="5.140625" style="3" customWidth="1"/>
    <col min="4620" max="4620" width="13.7109375" style="3" bestFit="1" customWidth="1"/>
    <col min="4621" max="4623" width="12.7109375" style="3" bestFit="1" customWidth="1"/>
    <col min="4624" max="4624" width="13.7109375" style="3" bestFit="1" customWidth="1"/>
    <col min="4625" max="4625" width="5.5703125" style="3" bestFit="1" customWidth="1"/>
    <col min="4626" max="4871" width="9.140625" style="3"/>
    <col min="4872" max="4872" width="2.42578125" style="3" customWidth="1"/>
    <col min="4873" max="4873" width="10" style="3" customWidth="1"/>
    <col min="4874" max="4874" width="44.85546875" style="3" customWidth="1"/>
    <col min="4875" max="4875" width="5.140625" style="3" customWidth="1"/>
    <col min="4876" max="4876" width="13.7109375" style="3" bestFit="1" customWidth="1"/>
    <col min="4877" max="4879" width="12.7109375" style="3" bestFit="1" customWidth="1"/>
    <col min="4880" max="4880" width="13.7109375" style="3" bestFit="1" customWidth="1"/>
    <col min="4881" max="4881" width="5.5703125" style="3" bestFit="1" customWidth="1"/>
    <col min="4882" max="5127" width="9.140625" style="3"/>
    <col min="5128" max="5128" width="2.42578125" style="3" customWidth="1"/>
    <col min="5129" max="5129" width="10" style="3" customWidth="1"/>
    <col min="5130" max="5130" width="44.85546875" style="3" customWidth="1"/>
    <col min="5131" max="5131" width="5.140625" style="3" customWidth="1"/>
    <col min="5132" max="5132" width="13.7109375" style="3" bestFit="1" customWidth="1"/>
    <col min="5133" max="5135" width="12.7109375" style="3" bestFit="1" customWidth="1"/>
    <col min="5136" max="5136" width="13.7109375" style="3" bestFit="1" customWidth="1"/>
    <col min="5137" max="5137" width="5.5703125" style="3" bestFit="1" customWidth="1"/>
    <col min="5138" max="5383" width="9.140625" style="3"/>
    <col min="5384" max="5384" width="2.42578125" style="3" customWidth="1"/>
    <col min="5385" max="5385" width="10" style="3" customWidth="1"/>
    <col min="5386" max="5386" width="44.85546875" style="3" customWidth="1"/>
    <col min="5387" max="5387" width="5.140625" style="3" customWidth="1"/>
    <col min="5388" max="5388" width="13.7109375" style="3" bestFit="1" customWidth="1"/>
    <col min="5389" max="5391" width="12.7109375" style="3" bestFit="1" customWidth="1"/>
    <col min="5392" max="5392" width="13.7109375" style="3" bestFit="1" customWidth="1"/>
    <col min="5393" max="5393" width="5.5703125" style="3" bestFit="1" customWidth="1"/>
    <col min="5394" max="5639" width="9.140625" style="3"/>
    <col min="5640" max="5640" width="2.42578125" style="3" customWidth="1"/>
    <col min="5641" max="5641" width="10" style="3" customWidth="1"/>
    <col min="5642" max="5642" width="44.85546875" style="3" customWidth="1"/>
    <col min="5643" max="5643" width="5.140625" style="3" customWidth="1"/>
    <col min="5644" max="5644" width="13.7109375" style="3" bestFit="1" customWidth="1"/>
    <col min="5645" max="5647" width="12.7109375" style="3" bestFit="1" customWidth="1"/>
    <col min="5648" max="5648" width="13.7109375" style="3" bestFit="1" customWidth="1"/>
    <col min="5649" max="5649" width="5.5703125" style="3" bestFit="1" customWidth="1"/>
    <col min="5650" max="5895" width="9.140625" style="3"/>
    <col min="5896" max="5896" width="2.42578125" style="3" customWidth="1"/>
    <col min="5897" max="5897" width="10" style="3" customWidth="1"/>
    <col min="5898" max="5898" width="44.85546875" style="3" customWidth="1"/>
    <col min="5899" max="5899" width="5.140625" style="3" customWidth="1"/>
    <col min="5900" max="5900" width="13.7109375" style="3" bestFit="1" customWidth="1"/>
    <col min="5901" max="5903" width="12.7109375" style="3" bestFit="1" customWidth="1"/>
    <col min="5904" max="5904" width="13.7109375" style="3" bestFit="1" customWidth="1"/>
    <col min="5905" max="5905" width="5.5703125" style="3" bestFit="1" customWidth="1"/>
    <col min="5906" max="6151" width="9.140625" style="3"/>
    <col min="6152" max="6152" width="2.42578125" style="3" customWidth="1"/>
    <col min="6153" max="6153" width="10" style="3" customWidth="1"/>
    <col min="6154" max="6154" width="44.85546875" style="3" customWidth="1"/>
    <col min="6155" max="6155" width="5.140625" style="3" customWidth="1"/>
    <col min="6156" max="6156" width="13.7109375" style="3" bestFit="1" customWidth="1"/>
    <col min="6157" max="6159" width="12.7109375" style="3" bestFit="1" customWidth="1"/>
    <col min="6160" max="6160" width="13.7109375" style="3" bestFit="1" customWidth="1"/>
    <col min="6161" max="6161" width="5.5703125" style="3" bestFit="1" customWidth="1"/>
    <col min="6162" max="6407" width="9.140625" style="3"/>
    <col min="6408" max="6408" width="2.42578125" style="3" customWidth="1"/>
    <col min="6409" max="6409" width="10" style="3" customWidth="1"/>
    <col min="6410" max="6410" width="44.85546875" style="3" customWidth="1"/>
    <col min="6411" max="6411" width="5.140625" style="3" customWidth="1"/>
    <col min="6412" max="6412" width="13.7109375" style="3" bestFit="1" customWidth="1"/>
    <col min="6413" max="6415" width="12.7109375" style="3" bestFit="1" customWidth="1"/>
    <col min="6416" max="6416" width="13.7109375" style="3" bestFit="1" customWidth="1"/>
    <col min="6417" max="6417" width="5.5703125" style="3" bestFit="1" customWidth="1"/>
    <col min="6418" max="6663" width="9.140625" style="3"/>
    <col min="6664" max="6664" width="2.42578125" style="3" customWidth="1"/>
    <col min="6665" max="6665" width="10" style="3" customWidth="1"/>
    <col min="6666" max="6666" width="44.85546875" style="3" customWidth="1"/>
    <col min="6667" max="6667" width="5.140625" style="3" customWidth="1"/>
    <col min="6668" max="6668" width="13.7109375" style="3" bestFit="1" customWidth="1"/>
    <col min="6669" max="6671" width="12.7109375" style="3" bestFit="1" customWidth="1"/>
    <col min="6672" max="6672" width="13.7109375" style="3" bestFit="1" customWidth="1"/>
    <col min="6673" max="6673" width="5.5703125" style="3" bestFit="1" customWidth="1"/>
    <col min="6674" max="6919" width="9.140625" style="3"/>
    <col min="6920" max="6920" width="2.42578125" style="3" customWidth="1"/>
    <col min="6921" max="6921" width="10" style="3" customWidth="1"/>
    <col min="6922" max="6922" width="44.85546875" style="3" customWidth="1"/>
    <col min="6923" max="6923" width="5.140625" style="3" customWidth="1"/>
    <col min="6924" max="6924" width="13.7109375" style="3" bestFit="1" customWidth="1"/>
    <col min="6925" max="6927" width="12.7109375" style="3" bestFit="1" customWidth="1"/>
    <col min="6928" max="6928" width="13.7109375" style="3" bestFit="1" customWidth="1"/>
    <col min="6929" max="6929" width="5.5703125" style="3" bestFit="1" customWidth="1"/>
    <col min="6930" max="7175" width="9.140625" style="3"/>
    <col min="7176" max="7176" width="2.42578125" style="3" customWidth="1"/>
    <col min="7177" max="7177" width="10" style="3" customWidth="1"/>
    <col min="7178" max="7178" width="44.85546875" style="3" customWidth="1"/>
    <col min="7179" max="7179" width="5.140625" style="3" customWidth="1"/>
    <col min="7180" max="7180" width="13.7109375" style="3" bestFit="1" customWidth="1"/>
    <col min="7181" max="7183" width="12.7109375" style="3" bestFit="1" customWidth="1"/>
    <col min="7184" max="7184" width="13.7109375" style="3" bestFit="1" customWidth="1"/>
    <col min="7185" max="7185" width="5.5703125" style="3" bestFit="1" customWidth="1"/>
    <col min="7186" max="7431" width="9.140625" style="3"/>
    <col min="7432" max="7432" width="2.42578125" style="3" customWidth="1"/>
    <col min="7433" max="7433" width="10" style="3" customWidth="1"/>
    <col min="7434" max="7434" width="44.85546875" style="3" customWidth="1"/>
    <col min="7435" max="7435" width="5.140625" style="3" customWidth="1"/>
    <col min="7436" max="7436" width="13.7109375" style="3" bestFit="1" customWidth="1"/>
    <col min="7437" max="7439" width="12.7109375" style="3" bestFit="1" customWidth="1"/>
    <col min="7440" max="7440" width="13.7109375" style="3" bestFit="1" customWidth="1"/>
    <col min="7441" max="7441" width="5.5703125" style="3" bestFit="1" customWidth="1"/>
    <col min="7442" max="7687" width="9.140625" style="3"/>
    <col min="7688" max="7688" width="2.42578125" style="3" customWidth="1"/>
    <col min="7689" max="7689" width="10" style="3" customWidth="1"/>
    <col min="7690" max="7690" width="44.85546875" style="3" customWidth="1"/>
    <col min="7691" max="7691" width="5.140625" style="3" customWidth="1"/>
    <col min="7692" max="7692" width="13.7109375" style="3" bestFit="1" customWidth="1"/>
    <col min="7693" max="7695" width="12.7109375" style="3" bestFit="1" customWidth="1"/>
    <col min="7696" max="7696" width="13.7109375" style="3" bestFit="1" customWidth="1"/>
    <col min="7697" max="7697" width="5.5703125" style="3" bestFit="1" customWidth="1"/>
    <col min="7698" max="7943" width="9.140625" style="3"/>
    <col min="7944" max="7944" width="2.42578125" style="3" customWidth="1"/>
    <col min="7945" max="7945" width="10" style="3" customWidth="1"/>
    <col min="7946" max="7946" width="44.85546875" style="3" customWidth="1"/>
    <col min="7947" max="7947" width="5.140625" style="3" customWidth="1"/>
    <col min="7948" max="7948" width="13.7109375" style="3" bestFit="1" customWidth="1"/>
    <col min="7949" max="7951" width="12.7109375" style="3" bestFit="1" customWidth="1"/>
    <col min="7952" max="7952" width="13.7109375" style="3" bestFit="1" customWidth="1"/>
    <col min="7953" max="7953" width="5.5703125" style="3" bestFit="1" customWidth="1"/>
    <col min="7954" max="8199" width="9.140625" style="3"/>
    <col min="8200" max="8200" width="2.42578125" style="3" customWidth="1"/>
    <col min="8201" max="8201" width="10" style="3" customWidth="1"/>
    <col min="8202" max="8202" width="44.85546875" style="3" customWidth="1"/>
    <col min="8203" max="8203" width="5.140625" style="3" customWidth="1"/>
    <col min="8204" max="8204" width="13.7109375" style="3" bestFit="1" customWidth="1"/>
    <col min="8205" max="8207" width="12.7109375" style="3" bestFit="1" customWidth="1"/>
    <col min="8208" max="8208" width="13.7109375" style="3" bestFit="1" customWidth="1"/>
    <col min="8209" max="8209" width="5.5703125" style="3" bestFit="1" customWidth="1"/>
    <col min="8210" max="8455" width="9.140625" style="3"/>
    <col min="8456" max="8456" width="2.42578125" style="3" customWidth="1"/>
    <col min="8457" max="8457" width="10" style="3" customWidth="1"/>
    <col min="8458" max="8458" width="44.85546875" style="3" customWidth="1"/>
    <col min="8459" max="8459" width="5.140625" style="3" customWidth="1"/>
    <col min="8460" max="8460" width="13.7109375" style="3" bestFit="1" customWidth="1"/>
    <col min="8461" max="8463" width="12.7109375" style="3" bestFit="1" customWidth="1"/>
    <col min="8464" max="8464" width="13.7109375" style="3" bestFit="1" customWidth="1"/>
    <col min="8465" max="8465" width="5.5703125" style="3" bestFit="1" customWidth="1"/>
    <col min="8466" max="8711" width="9.140625" style="3"/>
    <col min="8712" max="8712" width="2.42578125" style="3" customWidth="1"/>
    <col min="8713" max="8713" width="10" style="3" customWidth="1"/>
    <col min="8714" max="8714" width="44.85546875" style="3" customWidth="1"/>
    <col min="8715" max="8715" width="5.140625" style="3" customWidth="1"/>
    <col min="8716" max="8716" width="13.7109375" style="3" bestFit="1" customWidth="1"/>
    <col min="8717" max="8719" width="12.7109375" style="3" bestFit="1" customWidth="1"/>
    <col min="8720" max="8720" width="13.7109375" style="3" bestFit="1" customWidth="1"/>
    <col min="8721" max="8721" width="5.5703125" style="3" bestFit="1" customWidth="1"/>
    <col min="8722" max="8967" width="9.140625" style="3"/>
    <col min="8968" max="8968" width="2.42578125" style="3" customWidth="1"/>
    <col min="8969" max="8969" width="10" style="3" customWidth="1"/>
    <col min="8970" max="8970" width="44.85546875" style="3" customWidth="1"/>
    <col min="8971" max="8971" width="5.140625" style="3" customWidth="1"/>
    <col min="8972" max="8972" width="13.7109375" style="3" bestFit="1" customWidth="1"/>
    <col min="8973" max="8975" width="12.7109375" style="3" bestFit="1" customWidth="1"/>
    <col min="8976" max="8976" width="13.7109375" style="3" bestFit="1" customWidth="1"/>
    <col min="8977" max="8977" width="5.5703125" style="3" bestFit="1" customWidth="1"/>
    <col min="8978" max="9223" width="9.140625" style="3"/>
    <col min="9224" max="9224" width="2.42578125" style="3" customWidth="1"/>
    <col min="9225" max="9225" width="10" style="3" customWidth="1"/>
    <col min="9226" max="9226" width="44.85546875" style="3" customWidth="1"/>
    <col min="9227" max="9227" width="5.140625" style="3" customWidth="1"/>
    <col min="9228" max="9228" width="13.7109375" style="3" bestFit="1" customWidth="1"/>
    <col min="9229" max="9231" width="12.7109375" style="3" bestFit="1" customWidth="1"/>
    <col min="9232" max="9232" width="13.7109375" style="3" bestFit="1" customWidth="1"/>
    <col min="9233" max="9233" width="5.5703125" style="3" bestFit="1" customWidth="1"/>
    <col min="9234" max="9479" width="9.140625" style="3"/>
    <col min="9480" max="9480" width="2.42578125" style="3" customWidth="1"/>
    <col min="9481" max="9481" width="10" style="3" customWidth="1"/>
    <col min="9482" max="9482" width="44.85546875" style="3" customWidth="1"/>
    <col min="9483" max="9483" width="5.140625" style="3" customWidth="1"/>
    <col min="9484" max="9484" width="13.7109375" style="3" bestFit="1" customWidth="1"/>
    <col min="9485" max="9487" width="12.7109375" style="3" bestFit="1" customWidth="1"/>
    <col min="9488" max="9488" width="13.7109375" style="3" bestFit="1" customWidth="1"/>
    <col min="9489" max="9489" width="5.5703125" style="3" bestFit="1" customWidth="1"/>
    <col min="9490" max="9735" width="9.140625" style="3"/>
    <col min="9736" max="9736" width="2.42578125" style="3" customWidth="1"/>
    <col min="9737" max="9737" width="10" style="3" customWidth="1"/>
    <col min="9738" max="9738" width="44.85546875" style="3" customWidth="1"/>
    <col min="9739" max="9739" width="5.140625" style="3" customWidth="1"/>
    <col min="9740" max="9740" width="13.7109375" style="3" bestFit="1" customWidth="1"/>
    <col min="9741" max="9743" width="12.7109375" style="3" bestFit="1" customWidth="1"/>
    <col min="9744" max="9744" width="13.7109375" style="3" bestFit="1" customWidth="1"/>
    <col min="9745" max="9745" width="5.5703125" style="3" bestFit="1" customWidth="1"/>
    <col min="9746" max="9991" width="9.140625" style="3"/>
    <col min="9992" max="9992" width="2.42578125" style="3" customWidth="1"/>
    <col min="9993" max="9993" width="10" style="3" customWidth="1"/>
    <col min="9994" max="9994" width="44.85546875" style="3" customWidth="1"/>
    <col min="9995" max="9995" width="5.140625" style="3" customWidth="1"/>
    <col min="9996" max="9996" width="13.7109375" style="3" bestFit="1" customWidth="1"/>
    <col min="9997" max="9999" width="12.7109375" style="3" bestFit="1" customWidth="1"/>
    <col min="10000" max="10000" width="13.7109375" style="3" bestFit="1" customWidth="1"/>
    <col min="10001" max="10001" width="5.5703125" style="3" bestFit="1" customWidth="1"/>
    <col min="10002" max="10247" width="9.140625" style="3"/>
    <col min="10248" max="10248" width="2.42578125" style="3" customWidth="1"/>
    <col min="10249" max="10249" width="10" style="3" customWidth="1"/>
    <col min="10250" max="10250" width="44.85546875" style="3" customWidth="1"/>
    <col min="10251" max="10251" width="5.140625" style="3" customWidth="1"/>
    <col min="10252" max="10252" width="13.7109375" style="3" bestFit="1" customWidth="1"/>
    <col min="10253" max="10255" width="12.7109375" style="3" bestFit="1" customWidth="1"/>
    <col min="10256" max="10256" width="13.7109375" style="3" bestFit="1" customWidth="1"/>
    <col min="10257" max="10257" width="5.5703125" style="3" bestFit="1" customWidth="1"/>
    <col min="10258" max="10503" width="9.140625" style="3"/>
    <col min="10504" max="10504" width="2.42578125" style="3" customWidth="1"/>
    <col min="10505" max="10505" width="10" style="3" customWidth="1"/>
    <col min="10506" max="10506" width="44.85546875" style="3" customWidth="1"/>
    <col min="10507" max="10507" width="5.140625" style="3" customWidth="1"/>
    <col min="10508" max="10508" width="13.7109375" style="3" bestFit="1" customWidth="1"/>
    <col min="10509" max="10511" width="12.7109375" style="3" bestFit="1" customWidth="1"/>
    <col min="10512" max="10512" width="13.7109375" style="3" bestFit="1" customWidth="1"/>
    <col min="10513" max="10513" width="5.5703125" style="3" bestFit="1" customWidth="1"/>
    <col min="10514" max="10759" width="9.140625" style="3"/>
    <col min="10760" max="10760" width="2.42578125" style="3" customWidth="1"/>
    <col min="10761" max="10761" width="10" style="3" customWidth="1"/>
    <col min="10762" max="10762" width="44.85546875" style="3" customWidth="1"/>
    <col min="10763" max="10763" width="5.140625" style="3" customWidth="1"/>
    <col min="10764" max="10764" width="13.7109375" style="3" bestFit="1" customWidth="1"/>
    <col min="10765" max="10767" width="12.7109375" style="3" bestFit="1" customWidth="1"/>
    <col min="10768" max="10768" width="13.7109375" style="3" bestFit="1" customWidth="1"/>
    <col min="10769" max="10769" width="5.5703125" style="3" bestFit="1" customWidth="1"/>
    <col min="10770" max="11015" width="9.140625" style="3"/>
    <col min="11016" max="11016" width="2.42578125" style="3" customWidth="1"/>
    <col min="11017" max="11017" width="10" style="3" customWidth="1"/>
    <col min="11018" max="11018" width="44.85546875" style="3" customWidth="1"/>
    <col min="11019" max="11019" width="5.140625" style="3" customWidth="1"/>
    <col min="11020" max="11020" width="13.7109375" style="3" bestFit="1" customWidth="1"/>
    <col min="11021" max="11023" width="12.7109375" style="3" bestFit="1" customWidth="1"/>
    <col min="11024" max="11024" width="13.7109375" style="3" bestFit="1" customWidth="1"/>
    <col min="11025" max="11025" width="5.5703125" style="3" bestFit="1" customWidth="1"/>
    <col min="11026" max="11271" width="9.140625" style="3"/>
    <col min="11272" max="11272" width="2.42578125" style="3" customWidth="1"/>
    <col min="11273" max="11273" width="10" style="3" customWidth="1"/>
    <col min="11274" max="11274" width="44.85546875" style="3" customWidth="1"/>
    <col min="11275" max="11275" width="5.140625" style="3" customWidth="1"/>
    <col min="11276" max="11276" width="13.7109375" style="3" bestFit="1" customWidth="1"/>
    <col min="11277" max="11279" width="12.7109375" style="3" bestFit="1" customWidth="1"/>
    <col min="11280" max="11280" width="13.7109375" style="3" bestFit="1" customWidth="1"/>
    <col min="11281" max="11281" width="5.5703125" style="3" bestFit="1" customWidth="1"/>
    <col min="11282" max="11527" width="9.140625" style="3"/>
    <col min="11528" max="11528" width="2.42578125" style="3" customWidth="1"/>
    <col min="11529" max="11529" width="10" style="3" customWidth="1"/>
    <col min="11530" max="11530" width="44.85546875" style="3" customWidth="1"/>
    <col min="11531" max="11531" width="5.140625" style="3" customWidth="1"/>
    <col min="11532" max="11532" width="13.7109375" style="3" bestFit="1" customWidth="1"/>
    <col min="11533" max="11535" width="12.7109375" style="3" bestFit="1" customWidth="1"/>
    <col min="11536" max="11536" width="13.7109375" style="3" bestFit="1" customWidth="1"/>
    <col min="11537" max="11537" width="5.5703125" style="3" bestFit="1" customWidth="1"/>
    <col min="11538" max="11783" width="9.140625" style="3"/>
    <col min="11784" max="11784" width="2.42578125" style="3" customWidth="1"/>
    <col min="11785" max="11785" width="10" style="3" customWidth="1"/>
    <col min="11786" max="11786" width="44.85546875" style="3" customWidth="1"/>
    <col min="11787" max="11787" width="5.140625" style="3" customWidth="1"/>
    <col min="11788" max="11788" width="13.7109375" style="3" bestFit="1" customWidth="1"/>
    <col min="11789" max="11791" width="12.7109375" style="3" bestFit="1" customWidth="1"/>
    <col min="11792" max="11792" width="13.7109375" style="3" bestFit="1" customWidth="1"/>
    <col min="11793" max="11793" width="5.5703125" style="3" bestFit="1" customWidth="1"/>
    <col min="11794" max="12039" width="9.140625" style="3"/>
    <col min="12040" max="12040" width="2.42578125" style="3" customWidth="1"/>
    <col min="12041" max="12041" width="10" style="3" customWidth="1"/>
    <col min="12042" max="12042" width="44.85546875" style="3" customWidth="1"/>
    <col min="12043" max="12043" width="5.140625" style="3" customWidth="1"/>
    <col min="12044" max="12044" width="13.7109375" style="3" bestFit="1" customWidth="1"/>
    <col min="12045" max="12047" width="12.7109375" style="3" bestFit="1" customWidth="1"/>
    <col min="12048" max="12048" width="13.7109375" style="3" bestFit="1" customWidth="1"/>
    <col min="12049" max="12049" width="5.5703125" style="3" bestFit="1" customWidth="1"/>
    <col min="12050" max="12295" width="9.140625" style="3"/>
    <col min="12296" max="12296" width="2.42578125" style="3" customWidth="1"/>
    <col min="12297" max="12297" width="10" style="3" customWidth="1"/>
    <col min="12298" max="12298" width="44.85546875" style="3" customWidth="1"/>
    <col min="12299" max="12299" width="5.140625" style="3" customWidth="1"/>
    <col min="12300" max="12300" width="13.7109375" style="3" bestFit="1" customWidth="1"/>
    <col min="12301" max="12303" width="12.7109375" style="3" bestFit="1" customWidth="1"/>
    <col min="12304" max="12304" width="13.7109375" style="3" bestFit="1" customWidth="1"/>
    <col min="12305" max="12305" width="5.5703125" style="3" bestFit="1" customWidth="1"/>
    <col min="12306" max="12551" width="9.140625" style="3"/>
    <col min="12552" max="12552" width="2.42578125" style="3" customWidth="1"/>
    <col min="12553" max="12553" width="10" style="3" customWidth="1"/>
    <col min="12554" max="12554" width="44.85546875" style="3" customWidth="1"/>
    <col min="12555" max="12555" width="5.140625" style="3" customWidth="1"/>
    <col min="12556" max="12556" width="13.7109375" style="3" bestFit="1" customWidth="1"/>
    <col min="12557" max="12559" width="12.7109375" style="3" bestFit="1" customWidth="1"/>
    <col min="12560" max="12560" width="13.7109375" style="3" bestFit="1" customWidth="1"/>
    <col min="12561" max="12561" width="5.5703125" style="3" bestFit="1" customWidth="1"/>
    <col min="12562" max="12807" width="9.140625" style="3"/>
    <col min="12808" max="12808" width="2.42578125" style="3" customWidth="1"/>
    <col min="12809" max="12809" width="10" style="3" customWidth="1"/>
    <col min="12810" max="12810" width="44.85546875" style="3" customWidth="1"/>
    <col min="12811" max="12811" width="5.140625" style="3" customWidth="1"/>
    <col min="12812" max="12812" width="13.7109375" style="3" bestFit="1" customWidth="1"/>
    <col min="12813" max="12815" width="12.7109375" style="3" bestFit="1" customWidth="1"/>
    <col min="12816" max="12816" width="13.7109375" style="3" bestFit="1" customWidth="1"/>
    <col min="12817" max="12817" width="5.5703125" style="3" bestFit="1" customWidth="1"/>
    <col min="12818" max="13063" width="9.140625" style="3"/>
    <col min="13064" max="13064" width="2.42578125" style="3" customWidth="1"/>
    <col min="13065" max="13065" width="10" style="3" customWidth="1"/>
    <col min="13066" max="13066" width="44.85546875" style="3" customWidth="1"/>
    <col min="13067" max="13067" width="5.140625" style="3" customWidth="1"/>
    <col min="13068" max="13068" width="13.7109375" style="3" bestFit="1" customWidth="1"/>
    <col min="13069" max="13071" width="12.7109375" style="3" bestFit="1" customWidth="1"/>
    <col min="13072" max="13072" width="13.7109375" style="3" bestFit="1" customWidth="1"/>
    <col min="13073" max="13073" width="5.5703125" style="3" bestFit="1" customWidth="1"/>
    <col min="13074" max="13319" width="9.140625" style="3"/>
    <col min="13320" max="13320" width="2.42578125" style="3" customWidth="1"/>
    <col min="13321" max="13321" width="10" style="3" customWidth="1"/>
    <col min="13322" max="13322" width="44.85546875" style="3" customWidth="1"/>
    <col min="13323" max="13323" width="5.140625" style="3" customWidth="1"/>
    <col min="13324" max="13324" width="13.7109375" style="3" bestFit="1" customWidth="1"/>
    <col min="13325" max="13327" width="12.7109375" style="3" bestFit="1" customWidth="1"/>
    <col min="13328" max="13328" width="13.7109375" style="3" bestFit="1" customWidth="1"/>
    <col min="13329" max="13329" width="5.5703125" style="3" bestFit="1" customWidth="1"/>
    <col min="13330" max="13575" width="9.140625" style="3"/>
    <col min="13576" max="13576" width="2.42578125" style="3" customWidth="1"/>
    <col min="13577" max="13577" width="10" style="3" customWidth="1"/>
    <col min="13578" max="13578" width="44.85546875" style="3" customWidth="1"/>
    <col min="13579" max="13579" width="5.140625" style="3" customWidth="1"/>
    <col min="13580" max="13580" width="13.7109375" style="3" bestFit="1" customWidth="1"/>
    <col min="13581" max="13583" width="12.7109375" style="3" bestFit="1" customWidth="1"/>
    <col min="13584" max="13584" width="13.7109375" style="3" bestFit="1" customWidth="1"/>
    <col min="13585" max="13585" width="5.5703125" style="3" bestFit="1" customWidth="1"/>
    <col min="13586" max="13831" width="9.140625" style="3"/>
    <col min="13832" max="13832" width="2.42578125" style="3" customWidth="1"/>
    <col min="13833" max="13833" width="10" style="3" customWidth="1"/>
    <col min="13834" max="13834" width="44.85546875" style="3" customWidth="1"/>
    <col min="13835" max="13835" width="5.140625" style="3" customWidth="1"/>
    <col min="13836" max="13836" width="13.7109375" style="3" bestFit="1" customWidth="1"/>
    <col min="13837" max="13839" width="12.7109375" style="3" bestFit="1" customWidth="1"/>
    <col min="13840" max="13840" width="13.7109375" style="3" bestFit="1" customWidth="1"/>
    <col min="13841" max="13841" width="5.5703125" style="3" bestFit="1" customWidth="1"/>
    <col min="13842" max="14087" width="9.140625" style="3"/>
    <col min="14088" max="14088" width="2.42578125" style="3" customWidth="1"/>
    <col min="14089" max="14089" width="10" style="3" customWidth="1"/>
    <col min="14090" max="14090" width="44.85546875" style="3" customWidth="1"/>
    <col min="14091" max="14091" width="5.140625" style="3" customWidth="1"/>
    <col min="14092" max="14092" width="13.7109375" style="3" bestFit="1" customWidth="1"/>
    <col min="14093" max="14095" width="12.7109375" style="3" bestFit="1" customWidth="1"/>
    <col min="14096" max="14096" width="13.7109375" style="3" bestFit="1" customWidth="1"/>
    <col min="14097" max="14097" width="5.5703125" style="3" bestFit="1" customWidth="1"/>
    <col min="14098" max="14343" width="9.140625" style="3"/>
    <col min="14344" max="14344" width="2.42578125" style="3" customWidth="1"/>
    <col min="14345" max="14345" width="10" style="3" customWidth="1"/>
    <col min="14346" max="14346" width="44.85546875" style="3" customWidth="1"/>
    <col min="14347" max="14347" width="5.140625" style="3" customWidth="1"/>
    <col min="14348" max="14348" width="13.7109375" style="3" bestFit="1" customWidth="1"/>
    <col min="14349" max="14351" width="12.7109375" style="3" bestFit="1" customWidth="1"/>
    <col min="14352" max="14352" width="13.7109375" style="3" bestFit="1" customWidth="1"/>
    <col min="14353" max="14353" width="5.5703125" style="3" bestFit="1" customWidth="1"/>
    <col min="14354" max="14599" width="9.140625" style="3"/>
    <col min="14600" max="14600" width="2.42578125" style="3" customWidth="1"/>
    <col min="14601" max="14601" width="10" style="3" customWidth="1"/>
    <col min="14602" max="14602" width="44.85546875" style="3" customWidth="1"/>
    <col min="14603" max="14603" width="5.140625" style="3" customWidth="1"/>
    <col min="14604" max="14604" width="13.7109375" style="3" bestFit="1" customWidth="1"/>
    <col min="14605" max="14607" width="12.7109375" style="3" bestFit="1" customWidth="1"/>
    <col min="14608" max="14608" width="13.7109375" style="3" bestFit="1" customWidth="1"/>
    <col min="14609" max="14609" width="5.5703125" style="3" bestFit="1" customWidth="1"/>
    <col min="14610" max="14855" width="9.140625" style="3"/>
    <col min="14856" max="14856" width="2.42578125" style="3" customWidth="1"/>
    <col min="14857" max="14857" width="10" style="3" customWidth="1"/>
    <col min="14858" max="14858" width="44.85546875" style="3" customWidth="1"/>
    <col min="14859" max="14859" width="5.140625" style="3" customWidth="1"/>
    <col min="14860" max="14860" width="13.7109375" style="3" bestFit="1" customWidth="1"/>
    <col min="14861" max="14863" width="12.7109375" style="3" bestFit="1" customWidth="1"/>
    <col min="14864" max="14864" width="13.7109375" style="3" bestFit="1" customWidth="1"/>
    <col min="14865" max="14865" width="5.5703125" style="3" bestFit="1" customWidth="1"/>
    <col min="14866" max="15111" width="9.140625" style="3"/>
    <col min="15112" max="15112" width="2.42578125" style="3" customWidth="1"/>
    <col min="15113" max="15113" width="10" style="3" customWidth="1"/>
    <col min="15114" max="15114" width="44.85546875" style="3" customWidth="1"/>
    <col min="15115" max="15115" width="5.140625" style="3" customWidth="1"/>
    <col min="15116" max="15116" width="13.7109375" style="3" bestFit="1" customWidth="1"/>
    <col min="15117" max="15119" width="12.7109375" style="3" bestFit="1" customWidth="1"/>
    <col min="15120" max="15120" width="13.7109375" style="3" bestFit="1" customWidth="1"/>
    <col min="15121" max="15121" width="5.5703125" style="3" bestFit="1" customWidth="1"/>
    <col min="15122" max="15367" width="9.140625" style="3"/>
    <col min="15368" max="15368" width="2.42578125" style="3" customWidth="1"/>
    <col min="15369" max="15369" width="10" style="3" customWidth="1"/>
    <col min="15370" max="15370" width="44.85546875" style="3" customWidth="1"/>
    <col min="15371" max="15371" width="5.140625" style="3" customWidth="1"/>
    <col min="15372" max="15372" width="13.7109375" style="3" bestFit="1" customWidth="1"/>
    <col min="15373" max="15375" width="12.7109375" style="3" bestFit="1" customWidth="1"/>
    <col min="15376" max="15376" width="13.7109375" style="3" bestFit="1" customWidth="1"/>
    <col min="15377" max="15377" width="5.5703125" style="3" bestFit="1" customWidth="1"/>
    <col min="15378" max="15623" width="9.140625" style="3"/>
    <col min="15624" max="15624" width="2.42578125" style="3" customWidth="1"/>
    <col min="15625" max="15625" width="10" style="3" customWidth="1"/>
    <col min="15626" max="15626" width="44.85546875" style="3" customWidth="1"/>
    <col min="15627" max="15627" width="5.140625" style="3" customWidth="1"/>
    <col min="15628" max="15628" width="13.7109375" style="3" bestFit="1" customWidth="1"/>
    <col min="15629" max="15631" width="12.7109375" style="3" bestFit="1" customWidth="1"/>
    <col min="15632" max="15632" width="13.7109375" style="3" bestFit="1" customWidth="1"/>
    <col min="15633" max="15633" width="5.5703125" style="3" bestFit="1" customWidth="1"/>
    <col min="15634" max="15879" width="9.140625" style="3"/>
    <col min="15880" max="15880" width="2.42578125" style="3" customWidth="1"/>
    <col min="15881" max="15881" width="10" style="3" customWidth="1"/>
    <col min="15882" max="15882" width="44.85546875" style="3" customWidth="1"/>
    <col min="15883" max="15883" width="5.140625" style="3" customWidth="1"/>
    <col min="15884" max="15884" width="13.7109375" style="3" bestFit="1" customWidth="1"/>
    <col min="15885" max="15887" width="12.7109375" style="3" bestFit="1" customWidth="1"/>
    <col min="15888" max="15888" width="13.7109375" style="3" bestFit="1" customWidth="1"/>
    <col min="15889" max="15889" width="5.5703125" style="3" bestFit="1" customWidth="1"/>
    <col min="15890" max="16135" width="9.140625" style="3"/>
    <col min="16136" max="16136" width="2.42578125" style="3" customWidth="1"/>
    <col min="16137" max="16137" width="10" style="3" customWidth="1"/>
    <col min="16138" max="16138" width="44.85546875" style="3" customWidth="1"/>
    <col min="16139" max="16139" width="5.140625" style="3" customWidth="1"/>
    <col min="16140" max="16140" width="13.7109375" style="3" bestFit="1" customWidth="1"/>
    <col min="16141" max="16143" width="12.7109375" style="3" bestFit="1" customWidth="1"/>
    <col min="16144" max="16144" width="13.7109375" style="3" bestFit="1" customWidth="1"/>
    <col min="16145" max="16145" width="5.5703125" style="3" bestFit="1" customWidth="1"/>
    <col min="16146" max="16384" width="9.140625" style="3"/>
  </cols>
  <sheetData>
    <row r="1" spans="1:17" x14ac:dyDescent="0.15">
      <c r="A1" s="78" t="s">
        <v>33</v>
      </c>
      <c r="E1" s="345" t="s">
        <v>36</v>
      </c>
      <c r="F1" s="344" t="s">
        <v>34</v>
      </c>
      <c r="G1" s="346">
        <v>0.11840000000000001</v>
      </c>
      <c r="H1" s="346">
        <v>0.19989999999999999</v>
      </c>
      <c r="I1" s="344" t="s">
        <v>35</v>
      </c>
      <c r="J1" s="303" t="s">
        <v>810</v>
      </c>
      <c r="K1" s="401">
        <v>2021</v>
      </c>
      <c r="L1" s="346">
        <v>0.33</v>
      </c>
      <c r="M1" s="401">
        <v>2022</v>
      </c>
      <c r="N1" s="402">
        <v>0.4</v>
      </c>
      <c r="O1" s="613">
        <v>2023</v>
      </c>
      <c r="P1" s="614">
        <v>0.5</v>
      </c>
    </row>
    <row r="2" spans="1:17" x14ac:dyDescent="0.15">
      <c r="A2" s="16"/>
      <c r="B2" s="16"/>
      <c r="C2" s="16"/>
      <c r="D2" s="16" t="s">
        <v>37</v>
      </c>
      <c r="E2" s="16"/>
      <c r="F2" s="18" t="s">
        <v>5</v>
      </c>
      <c r="G2" s="347">
        <v>2021</v>
      </c>
      <c r="H2" s="347">
        <v>2021</v>
      </c>
      <c r="I2" s="347">
        <v>2022</v>
      </c>
      <c r="J2" s="347">
        <v>2023</v>
      </c>
      <c r="K2" s="347">
        <v>2024</v>
      </c>
      <c r="L2" s="347">
        <v>2025</v>
      </c>
      <c r="M2" s="347"/>
      <c r="N2" s="347"/>
      <c r="O2" s="347"/>
      <c r="P2" s="347"/>
    </row>
    <row r="3" spans="1:17" x14ac:dyDescent="0.15">
      <c r="F3" s="303" t="s">
        <v>403</v>
      </c>
      <c r="G3" s="348">
        <v>0.33</v>
      </c>
      <c r="H3" s="348">
        <v>0.33500000000000002</v>
      </c>
      <c r="I3" s="349">
        <v>0.4</v>
      </c>
      <c r="J3" s="346">
        <v>0.5</v>
      </c>
      <c r="K3" s="346">
        <v>0.74</v>
      </c>
      <c r="L3" s="349">
        <v>0.72</v>
      </c>
      <c r="M3" s="349"/>
      <c r="N3" s="349"/>
      <c r="O3" s="349"/>
      <c r="P3" s="349"/>
    </row>
    <row r="4" spans="1:17" x14ac:dyDescent="0.15">
      <c r="F4" s="303" t="s">
        <v>402</v>
      </c>
    </row>
    <row r="5" spans="1:17" x14ac:dyDescent="0.15">
      <c r="A5" s="16"/>
      <c r="B5" s="350" t="s">
        <v>371</v>
      </c>
      <c r="C5" s="351"/>
      <c r="D5" s="352" t="s">
        <v>38</v>
      </c>
      <c r="E5" s="352" t="s">
        <v>39</v>
      </c>
      <c r="F5" s="352" t="s">
        <v>40</v>
      </c>
      <c r="G5" s="352" t="s">
        <v>41</v>
      </c>
      <c r="H5" s="352" t="s">
        <v>185</v>
      </c>
      <c r="I5" s="352" t="s">
        <v>186</v>
      </c>
      <c r="J5" s="352" t="s">
        <v>187</v>
      </c>
      <c r="K5" s="352" t="s">
        <v>188</v>
      </c>
      <c r="L5" s="352" t="s">
        <v>189</v>
      </c>
      <c r="M5" s="352" t="s">
        <v>191</v>
      </c>
      <c r="N5" s="352" t="s">
        <v>192</v>
      </c>
      <c r="O5" s="352" t="s">
        <v>193</v>
      </c>
      <c r="P5" s="353" t="s">
        <v>4</v>
      </c>
    </row>
    <row r="6" spans="1:17" x14ac:dyDescent="0.15">
      <c r="B6" s="344" t="s">
        <v>397</v>
      </c>
      <c r="C6" s="345"/>
      <c r="D6" s="342"/>
      <c r="E6" s="342"/>
      <c r="F6" s="342"/>
      <c r="G6" s="342"/>
      <c r="H6" s="342"/>
      <c r="I6" s="342"/>
      <c r="J6" s="342"/>
      <c r="K6" s="342"/>
      <c r="L6" s="342"/>
      <c r="M6" s="342"/>
      <c r="N6" s="342"/>
      <c r="O6" s="342"/>
      <c r="P6" s="354"/>
    </row>
    <row r="7" spans="1:17" x14ac:dyDescent="0.15">
      <c r="A7" s="33" t="s">
        <v>42</v>
      </c>
      <c r="B7" s="3" t="s">
        <v>396</v>
      </c>
      <c r="C7" s="345">
        <v>311</v>
      </c>
      <c r="D7" s="342">
        <v>646851.22</v>
      </c>
      <c r="E7" s="342">
        <v>1584309.78</v>
      </c>
      <c r="F7" s="342">
        <v>1110585.6299999999</v>
      </c>
      <c r="G7" s="342">
        <v>1101862.0900000001</v>
      </c>
      <c r="H7" s="342">
        <f>1041204.38</f>
        <v>1041204.38</v>
      </c>
      <c r="I7" s="342">
        <v>1041463.47</v>
      </c>
      <c r="J7" s="342">
        <v>1038282.04</v>
      </c>
      <c r="K7" s="342">
        <v>1036421.89</v>
      </c>
      <c r="L7" s="342">
        <v>1047813.28</v>
      </c>
      <c r="M7" s="342">
        <v>1031939.72</v>
      </c>
      <c r="N7" s="342">
        <f>1031371.47</f>
        <v>1031371.47</v>
      </c>
      <c r="O7" s="342">
        <f>2257142.6</f>
        <v>2257142.6</v>
      </c>
      <c r="P7" s="354">
        <f>SUM(D7:O7)</f>
        <v>13969247.57</v>
      </c>
      <c r="Q7" s="342">
        <f>13969247.57-P7</f>
        <v>0</v>
      </c>
    </row>
    <row r="8" spans="1:17" x14ac:dyDescent="0.15">
      <c r="A8" s="33" t="s">
        <v>43</v>
      </c>
      <c r="B8" s="3" t="s">
        <v>398</v>
      </c>
      <c r="C8" s="345">
        <v>320</v>
      </c>
      <c r="D8" s="342">
        <v>40013.54</v>
      </c>
      <c r="E8" s="342">
        <v>25467.31</v>
      </c>
      <c r="F8" s="342">
        <f>43738.35</f>
        <v>43738.35</v>
      </c>
      <c r="G8" s="342">
        <v>147124.29</v>
      </c>
      <c r="H8" s="342">
        <f>167667.79</f>
        <v>167667.79</v>
      </c>
      <c r="I8" s="342">
        <v>197063.87</v>
      </c>
      <c r="J8" s="342">
        <v>79480.33</v>
      </c>
      <c r="K8" s="342">
        <v>114330.75</v>
      </c>
      <c r="L8" s="342">
        <v>39881.89</v>
      </c>
      <c r="M8" s="342">
        <v>76483.03</v>
      </c>
      <c r="N8" s="342">
        <f>132426.56</f>
        <v>132426.56</v>
      </c>
      <c r="O8" s="342">
        <f>81964.99</f>
        <v>81964.990000000005</v>
      </c>
      <c r="P8" s="354">
        <f>SUM(D8:O8)</f>
        <v>1145642.7</v>
      </c>
      <c r="Q8" s="342">
        <f>1145642.7-P8</f>
        <v>0</v>
      </c>
    </row>
    <row r="9" spans="1:17" x14ac:dyDescent="0.15">
      <c r="B9" s="344" t="s">
        <v>399</v>
      </c>
      <c r="C9" s="345"/>
      <c r="D9" s="342">
        <v>1821306.69</v>
      </c>
      <c r="E9" s="342">
        <v>3418373.35</v>
      </c>
      <c r="F9" s="342">
        <v>2477691.9500000002</v>
      </c>
      <c r="G9" s="342">
        <v>2713144.41</v>
      </c>
      <c r="H9" s="342">
        <f>2527081.2</f>
        <v>2527081.2000000002</v>
      </c>
      <c r="I9" s="342">
        <v>2358458.2000000002</v>
      </c>
      <c r="J9" s="342">
        <v>2342207.5</v>
      </c>
      <c r="K9" s="342">
        <f>2308046.36</f>
        <v>2308046.36</v>
      </c>
      <c r="L9" s="342">
        <v>2466047.48</v>
      </c>
      <c r="M9" s="342">
        <v>2370360.38</v>
      </c>
      <c r="N9" s="342">
        <f>2878589.87</f>
        <v>2878589.87</v>
      </c>
      <c r="O9" s="342">
        <f>5272665.5</f>
        <v>5272665.5</v>
      </c>
      <c r="P9" s="354">
        <f>SUM(D9:N9)</f>
        <v>27681307.390000001</v>
      </c>
      <c r="Q9" s="302">
        <f>27681307.39-P9</f>
        <v>0</v>
      </c>
    </row>
    <row r="10" spans="1:17" x14ac:dyDescent="0.15">
      <c r="A10" s="16"/>
      <c r="B10" s="16" t="s">
        <v>400</v>
      </c>
      <c r="C10" s="355"/>
      <c r="D10" s="356">
        <v>1774960.27</v>
      </c>
      <c r="E10" s="357">
        <v>1892028.52</v>
      </c>
      <c r="F10" s="357">
        <v>1916270.79</v>
      </c>
      <c r="G10" s="357">
        <v>1847527.88</v>
      </c>
      <c r="H10" s="357">
        <v>1862823.19</v>
      </c>
      <c r="I10" s="357">
        <f>1860508.85</f>
        <v>1860508.85</v>
      </c>
      <c r="J10" s="357">
        <v>1888869.79</v>
      </c>
      <c r="K10" s="357">
        <v>1864374.65</v>
      </c>
      <c r="L10" s="357">
        <f>1864704.24</f>
        <v>1864704.24</v>
      </c>
      <c r="M10" s="357">
        <v>1868149.11</v>
      </c>
      <c r="N10" s="357">
        <f>1866454.01</f>
        <v>1866454.01</v>
      </c>
      <c r="O10" s="357">
        <f>3707726.11</f>
        <v>3707726.11</v>
      </c>
      <c r="P10" s="369">
        <f>SUM(D10:O10)</f>
        <v>24214397.41</v>
      </c>
      <c r="Q10" s="302">
        <f>24214397.41-P10</f>
        <v>0</v>
      </c>
    </row>
    <row r="11" spans="1:17" x14ac:dyDescent="0.15">
      <c r="B11" s="3" t="s">
        <v>401</v>
      </c>
      <c r="C11" s="345" t="s">
        <v>44</v>
      </c>
      <c r="D11" s="342">
        <f t="shared" ref="D11:K11" si="0">D9-D10</f>
        <v>46346.419999999925</v>
      </c>
      <c r="E11" s="342">
        <f t="shared" si="0"/>
        <v>1526344.83</v>
      </c>
      <c r="F11" s="342">
        <f t="shared" si="0"/>
        <v>561421.16000000015</v>
      </c>
      <c r="G11" s="342">
        <f>G9-G10</f>
        <v>865616.53000000026</v>
      </c>
      <c r="H11" s="342">
        <f t="shared" si="0"/>
        <v>664258.01000000024</v>
      </c>
      <c r="I11" s="358">
        <f t="shared" si="0"/>
        <v>497949.35000000009</v>
      </c>
      <c r="J11" s="358">
        <f t="shared" si="0"/>
        <v>453337.70999999996</v>
      </c>
      <c r="K11" s="358">
        <f t="shared" si="0"/>
        <v>443671.70999999996</v>
      </c>
      <c r="L11" s="358">
        <f>L9-L10</f>
        <v>601343.24</v>
      </c>
      <c r="M11" s="358">
        <f>M9-M10</f>
        <v>502211.26999999979</v>
      </c>
      <c r="N11" s="342">
        <f>N9-N10</f>
        <v>1012135.8600000001</v>
      </c>
      <c r="O11" s="342">
        <f>O9-O10</f>
        <v>1564939.3900000001</v>
      </c>
      <c r="P11" s="354">
        <f>SUM(D11:N11)</f>
        <v>7174636.0900000008</v>
      </c>
      <c r="Q11" s="302"/>
    </row>
    <row r="12" spans="1:17" x14ac:dyDescent="0.15">
      <c r="C12" s="345"/>
      <c r="D12" s="342"/>
      <c r="P12" s="17"/>
    </row>
    <row r="13" spans="1:17" x14ac:dyDescent="0.15">
      <c r="A13" s="16"/>
      <c r="B13" s="359" t="s">
        <v>45</v>
      </c>
      <c r="C13" s="355" t="s">
        <v>46</v>
      </c>
      <c r="D13" s="356">
        <f t="shared" ref="D13:J13" si="1">SUM(D7:D8)-D11</f>
        <v>640518.34000000008</v>
      </c>
      <c r="E13" s="356">
        <f t="shared" si="1"/>
        <v>83432.260000000009</v>
      </c>
      <c r="F13" s="356">
        <f t="shared" si="1"/>
        <v>592902.81999999983</v>
      </c>
      <c r="G13" s="356">
        <f t="shared" si="1"/>
        <v>383369.84999999986</v>
      </c>
      <c r="H13" s="356">
        <f t="shared" si="1"/>
        <v>544614.15999999968</v>
      </c>
      <c r="I13" s="356">
        <f t="shared" si="1"/>
        <v>740577.98999999976</v>
      </c>
      <c r="J13" s="356">
        <f t="shared" si="1"/>
        <v>664424.66000000015</v>
      </c>
      <c r="K13" s="356">
        <f>SUM(K7:K8)-K11</f>
        <v>707080.93000000017</v>
      </c>
      <c r="L13" s="356">
        <f>SUM(L7:L8)-L11</f>
        <v>486351.92999999993</v>
      </c>
      <c r="M13" s="356">
        <f>SUM(M7:M8)-M11</f>
        <v>606211.48000000021</v>
      </c>
      <c r="N13" s="356">
        <f>SUM(N7:N8)-N11</f>
        <v>151662.16999999993</v>
      </c>
      <c r="O13" s="356">
        <f>SUM(O7:O8)-O11</f>
        <v>774168.20000000019</v>
      </c>
      <c r="P13" s="369">
        <f>SUM(D13:O13)</f>
        <v>6375314.79</v>
      </c>
    </row>
    <row r="14" spans="1:17" x14ac:dyDescent="0.15">
      <c r="B14" s="3" t="s">
        <v>372</v>
      </c>
      <c r="D14" s="342"/>
      <c r="E14" s="302">
        <f>D13+E13</f>
        <v>723950.60000000009</v>
      </c>
      <c r="F14" s="302">
        <f t="shared" ref="F14:J14" si="2">E14+F13</f>
        <v>1316853.42</v>
      </c>
      <c r="G14" s="302">
        <f t="shared" si="2"/>
        <v>1700223.2699999998</v>
      </c>
      <c r="H14" s="302">
        <f t="shared" si="2"/>
        <v>2244837.4299999997</v>
      </c>
      <c r="I14" s="302">
        <f t="shared" si="2"/>
        <v>2985415.4199999995</v>
      </c>
      <c r="J14" s="302">
        <f t="shared" si="2"/>
        <v>3649840.0799999996</v>
      </c>
      <c r="K14" s="302">
        <f>J14+K13</f>
        <v>4356921.01</v>
      </c>
      <c r="L14" s="302">
        <f>K14+L13</f>
        <v>4843272.9399999995</v>
      </c>
      <c r="M14" s="302">
        <f>L14+M13</f>
        <v>5449484.4199999999</v>
      </c>
      <c r="N14" s="302">
        <f>M14+N13</f>
        <v>5601146.5899999999</v>
      </c>
      <c r="O14" s="302">
        <f>N14+O13</f>
        <v>6375314.79</v>
      </c>
      <c r="P14" s="17"/>
    </row>
    <row r="15" spans="1:17" x14ac:dyDescent="0.15">
      <c r="D15" s="342"/>
      <c r="P15" s="17"/>
    </row>
    <row r="16" spans="1:17" x14ac:dyDescent="0.15">
      <c r="B16" s="303" t="s">
        <v>47</v>
      </c>
      <c r="C16" s="360"/>
      <c r="D16" s="342">
        <f>21390.5-13008.99</f>
        <v>8381.51</v>
      </c>
      <c r="E16" s="361">
        <v>7644.48</v>
      </c>
      <c r="F16" s="361">
        <f>70335.98-81867.41</f>
        <v>-11531.430000000008</v>
      </c>
      <c r="G16" s="361">
        <v>236970.22</v>
      </c>
      <c r="H16" s="361">
        <f>196118.17-25818.29</f>
        <v>170299.88</v>
      </c>
      <c r="I16" s="361">
        <f>48213.11-50509.62</f>
        <v>-2296.510000000002</v>
      </c>
      <c r="J16" s="361">
        <f>73898.94-87402.27</f>
        <v>-13503.330000000002</v>
      </c>
      <c r="K16" s="361">
        <f>93050.89-139895.26</f>
        <v>-46844.37000000001</v>
      </c>
      <c r="L16" s="361">
        <f>207190.52-117856.34</f>
        <v>89334.18</v>
      </c>
      <c r="M16" s="361">
        <f>356724.71-334520.02</f>
        <v>22204.690000000002</v>
      </c>
      <c r="N16" s="361">
        <f>559892.02-(2703.66+30050.01)</f>
        <v>527138.35</v>
      </c>
      <c r="O16" s="361">
        <f>468274.43</f>
        <v>468274.43</v>
      </c>
      <c r="P16" s="354">
        <f>SUM(D16:O16)</f>
        <v>1456072.0999999999</v>
      </c>
      <c r="Q16" s="302">
        <f>(2351279.88-(895207.78))-P16</f>
        <v>0</v>
      </c>
    </row>
    <row r="17" spans="1:18" x14ac:dyDescent="0.15">
      <c r="D17" s="342"/>
      <c r="O17" s="303" t="s">
        <v>452</v>
      </c>
      <c r="P17" s="398">
        <v>-352333.58</v>
      </c>
      <c r="R17" s="302"/>
    </row>
    <row r="18" spans="1:18" x14ac:dyDescent="0.15">
      <c r="A18" s="3" t="s">
        <v>453</v>
      </c>
      <c r="D18" s="342"/>
      <c r="O18" s="302">
        <f>P18-J45</f>
        <v>1103738.5199999998</v>
      </c>
      <c r="P18" s="302">
        <f>P16+P17</f>
        <v>1103738.5199999998</v>
      </c>
    </row>
    <row r="19" spans="1:18" x14ac:dyDescent="0.15">
      <c r="A19" s="16"/>
      <c r="B19" s="359" t="s">
        <v>48</v>
      </c>
      <c r="C19" s="16"/>
      <c r="D19" s="366">
        <v>33033586.629999999</v>
      </c>
      <c r="E19" s="357">
        <v>32875956.559999999</v>
      </c>
      <c r="F19" s="357">
        <v>34457888.159999996</v>
      </c>
      <c r="G19" s="357">
        <v>35776936.130000003</v>
      </c>
      <c r="H19" s="357">
        <v>35898682.270000003</v>
      </c>
      <c r="I19" s="357">
        <f>35480656.82</f>
        <v>35480656.82</v>
      </c>
      <c r="J19" s="357">
        <f>35920808.42</f>
        <v>35920808.420000002</v>
      </c>
      <c r="K19" s="357">
        <v>36369533.189999998</v>
      </c>
      <c r="L19" s="357">
        <f>36874615.14</f>
        <v>36874615.140000001</v>
      </c>
      <c r="M19" s="357">
        <v>37473087.700000003</v>
      </c>
      <c r="N19" s="357">
        <v>38488332.469999999</v>
      </c>
      <c r="O19" s="357">
        <v>40962776.229999997</v>
      </c>
      <c r="P19" s="362" t="s">
        <v>4</v>
      </c>
    </row>
    <row r="20" spans="1:18" x14ac:dyDescent="0.15">
      <c r="D20" s="342"/>
      <c r="E20" s="302">
        <f t="shared" ref="E20:K20" si="3">E19-D19</f>
        <v>-157630.0700000003</v>
      </c>
      <c r="F20" s="302">
        <f t="shared" si="3"/>
        <v>1581931.5999999978</v>
      </c>
      <c r="G20" s="302">
        <f t="shared" si="3"/>
        <v>1319047.9700000063</v>
      </c>
      <c r="H20" s="302">
        <f t="shared" si="3"/>
        <v>121746.1400000006</v>
      </c>
      <c r="I20" s="302">
        <f t="shared" si="3"/>
        <v>-418025.45000000298</v>
      </c>
      <c r="J20" s="302">
        <f t="shared" si="3"/>
        <v>440151.60000000149</v>
      </c>
      <c r="K20" s="302">
        <f t="shared" si="3"/>
        <v>448724.76999999583</v>
      </c>
      <c r="L20" s="302">
        <f>L19-K19</f>
        <v>505081.95000000298</v>
      </c>
      <c r="M20" s="302">
        <f>M19-L19</f>
        <v>598472.56000000238</v>
      </c>
      <c r="N20" s="302">
        <f>N19-M19</f>
        <v>1015244.7699999958</v>
      </c>
      <c r="O20" s="302">
        <f>O19-N19</f>
        <v>2474443.7599999979</v>
      </c>
      <c r="P20" s="363">
        <f>SUM(E20:O20)</f>
        <v>7929189.5999999978</v>
      </c>
      <c r="Q20" s="302">
        <f>O19-D19-P20</f>
        <v>0</v>
      </c>
    </row>
    <row r="21" spans="1:18" x14ac:dyDescent="0.15">
      <c r="D21" s="342"/>
      <c r="P21" s="17"/>
    </row>
    <row r="22" spans="1:18" x14ac:dyDescent="0.15">
      <c r="A22" s="16"/>
      <c r="B22" s="16"/>
      <c r="C22" s="359" t="s">
        <v>49</v>
      </c>
      <c r="D22" s="364">
        <f>D16/D19</f>
        <v>2.5372691418219155E-4</v>
      </c>
      <c r="E22" s="364">
        <f>E16/E19</f>
        <v>2.3252494527569115E-4</v>
      </c>
      <c r="F22" s="364">
        <f t="shared" ref="F22:L22" si="4">F16/F19</f>
        <v>-3.3465283613596847E-4</v>
      </c>
      <c r="G22" s="364">
        <f t="shared" si="4"/>
        <v>6.6235470566551272E-3</v>
      </c>
      <c r="H22" s="364">
        <f t="shared" si="4"/>
        <v>4.7439033755931788E-3</v>
      </c>
      <c r="I22" s="364">
        <f t="shared" si="4"/>
        <v>-6.4725690159870105E-5</v>
      </c>
      <c r="J22" s="364">
        <f t="shared" si="4"/>
        <v>-3.7591943483325426E-4</v>
      </c>
      <c r="K22" s="364">
        <f t="shared" si="4"/>
        <v>-1.288011307576533E-3</v>
      </c>
      <c r="L22" s="364">
        <f t="shared" si="4"/>
        <v>2.4226471153889848E-3</v>
      </c>
      <c r="M22" s="364">
        <f>M16/M19</f>
        <v>5.9255031711731619E-4</v>
      </c>
      <c r="N22" s="364">
        <f>N16/N19</f>
        <v>1.3696055821874893E-2</v>
      </c>
      <c r="O22" s="364">
        <f>O16/O19</f>
        <v>1.1431706370942915E-2</v>
      </c>
      <c r="P22" s="365">
        <f>SUM(D22:O22)</f>
        <v>3.7933352648324675E-2</v>
      </c>
    </row>
    <row r="23" spans="1:18" x14ac:dyDescent="0.15">
      <c r="D23" s="342"/>
    </row>
    <row r="24" spans="1:18" x14ac:dyDescent="0.15">
      <c r="B24" s="303" t="s">
        <v>738</v>
      </c>
      <c r="D24" s="443">
        <v>1.1590000000000001E-3</v>
      </c>
      <c r="E24" s="443">
        <v>1.1590000000000001E-3</v>
      </c>
      <c r="F24" s="443">
        <v>1.1590000000000001E-3</v>
      </c>
      <c r="G24" s="443">
        <v>1.5900000000000001E-3</v>
      </c>
      <c r="H24" s="443">
        <v>1.5900000000000001E-3</v>
      </c>
      <c r="I24" s="443">
        <v>2.019E-3</v>
      </c>
      <c r="J24" s="443">
        <v>2.4459999999999998E-3</v>
      </c>
      <c r="K24" s="443">
        <v>2.4459999999999998E-3</v>
      </c>
      <c r="L24" s="443">
        <v>3.0119999999999999E-3</v>
      </c>
      <c r="M24" s="443">
        <v>3.5750000000000001E-3</v>
      </c>
      <c r="N24" s="443">
        <v>4.4120000000000001E-3</v>
      </c>
      <c r="O24" s="443">
        <v>4.9020000000000001E-3</v>
      </c>
      <c r="P24" s="444">
        <f>SUM(D24:O24)</f>
        <v>2.9468999999999999E-2</v>
      </c>
    </row>
    <row r="25" spans="1:18" x14ac:dyDescent="0.15">
      <c r="C25" s="303" t="s">
        <v>739</v>
      </c>
      <c r="D25" s="445">
        <f>D24-D22</f>
        <v>9.0527308581780854E-4</v>
      </c>
      <c r="E25" s="445">
        <f t="shared" ref="E25:O25" si="5">E24-E22</f>
        <v>9.2647505472430892E-4</v>
      </c>
      <c r="F25" s="445">
        <f t="shared" si="5"/>
        <v>1.4936528361359684E-3</v>
      </c>
      <c r="G25" s="445">
        <f t="shared" si="5"/>
        <v>-5.033547056655127E-3</v>
      </c>
      <c r="H25" s="445">
        <f t="shared" si="5"/>
        <v>-3.1539033755931785E-3</v>
      </c>
      <c r="I25" s="445">
        <f t="shared" si="5"/>
        <v>2.08372569015987E-3</v>
      </c>
      <c r="J25" s="445">
        <f t="shared" si="5"/>
        <v>2.821919434833254E-3</v>
      </c>
      <c r="K25" s="445">
        <f t="shared" si="5"/>
        <v>3.7340113075765326E-3</v>
      </c>
      <c r="L25" s="445">
        <f t="shared" si="5"/>
        <v>5.893528846110151E-4</v>
      </c>
      <c r="M25" s="445">
        <f t="shared" si="5"/>
        <v>2.9824496828826839E-3</v>
      </c>
      <c r="N25" s="445">
        <f t="shared" si="5"/>
        <v>-9.2840558218748939E-3</v>
      </c>
      <c r="O25" s="445">
        <f t="shared" si="5"/>
        <v>-6.529706370942915E-3</v>
      </c>
      <c r="P25" s="444">
        <f>SUM(D25:O25)</f>
        <v>-8.4643526483246731E-3</v>
      </c>
    </row>
    <row r="26" spans="1:18" x14ac:dyDescent="0.15">
      <c r="A26" s="16"/>
      <c r="B26" s="350" t="s">
        <v>458</v>
      </c>
      <c r="C26" s="351"/>
      <c r="D26" s="352" t="s">
        <v>38</v>
      </c>
      <c r="E26" s="352" t="s">
        <v>39</v>
      </c>
      <c r="F26" s="352" t="s">
        <v>40</v>
      </c>
      <c r="G26" s="352" t="s">
        <v>41</v>
      </c>
      <c r="H26" s="352" t="s">
        <v>185</v>
      </c>
      <c r="I26" s="352" t="s">
        <v>186</v>
      </c>
      <c r="J26" s="352" t="s">
        <v>187</v>
      </c>
      <c r="K26" s="352" t="s">
        <v>188</v>
      </c>
      <c r="L26" s="352" t="s">
        <v>189</v>
      </c>
      <c r="M26" s="352" t="s">
        <v>191</v>
      </c>
      <c r="N26" s="352" t="s">
        <v>192</v>
      </c>
      <c r="O26" s="352" t="s">
        <v>193</v>
      </c>
      <c r="P26" s="353" t="s">
        <v>4</v>
      </c>
    </row>
    <row r="27" spans="1:18" x14ac:dyDescent="0.15">
      <c r="B27" s="344" t="s">
        <v>397</v>
      </c>
      <c r="C27" s="345"/>
      <c r="D27" s="342"/>
      <c r="E27" s="342"/>
      <c r="F27" s="342"/>
      <c r="G27" s="342"/>
      <c r="H27" s="342"/>
      <c r="I27" s="342"/>
      <c r="J27" s="342"/>
      <c r="K27" s="342"/>
      <c r="L27" s="342"/>
      <c r="M27" s="342"/>
      <c r="N27" s="342"/>
      <c r="O27" s="342"/>
      <c r="P27" s="354"/>
    </row>
    <row r="28" spans="1:18" x14ac:dyDescent="0.15">
      <c r="A28" s="33" t="s">
        <v>42</v>
      </c>
      <c r="B28" s="3" t="s">
        <v>396</v>
      </c>
      <c r="C28" s="345">
        <v>2</v>
      </c>
      <c r="D28" s="342">
        <f>891787.92</f>
        <v>891787.92</v>
      </c>
      <c r="E28" s="342">
        <f>1297234.15</f>
        <v>1297234.1499999999</v>
      </c>
      <c r="F28" s="342">
        <f>1687898.51</f>
        <v>1687898.51</v>
      </c>
      <c r="G28" s="342">
        <f>1685861.8</f>
        <v>1685861.8</v>
      </c>
      <c r="H28" s="342">
        <v>1689453.12</v>
      </c>
      <c r="I28" s="342">
        <v>1686800.55</v>
      </c>
      <c r="J28" s="342">
        <f>1759027.36</f>
        <v>1759027.36</v>
      </c>
      <c r="K28" s="342">
        <f>1760518.98</f>
        <v>1760518.98</v>
      </c>
      <c r="L28" s="342">
        <f>1773575.36</f>
        <v>1773575.36</v>
      </c>
      <c r="M28" s="342">
        <f>94187.06</f>
        <v>94187.06</v>
      </c>
      <c r="N28" s="342">
        <v>2321663.64</v>
      </c>
      <c r="O28" s="342">
        <f>409138.61</f>
        <v>409138.61</v>
      </c>
      <c r="P28" s="354">
        <f t="shared" ref="P28:P33" si="6">SUM(D28:O28)</f>
        <v>17057147.060000002</v>
      </c>
      <c r="Q28" s="342">
        <f>17057147.06-P28</f>
        <v>0</v>
      </c>
    </row>
    <row r="29" spans="1:18" x14ac:dyDescent="0.15">
      <c r="A29" s="33" t="s">
        <v>43</v>
      </c>
      <c r="B29" s="3" t="s">
        <v>398</v>
      </c>
      <c r="C29" s="345">
        <v>7</v>
      </c>
      <c r="D29" s="342">
        <f>54875.67</f>
        <v>54875.67</v>
      </c>
      <c r="E29" s="342">
        <f>111840.76</f>
        <v>111840.76</v>
      </c>
      <c r="F29" s="342">
        <f>76216.62</f>
        <v>76216.62</v>
      </c>
      <c r="G29" s="342">
        <f>196927.82</f>
        <v>196927.82</v>
      </c>
      <c r="H29" s="342">
        <v>121457.79</v>
      </c>
      <c r="I29" s="342">
        <v>89905.39</v>
      </c>
      <c r="J29" s="342">
        <f>81930.93</f>
        <v>81930.929999999993</v>
      </c>
      <c r="K29" s="342">
        <f>75400.28</f>
        <v>75400.28</v>
      </c>
      <c r="L29" s="342">
        <v>26474.98</v>
      </c>
      <c r="M29" s="342">
        <f>150757.23</f>
        <v>150757.23000000001</v>
      </c>
      <c r="N29" s="342">
        <v>119273.54</v>
      </c>
      <c r="O29" s="342">
        <f>79523.22</f>
        <v>79523.22</v>
      </c>
      <c r="P29" s="354">
        <f t="shared" si="6"/>
        <v>1184584.23</v>
      </c>
      <c r="Q29" s="342">
        <f>1184584.23-P29</f>
        <v>0</v>
      </c>
    </row>
    <row r="30" spans="1:18" x14ac:dyDescent="0.15">
      <c r="B30" s="344" t="s">
        <v>399</v>
      </c>
      <c r="C30" s="345"/>
      <c r="D30" s="342">
        <f>2095430.84</f>
        <v>2095430.84</v>
      </c>
      <c r="E30" s="342">
        <f>2742554.41</f>
        <v>2742554.41</v>
      </c>
      <c r="F30" s="342">
        <f>3839700.82</f>
        <v>3839700.82</v>
      </c>
      <c r="G30" s="342">
        <f>3771843.75</f>
        <v>3771843.75</v>
      </c>
      <c r="H30" s="342">
        <v>3848650.12</v>
      </c>
      <c r="I30" s="342">
        <f>3752341.12</f>
        <v>3752341.12</v>
      </c>
      <c r="J30" s="342">
        <f>3711368.89</f>
        <v>3711368.89</v>
      </c>
      <c r="K30" s="342">
        <f>3913552.05</f>
        <v>3913552.05</v>
      </c>
      <c r="L30" s="342">
        <f>3896369.6</f>
        <v>3896369.6</v>
      </c>
      <c r="M30" s="342">
        <f>1841352.19</f>
        <v>1841352.19</v>
      </c>
      <c r="N30" s="342">
        <f>4495335.91</f>
        <v>4495335.91</v>
      </c>
      <c r="O30" s="342">
        <f>2654545.52</f>
        <v>2654545.52</v>
      </c>
      <c r="P30" s="354">
        <f t="shared" si="6"/>
        <v>40563045.220000006</v>
      </c>
      <c r="Q30" s="302">
        <f>40563045.22-P30</f>
        <v>0</v>
      </c>
    </row>
    <row r="31" spans="1:18" x14ac:dyDescent="0.15">
      <c r="A31" s="16"/>
      <c r="B31" s="16" t="s">
        <v>400</v>
      </c>
      <c r="C31" s="355"/>
      <c r="D31" s="356">
        <f>1954791.97</f>
        <v>1954791.97</v>
      </c>
      <c r="E31" s="357">
        <f>2260829.3</f>
        <v>2260829.2999999998</v>
      </c>
      <c r="F31" s="357">
        <v>2278311.75</v>
      </c>
      <c r="G31" s="357">
        <v>2289318.1</v>
      </c>
      <c r="H31" s="357">
        <v>2296838.04</v>
      </c>
      <c r="I31" s="357">
        <f>3583557.43</f>
        <v>3583557.43</v>
      </c>
      <c r="J31" s="357">
        <f>2402140.19</f>
        <v>2402140.19</v>
      </c>
      <c r="K31" s="357">
        <v>2406151.0499999998</v>
      </c>
      <c r="L31" s="357">
        <f>2503434.53</f>
        <v>2503434.5299999998</v>
      </c>
      <c r="M31" s="357">
        <v>2513863.7400000002</v>
      </c>
      <c r="N31" s="357">
        <f>2528874.54</f>
        <v>2528874.54</v>
      </c>
      <c r="O31" s="357">
        <f>3812496.1</f>
        <v>3812496.1</v>
      </c>
      <c r="P31" s="369">
        <f t="shared" si="6"/>
        <v>30830606.740000002</v>
      </c>
      <c r="Q31" s="302">
        <f>30830606.74-P31</f>
        <v>0</v>
      </c>
    </row>
    <row r="32" spans="1:18" x14ac:dyDescent="0.15">
      <c r="B32" s="3" t="s">
        <v>401</v>
      </c>
      <c r="C32" s="345" t="s">
        <v>44</v>
      </c>
      <c r="D32" s="342">
        <f t="shared" ref="D32:F32" si="7">D30-D31</f>
        <v>140638.87000000011</v>
      </c>
      <c r="E32" s="342">
        <f t="shared" si="7"/>
        <v>481725.11000000034</v>
      </c>
      <c r="F32" s="342">
        <f t="shared" si="7"/>
        <v>1561389.0699999998</v>
      </c>
      <c r="G32" s="342">
        <f>G30-G31</f>
        <v>1482525.65</v>
      </c>
      <c r="H32" s="342">
        <f t="shared" ref="H32:K32" si="8">H30-H31</f>
        <v>1551812.08</v>
      </c>
      <c r="I32" s="358">
        <f t="shared" si="8"/>
        <v>168783.68999999994</v>
      </c>
      <c r="J32" s="342">
        <f t="shared" si="8"/>
        <v>1309228.7000000002</v>
      </c>
      <c r="K32" s="342">
        <f t="shared" si="8"/>
        <v>1507401</v>
      </c>
      <c r="L32" s="342">
        <f>L30-L31</f>
        <v>1392935.0700000003</v>
      </c>
      <c r="M32" s="358">
        <f>M30-M31</f>
        <v>-672511.55000000028</v>
      </c>
      <c r="N32" s="342">
        <f>N30-N31</f>
        <v>1966461.37</v>
      </c>
      <c r="O32" s="342">
        <f>O30-O31</f>
        <v>-1157950.58</v>
      </c>
      <c r="P32" s="354">
        <f t="shared" si="6"/>
        <v>9732438.4800000023</v>
      </c>
      <c r="Q32" s="302"/>
    </row>
    <row r="33" spans="1:17" x14ac:dyDescent="0.15">
      <c r="A33" s="16"/>
      <c r="B33" s="359" t="s">
        <v>45</v>
      </c>
      <c r="C33" s="355" t="s">
        <v>46</v>
      </c>
      <c r="D33" s="356">
        <f t="shared" ref="D33:J33" si="9">SUM(D28:D29)-D32</f>
        <v>806024.72</v>
      </c>
      <c r="E33" s="356">
        <f t="shared" si="9"/>
        <v>927349.79999999958</v>
      </c>
      <c r="F33" s="356">
        <f t="shared" si="9"/>
        <v>202726.06000000006</v>
      </c>
      <c r="G33" s="356">
        <f t="shared" si="9"/>
        <v>400263.9700000002</v>
      </c>
      <c r="H33" s="356">
        <f t="shared" si="9"/>
        <v>259098.83000000007</v>
      </c>
      <c r="I33" s="356">
        <f t="shared" si="9"/>
        <v>1607922.25</v>
      </c>
      <c r="J33" s="356">
        <f t="shared" si="9"/>
        <v>531729.58999999985</v>
      </c>
      <c r="K33" s="356">
        <f>SUM(K28:K29)-K32</f>
        <v>328518.26</v>
      </c>
      <c r="L33" s="356">
        <f>SUM(L28:L29)-L32</f>
        <v>407115.26999999979</v>
      </c>
      <c r="M33" s="356">
        <f>SUM(M28:M29)-M32</f>
        <v>917455.84000000032</v>
      </c>
      <c r="N33" s="356">
        <f>SUM(N28:N29)-N32</f>
        <v>474475.81000000006</v>
      </c>
      <c r="O33" s="356">
        <f>SUM(O28:O29)-O32</f>
        <v>1646612.4100000001</v>
      </c>
      <c r="P33" s="369">
        <f t="shared" si="6"/>
        <v>8509292.8100000005</v>
      </c>
    </row>
    <row r="34" spans="1:17" x14ac:dyDescent="0.15">
      <c r="B34" s="3" t="s">
        <v>372</v>
      </c>
      <c r="D34" s="342"/>
      <c r="E34" s="302">
        <f>D33+E33</f>
        <v>1733374.5199999996</v>
      </c>
      <c r="F34" s="302">
        <f t="shared" ref="F34" si="10">E34+F33</f>
        <v>1936100.5799999996</v>
      </c>
      <c r="G34" s="302">
        <f t="shared" ref="G34" si="11">F34+G33</f>
        <v>2336364.5499999998</v>
      </c>
      <c r="H34" s="302">
        <f t="shared" ref="H34" si="12">G34+H33</f>
        <v>2595463.38</v>
      </c>
      <c r="I34" s="302">
        <f t="shared" ref="I34" si="13">H34+I33</f>
        <v>4203385.63</v>
      </c>
      <c r="J34" s="302">
        <f t="shared" ref="J34" si="14">I34+J33</f>
        <v>4735115.22</v>
      </c>
      <c r="K34" s="302">
        <f>J34+K33</f>
        <v>5063633.4799999995</v>
      </c>
      <c r="L34" s="302">
        <f>K34+L33</f>
        <v>5470748.7499999991</v>
      </c>
      <c r="M34" s="302">
        <f>L34+M33</f>
        <v>6388204.5899999999</v>
      </c>
      <c r="N34" s="302">
        <f>M34+N33</f>
        <v>6862680.4000000004</v>
      </c>
      <c r="O34" s="302">
        <f>N34+O33</f>
        <v>8509292.8100000005</v>
      </c>
      <c r="P34" s="17"/>
    </row>
    <row r="35" spans="1:17" x14ac:dyDescent="0.15">
      <c r="B35" s="303" t="s">
        <v>47</v>
      </c>
      <c r="C35" s="360"/>
      <c r="D35" s="342">
        <f>170931.46-130848.46</f>
        <v>40082.999999999985</v>
      </c>
      <c r="E35" s="361">
        <f>346111.52-258485.56</f>
        <v>87625.960000000021</v>
      </c>
      <c r="F35" s="361">
        <f>619278.08-40324.34</f>
        <v>578953.74</v>
      </c>
      <c r="G35" s="361">
        <f>416112.89-137141.35</f>
        <v>278971.54000000004</v>
      </c>
      <c r="H35" s="361">
        <v>443844.93</v>
      </c>
      <c r="I35" s="361">
        <f>389536.32-25254.89</f>
        <v>364281.43</v>
      </c>
      <c r="J35" s="361">
        <f>281732.76-48232.86</f>
        <v>233499.90000000002</v>
      </c>
      <c r="K35" s="361">
        <f>349748.56-6010.28</f>
        <v>343738.27999999997</v>
      </c>
      <c r="L35" s="361">
        <f>437508.32-47945.81</f>
        <v>389562.51</v>
      </c>
      <c r="M35" s="361">
        <f>618359.36</f>
        <v>618359.36</v>
      </c>
      <c r="N35" s="361">
        <f>403157.76-172210.9</f>
        <v>230946.86000000002</v>
      </c>
      <c r="O35" s="361">
        <f>658274.17-217966.6</f>
        <v>440307.57000000007</v>
      </c>
      <c r="P35" s="354">
        <f>SUM(D35:O35)</f>
        <v>4050175.08</v>
      </c>
      <c r="Q35" s="302">
        <f>(5134596.13-1084421.05)-P35</f>
        <v>0</v>
      </c>
    </row>
    <row r="36" spans="1:17" x14ac:dyDescent="0.15">
      <c r="A36" s="16"/>
      <c r="B36" s="359" t="s">
        <v>48</v>
      </c>
      <c r="C36" s="16"/>
      <c r="D36" s="357">
        <v>40962776.229999997</v>
      </c>
      <c r="E36" s="357">
        <f>41262902.53</f>
        <v>41262902.530000001</v>
      </c>
      <c r="F36" s="357">
        <f>43145513.5</f>
        <v>43145513.5</v>
      </c>
      <c r="G36" s="357">
        <f>44628052.33</f>
        <v>44628052.329999998</v>
      </c>
      <c r="H36" s="357">
        <f>46061864.93</f>
        <v>46061864.93</v>
      </c>
      <c r="I36" s="357">
        <f>46338876.84</f>
        <v>46338876.840000004</v>
      </c>
      <c r="J36" s="357">
        <v>47648105.539999999</v>
      </c>
      <c r="K36" s="357">
        <f>49155506.54</f>
        <v>49155506.539999999</v>
      </c>
      <c r="L36" s="357">
        <f>50548441.61</f>
        <v>50548441.609999999</v>
      </c>
      <c r="M36" s="357">
        <f>49875930.06</f>
        <v>49875930.060000002</v>
      </c>
      <c r="N36" s="357">
        <f>52192735.75</f>
        <v>52192735.75</v>
      </c>
      <c r="O36" s="357">
        <f>49872763.43</f>
        <v>49872763.43</v>
      </c>
      <c r="P36" s="362" t="s">
        <v>4</v>
      </c>
    </row>
    <row r="37" spans="1:17" x14ac:dyDescent="0.15">
      <c r="D37" s="342">
        <f>40962776.23-D36</f>
        <v>0</v>
      </c>
      <c r="E37" s="302">
        <f>E36-D36</f>
        <v>300126.30000000447</v>
      </c>
      <c r="F37" s="302">
        <f>F36-E36</f>
        <v>1882610.9699999988</v>
      </c>
      <c r="G37" s="302">
        <f t="shared" ref="G37" si="15">G36-F36</f>
        <v>1482538.8299999982</v>
      </c>
      <c r="H37" s="302">
        <f t="shared" ref="H37" si="16">H36-G36</f>
        <v>1433812.6000000015</v>
      </c>
      <c r="I37" s="302">
        <f t="shared" ref="I37" si="17">I36-H36</f>
        <v>277011.91000000387</v>
      </c>
      <c r="J37" s="302">
        <f t="shared" ref="J37" si="18">J36-I36</f>
        <v>1309228.6999999955</v>
      </c>
      <c r="K37" s="302">
        <f t="shared" ref="K37" si="19">K36-J36</f>
        <v>1507401</v>
      </c>
      <c r="L37" s="302">
        <f t="shared" ref="L37" si="20">L36-K36</f>
        <v>1392935.0700000003</v>
      </c>
      <c r="M37" s="302">
        <f t="shared" ref="M37" si="21">M36-L36</f>
        <v>-672511.54999999702</v>
      </c>
      <c r="N37" s="302">
        <f>N36-M36</f>
        <v>2316805.6899999976</v>
      </c>
      <c r="O37" s="302">
        <f>O36-N36</f>
        <v>-2319972.3200000003</v>
      </c>
      <c r="P37" s="363">
        <f>SUM(E37:O37)</f>
        <v>8909987.200000003</v>
      </c>
      <c r="Q37" s="302">
        <f>O36-D36-P37</f>
        <v>0</v>
      </c>
    </row>
    <row r="38" spans="1:17" x14ac:dyDescent="0.15">
      <c r="D38" s="342"/>
      <c r="P38" s="17"/>
    </row>
    <row r="39" spans="1:17" x14ac:dyDescent="0.15">
      <c r="A39" s="16"/>
      <c r="B39" s="350" t="s">
        <v>809</v>
      </c>
      <c r="C39" s="351"/>
      <c r="D39" s="352" t="s">
        <v>38</v>
      </c>
      <c r="E39" s="352" t="s">
        <v>39</v>
      </c>
      <c r="F39" s="352" t="s">
        <v>40</v>
      </c>
      <c r="G39" s="352" t="s">
        <v>41</v>
      </c>
      <c r="H39" s="352" t="s">
        <v>185</v>
      </c>
      <c r="I39" s="352" t="s">
        <v>186</v>
      </c>
      <c r="J39" s="352" t="s">
        <v>187</v>
      </c>
      <c r="K39" s="352" t="s">
        <v>188</v>
      </c>
      <c r="L39" s="352" t="s">
        <v>189</v>
      </c>
      <c r="M39" s="352" t="s">
        <v>191</v>
      </c>
      <c r="N39" s="352" t="s">
        <v>192</v>
      </c>
      <c r="O39" s="352" t="s">
        <v>193</v>
      </c>
      <c r="P39" s="353" t="s">
        <v>4</v>
      </c>
    </row>
    <row r="40" spans="1:17" x14ac:dyDescent="0.15">
      <c r="A40" s="33" t="s">
        <v>819</v>
      </c>
      <c r="B40" s="344"/>
      <c r="C40" s="345">
        <v>168</v>
      </c>
      <c r="D40" s="342">
        <v>60031.57</v>
      </c>
      <c r="E40" s="342">
        <v>1024638.76</v>
      </c>
      <c r="F40" s="342">
        <v>636559.99</v>
      </c>
      <c r="G40" s="342">
        <f>864052.03</f>
        <v>864052.03</v>
      </c>
      <c r="H40" s="342">
        <v>1478346.72</v>
      </c>
      <c r="I40" s="342">
        <f>1298018.08</f>
        <v>1298018.08</v>
      </c>
      <c r="J40" s="342"/>
      <c r="K40" s="342"/>
      <c r="L40" s="342"/>
      <c r="M40" s="342"/>
      <c r="N40" s="342"/>
      <c r="O40" s="342"/>
      <c r="P40" s="354">
        <f>SUM(D40:O40)</f>
        <v>5361647.1500000004</v>
      </c>
      <c r="Q40" s="302">
        <f>5361647.15-P40</f>
        <v>0</v>
      </c>
    </row>
    <row r="41" spans="1:17" x14ac:dyDescent="0.15">
      <c r="A41" s="33" t="s">
        <v>820</v>
      </c>
      <c r="B41" s="3" t="s">
        <v>396</v>
      </c>
      <c r="C41" s="345">
        <v>450</v>
      </c>
      <c r="D41" s="342">
        <f>95250.09+18253.01</f>
        <v>113503.09999999999</v>
      </c>
      <c r="E41" s="342">
        <f>82721.27+28153.91</f>
        <v>110875.18000000001</v>
      </c>
      <c r="F41" s="342">
        <f>47638.15</f>
        <v>47638.15</v>
      </c>
      <c r="G41" s="342">
        <f>46219.84</f>
        <v>46219.839999999997</v>
      </c>
      <c r="H41" s="342">
        <f>120813.16</f>
        <v>120813.16</v>
      </c>
      <c r="I41" s="342">
        <v>56586.43</v>
      </c>
      <c r="J41" s="342"/>
      <c r="K41" s="342"/>
      <c r="L41" s="342"/>
      <c r="M41" s="342"/>
      <c r="N41" s="342"/>
      <c r="O41" s="342"/>
      <c r="P41" s="354">
        <f t="shared" ref="P41:P45" si="22">SUM(D41:O41)</f>
        <v>495635.86000000004</v>
      </c>
      <c r="Q41" s="342">
        <f>495635.86-P41</f>
        <v>0</v>
      </c>
    </row>
    <row r="42" spans="1:17" x14ac:dyDescent="0.15">
      <c r="A42" s="33" t="s">
        <v>821</v>
      </c>
      <c r="B42" s="3" t="s">
        <v>398</v>
      </c>
      <c r="C42" s="345">
        <v>169</v>
      </c>
      <c r="D42" s="342">
        <v>4109.84</v>
      </c>
      <c r="E42" s="342"/>
      <c r="F42" s="342"/>
      <c r="G42" s="342"/>
      <c r="H42" s="342">
        <v>556974.46</v>
      </c>
      <c r="I42" s="342">
        <v>574111.92000000004</v>
      </c>
      <c r="J42" s="342"/>
      <c r="K42" s="342"/>
      <c r="L42" s="342"/>
      <c r="M42" s="342"/>
      <c r="N42" s="342"/>
      <c r="O42" s="342"/>
      <c r="P42" s="354">
        <f t="shared" si="22"/>
        <v>1135196.22</v>
      </c>
      <c r="Q42" s="342">
        <f>1135196.22-P42</f>
        <v>0</v>
      </c>
    </row>
    <row r="43" spans="1:17" x14ac:dyDescent="0.15">
      <c r="B43" s="344" t="s">
        <v>399</v>
      </c>
      <c r="C43" s="345"/>
      <c r="D43" s="342">
        <v>3528246.49</v>
      </c>
      <c r="E43" s="342">
        <v>3547890.99</v>
      </c>
      <c r="F43" s="342">
        <f>2585321.78</f>
        <v>2585321.7799999998</v>
      </c>
      <c r="G43" s="342">
        <f>3198537.15</f>
        <v>3198537.15</v>
      </c>
      <c r="H43" s="342">
        <f>4536124.19</f>
        <v>4536124.1900000004</v>
      </c>
      <c r="I43" s="342">
        <f>3900432.37</f>
        <v>3900432.37</v>
      </c>
      <c r="J43" s="342"/>
      <c r="K43" s="342"/>
      <c r="L43" s="342"/>
      <c r="M43" s="342"/>
      <c r="N43" s="342"/>
      <c r="O43" s="342"/>
      <c r="P43" s="354">
        <f t="shared" si="22"/>
        <v>21296552.970000003</v>
      </c>
      <c r="Q43" s="302">
        <f>21296552.97-P43</f>
        <v>0</v>
      </c>
    </row>
    <row r="44" spans="1:17" x14ac:dyDescent="0.15">
      <c r="A44" s="16"/>
      <c r="B44" s="16" t="s">
        <v>400</v>
      </c>
      <c r="C44" s="355"/>
      <c r="D44" s="356">
        <v>2499458.21</v>
      </c>
      <c r="E44" s="357">
        <f>2627813.86</f>
        <v>2627813.86</v>
      </c>
      <c r="F44" s="357">
        <f>2694926.64</f>
        <v>2694926.64</v>
      </c>
      <c r="G44" s="357">
        <f>2711762.33</f>
        <v>2711762.33</v>
      </c>
      <c r="H44" s="357">
        <f>2710912.61</f>
        <v>2710912.61</v>
      </c>
      <c r="I44" s="357">
        <v>4077532.92</v>
      </c>
      <c r="J44" s="357"/>
      <c r="K44" s="357"/>
      <c r="L44" s="357"/>
      <c r="M44" s="357"/>
      <c r="N44" s="357"/>
      <c r="O44" s="357"/>
      <c r="P44" s="369">
        <f t="shared" si="22"/>
        <v>17322406.57</v>
      </c>
      <c r="Q44" s="302">
        <f>17322406.57-P44</f>
        <v>0</v>
      </c>
    </row>
    <row r="45" spans="1:17" x14ac:dyDescent="0.15">
      <c r="B45" s="3" t="s">
        <v>401</v>
      </c>
      <c r="C45" s="345" t="s">
        <v>44</v>
      </c>
      <c r="D45" s="342">
        <f>D43-D44</f>
        <v>1028788.2800000003</v>
      </c>
      <c r="E45" s="342">
        <f t="shared" ref="E45:F45" si="23">E43-E44</f>
        <v>920077.13000000035</v>
      </c>
      <c r="F45" s="342">
        <f t="shared" si="23"/>
        <v>-109604.86000000034</v>
      </c>
      <c r="G45" s="342">
        <f>G43-G44</f>
        <v>486774.81999999983</v>
      </c>
      <c r="H45" s="342">
        <f t="shared" ref="H45:K45" si="24">H43-H44</f>
        <v>1825211.5800000005</v>
      </c>
      <c r="I45" s="358">
        <f t="shared" si="24"/>
        <v>-177100.54999999981</v>
      </c>
      <c r="J45" s="342">
        <f t="shared" si="24"/>
        <v>0</v>
      </c>
      <c r="K45" s="342">
        <f t="shared" si="24"/>
        <v>0</v>
      </c>
      <c r="L45" s="358">
        <f>L43-L44</f>
        <v>0</v>
      </c>
      <c r="M45" s="358">
        <f>M43-M44</f>
        <v>0</v>
      </c>
      <c r="N45" s="342">
        <f>N43-N44</f>
        <v>0</v>
      </c>
      <c r="O45" s="342">
        <f>O43-O44</f>
        <v>0</v>
      </c>
      <c r="P45" s="354">
        <f t="shared" si="22"/>
        <v>3974146.4000000008</v>
      </c>
      <c r="Q45" s="302"/>
    </row>
    <row r="46" spans="1:17" x14ac:dyDescent="0.15">
      <c r="C46" s="345"/>
      <c r="D46" s="342"/>
      <c r="P46" s="17"/>
    </row>
    <row r="47" spans="1:17" x14ac:dyDescent="0.15">
      <c r="A47" s="16"/>
      <c r="B47" s="359" t="s">
        <v>45</v>
      </c>
      <c r="C47" s="355" t="s">
        <v>46</v>
      </c>
      <c r="D47" s="356">
        <f>SUM(D40:D42)-D45</f>
        <v>-851143.77000000025</v>
      </c>
      <c r="E47" s="356">
        <f>SUM(E40:E42)-E45</f>
        <v>215436.80999999959</v>
      </c>
      <c r="F47" s="356">
        <f t="shared" ref="F47:O47" si="25">SUM(F40:F42)-F45</f>
        <v>793803.00000000035</v>
      </c>
      <c r="G47" s="356">
        <f t="shared" si="25"/>
        <v>423497.05000000016</v>
      </c>
      <c r="H47" s="356">
        <f t="shared" si="25"/>
        <v>330922.75999999931</v>
      </c>
      <c r="I47" s="356">
        <f t="shared" si="25"/>
        <v>2105816.98</v>
      </c>
      <c r="J47" s="356">
        <f t="shared" si="25"/>
        <v>0</v>
      </c>
      <c r="K47" s="356">
        <f t="shared" si="25"/>
        <v>0</v>
      </c>
      <c r="L47" s="356">
        <f t="shared" si="25"/>
        <v>0</v>
      </c>
      <c r="M47" s="356">
        <f t="shared" si="25"/>
        <v>0</v>
      </c>
      <c r="N47" s="356">
        <f t="shared" si="25"/>
        <v>0</v>
      </c>
      <c r="O47" s="356">
        <f t="shared" si="25"/>
        <v>0</v>
      </c>
      <c r="P47" s="369">
        <f>SUM(D47:O47)</f>
        <v>3018332.8299999991</v>
      </c>
    </row>
    <row r="48" spans="1:17" x14ac:dyDescent="0.15">
      <c r="B48" s="3" t="s">
        <v>372</v>
      </c>
      <c r="D48" s="342"/>
      <c r="E48" s="302">
        <f>D47+E47</f>
        <v>-635706.96000000066</v>
      </c>
      <c r="F48" s="722">
        <f t="shared" ref="F48" si="26">E48+F47</f>
        <v>158096.03999999969</v>
      </c>
      <c r="G48" s="302">
        <f t="shared" ref="G48" si="27">F48+G47</f>
        <v>581593.08999999985</v>
      </c>
      <c r="H48" s="722">
        <f t="shared" ref="H48" si="28">G48+H47</f>
        <v>912515.84999999916</v>
      </c>
      <c r="I48" s="302">
        <f t="shared" ref="I48" si="29">H48+I47</f>
        <v>3018332.8299999991</v>
      </c>
      <c r="J48" s="302">
        <f t="shared" ref="J48" si="30">I48+J47</f>
        <v>3018332.8299999991</v>
      </c>
      <c r="K48" s="302">
        <f>J48+K47</f>
        <v>3018332.8299999991</v>
      </c>
      <c r="L48" s="302">
        <f>K48+L47</f>
        <v>3018332.8299999991</v>
      </c>
      <c r="M48" s="302">
        <f>L48+M47</f>
        <v>3018332.8299999991</v>
      </c>
      <c r="N48" s="302">
        <f>M48+N47</f>
        <v>3018332.8299999991</v>
      </c>
      <c r="O48" s="302">
        <f>N48+O47</f>
        <v>3018332.8299999991</v>
      </c>
      <c r="P48" s="17"/>
    </row>
    <row r="49" spans="1:18" x14ac:dyDescent="0.15">
      <c r="B49" s="303" t="s">
        <v>47</v>
      </c>
      <c r="C49" s="360"/>
      <c r="D49" s="342">
        <f>578445.66+2770.37-229.97</f>
        <v>580986.06000000006</v>
      </c>
      <c r="E49" s="342">
        <f>548707.38+2295.89-6314.48</f>
        <v>544688.79</v>
      </c>
      <c r="F49" s="361">
        <f>729532.55+2952.49-2861.17</f>
        <v>729623.87</v>
      </c>
      <c r="G49" s="361">
        <f>486956.96+2318.61</f>
        <v>489275.57</v>
      </c>
      <c r="H49" s="361">
        <f>610820.65+2856.38-80.59</f>
        <v>613596.44000000006</v>
      </c>
      <c r="I49" s="361">
        <f>720929.97+2928.25</f>
        <v>723858.22</v>
      </c>
      <c r="J49" s="361"/>
      <c r="K49" s="361"/>
      <c r="L49" s="361"/>
      <c r="M49" s="361"/>
      <c r="N49" s="361"/>
      <c r="O49" s="361"/>
      <c r="P49" s="354">
        <f>SUM(D49:O49)</f>
        <v>3682028.95</v>
      </c>
      <c r="Q49" s="302"/>
    </row>
    <row r="50" spans="1:18" x14ac:dyDescent="0.15">
      <c r="D50" s="342"/>
      <c r="O50" s="303"/>
      <c r="P50" s="398"/>
      <c r="R50" s="302"/>
    </row>
    <row r="51" spans="1:18" x14ac:dyDescent="0.15">
      <c r="D51" s="342"/>
      <c r="E51" s="329"/>
      <c r="O51" s="302"/>
      <c r="P51" s="302">
        <f>P49+P50</f>
        <v>3682028.95</v>
      </c>
    </row>
    <row r="52" spans="1:18" x14ac:dyDescent="0.15">
      <c r="A52" s="16"/>
      <c r="B52" s="359" t="s">
        <v>48</v>
      </c>
      <c r="C52" s="16"/>
      <c r="D52" s="357">
        <v>52056200.770000003</v>
      </c>
      <c r="E52" s="357">
        <v>52976367.68</v>
      </c>
      <c r="F52" s="357">
        <f>52866717.93</f>
        <v>52866717.93</v>
      </c>
      <c r="G52" s="357">
        <v>53353505.549999997</v>
      </c>
      <c r="H52" s="357">
        <v>55176047.840000004</v>
      </c>
      <c r="I52" s="357">
        <v>55001089.810000002</v>
      </c>
      <c r="J52" s="357"/>
      <c r="K52" s="357"/>
      <c r="L52" s="357"/>
      <c r="M52" s="357"/>
      <c r="N52" s="357"/>
      <c r="O52" s="357"/>
      <c r="P52" s="362" t="s">
        <v>4</v>
      </c>
    </row>
    <row r="53" spans="1:18" x14ac:dyDescent="0.15">
      <c r="B53" s="3" t="s">
        <v>822</v>
      </c>
      <c r="D53" s="342">
        <f>D52-49872763.43</f>
        <v>2183437.3400000036</v>
      </c>
      <c r="E53" s="302">
        <f>E52-D52</f>
        <v>920166.90999999642</v>
      </c>
      <c r="F53" s="302">
        <f>F52-E52</f>
        <v>-109649.75</v>
      </c>
      <c r="G53" s="302">
        <f t="shared" ref="G53" si="31">G52-F52</f>
        <v>486787.61999999732</v>
      </c>
      <c r="H53" s="302">
        <f>H52-G52</f>
        <v>1822542.2900000066</v>
      </c>
      <c r="I53" s="302">
        <f t="shared" ref="I53:M53" si="32">I52-H52</f>
        <v>-174958.03000000119</v>
      </c>
      <c r="J53" s="302"/>
      <c r="K53" s="302">
        <f t="shared" si="32"/>
        <v>0</v>
      </c>
      <c r="L53" s="302">
        <f t="shared" si="32"/>
        <v>0</v>
      </c>
      <c r="M53" s="302">
        <f t="shared" si="32"/>
        <v>0</v>
      </c>
      <c r="N53" s="302">
        <f>N52-M52</f>
        <v>0</v>
      </c>
      <c r="O53" s="302">
        <f>O52-N52</f>
        <v>0</v>
      </c>
      <c r="P53" s="363">
        <f>SUM(D53:O53)</f>
        <v>5128326.3800000027</v>
      </c>
      <c r="Q53" s="302">
        <f>I52-(P53+49872763.43)</f>
        <v>0</v>
      </c>
    </row>
    <row r="54" spans="1:18" x14ac:dyDescent="0.15">
      <c r="A54" s="16"/>
      <c r="B54" s="16"/>
      <c r="C54" s="359" t="s">
        <v>49</v>
      </c>
      <c r="D54" s="364">
        <f>D49/D52</f>
        <v>1.116074648949069E-2</v>
      </c>
      <c r="E54" s="364">
        <f>E49/E52</f>
        <v>1.0281731531503899E-2</v>
      </c>
      <c r="F54" s="364">
        <f t="shared" ref="F54:L54" si="33">F49/F52</f>
        <v>1.3801194751035683E-2</v>
      </c>
      <c r="G54" s="364">
        <f>G49/G52</f>
        <v>9.1704484073961666E-3</v>
      </c>
      <c r="H54" s="364">
        <f t="shared" si="33"/>
        <v>1.1120702986544315E-2</v>
      </c>
      <c r="I54" s="364">
        <f t="shared" si="33"/>
        <v>1.3160797767836083E-2</v>
      </c>
      <c r="J54" s="364" t="e">
        <f t="shared" si="33"/>
        <v>#DIV/0!</v>
      </c>
      <c r="K54" s="364" t="e">
        <f>K49/K52</f>
        <v>#DIV/0!</v>
      </c>
      <c r="L54" s="364" t="e">
        <f t="shared" si="33"/>
        <v>#DIV/0!</v>
      </c>
      <c r="M54" s="364" t="e">
        <f>M49/M52</f>
        <v>#DIV/0!</v>
      </c>
      <c r="N54" s="364" t="e">
        <f>N49/N52</f>
        <v>#DIV/0!</v>
      </c>
      <c r="O54" s="364" t="e">
        <f>O49/O52</f>
        <v>#DIV/0!</v>
      </c>
      <c r="P54" s="365" t="e">
        <f>SUM(D54:O54)</f>
        <v>#DIV/0!</v>
      </c>
    </row>
    <row r="55" spans="1:18" x14ac:dyDescent="0.15">
      <c r="A55" s="13"/>
      <c r="B55" s="359" t="s">
        <v>738</v>
      </c>
      <c r="C55" s="14"/>
      <c r="D55" s="845">
        <v>7.0910000000000001E-3</v>
      </c>
      <c r="E55" s="845">
        <v>5.8339999999999998E-3</v>
      </c>
      <c r="F55" s="845">
        <v>7.404E-3</v>
      </c>
      <c r="G55" s="845">
        <v>5.8250000000000003E-3</v>
      </c>
      <c r="H55" s="845">
        <v>7.1580000000000003E-3</v>
      </c>
      <c r="I55" s="845">
        <v>6.8079999999999998E-3</v>
      </c>
      <c r="J55" s="845">
        <v>6.5890000000000002E-3</v>
      </c>
      <c r="K55" s="443"/>
      <c r="L55" s="443"/>
      <c r="M55" s="443"/>
      <c r="N55" s="443"/>
      <c r="O55" s="443"/>
      <c r="P55" s="444">
        <f>SUM(D55:O55)</f>
        <v>4.6709000000000001E-2</v>
      </c>
    </row>
    <row r="56" spans="1:18" x14ac:dyDescent="0.15">
      <c r="A56" s="12"/>
      <c r="B56" s="490"/>
      <c r="C56" s="491" t="s">
        <v>739</v>
      </c>
      <c r="D56" s="846">
        <f>D55-D54</f>
        <v>-4.0697464894906901E-3</v>
      </c>
      <c r="E56" s="847">
        <f t="shared" ref="E56:O56" si="34">E55-E54</f>
        <v>-4.447731531503899E-3</v>
      </c>
      <c r="F56" s="847">
        <f t="shared" si="34"/>
        <v>-6.3971947510356826E-3</v>
      </c>
      <c r="G56" s="847">
        <f t="shared" si="34"/>
        <v>-3.3454484073961663E-3</v>
      </c>
      <c r="H56" s="847">
        <f t="shared" si="34"/>
        <v>-3.9627029865443144E-3</v>
      </c>
      <c r="I56" s="847">
        <f t="shared" si="34"/>
        <v>-6.3527977678360832E-3</v>
      </c>
      <c r="J56" s="445" t="e">
        <f t="shared" si="34"/>
        <v>#DIV/0!</v>
      </c>
      <c r="K56" s="445" t="e">
        <f t="shared" si="34"/>
        <v>#DIV/0!</v>
      </c>
      <c r="L56" s="445" t="e">
        <f t="shared" si="34"/>
        <v>#DIV/0!</v>
      </c>
      <c r="M56" s="445" t="e">
        <f t="shared" si="34"/>
        <v>#DIV/0!</v>
      </c>
      <c r="N56" s="445" t="e">
        <f t="shared" si="34"/>
        <v>#DIV/0!</v>
      </c>
      <c r="O56" s="445" t="e">
        <f t="shared" si="34"/>
        <v>#DIV/0!</v>
      </c>
      <c r="P56" s="444" t="e">
        <f>SUM(D56:O56)</f>
        <v>#DIV/0!</v>
      </c>
    </row>
    <row r="57" spans="1:18" x14ac:dyDescent="0.15">
      <c r="A57" s="19"/>
      <c r="B57" s="19"/>
      <c r="C57" s="615"/>
      <c r="D57" s="616"/>
      <c r="E57" s="616"/>
      <c r="F57" s="616"/>
      <c r="G57" s="616"/>
      <c r="H57" s="616"/>
      <c r="I57" s="616"/>
      <c r="J57" s="616"/>
      <c r="K57" s="616"/>
      <c r="L57" s="616"/>
      <c r="M57" s="616"/>
      <c r="N57" s="616"/>
      <c r="O57" s="616"/>
      <c r="P57" s="617"/>
    </row>
    <row r="59" spans="1:18" ht="11.25" x14ac:dyDescent="0.2">
      <c r="H59" s="29" t="s">
        <v>23</v>
      </c>
      <c r="I59" s="28"/>
      <c r="J59" s="28"/>
      <c r="K59" s="30" t="s">
        <v>24</v>
      </c>
      <c r="L59" s="30"/>
      <c r="M59" s="31"/>
      <c r="N59" s="29"/>
      <c r="O59" s="32" t="s">
        <v>25</v>
      </c>
    </row>
    <row r="60" spans="1:18" ht="11.25" x14ac:dyDescent="0.2">
      <c r="H60" s="29" t="s">
        <v>26</v>
      </c>
      <c r="I60" s="28"/>
      <c r="J60" s="28"/>
      <c r="K60" s="30" t="s">
        <v>27</v>
      </c>
      <c r="L60" s="30"/>
      <c r="M60" s="31"/>
      <c r="N60" s="29"/>
      <c r="O60" s="32" t="s">
        <v>28</v>
      </c>
    </row>
    <row r="63" spans="1:18" x14ac:dyDescent="0.15">
      <c r="D63" s="342"/>
    </row>
    <row r="64" spans="1:18" x14ac:dyDescent="0.15">
      <c r="D64" s="342"/>
    </row>
    <row r="65" spans="4:4" x14ac:dyDescent="0.15">
      <c r="D65" s="342"/>
    </row>
    <row r="66" spans="4:4" x14ac:dyDescent="0.15">
      <c r="D66" s="342"/>
    </row>
    <row r="67" spans="4:4" x14ac:dyDescent="0.15">
      <c r="D67" s="342"/>
    </row>
    <row r="68" spans="4:4" x14ac:dyDescent="0.15">
      <c r="D68" s="342"/>
    </row>
    <row r="69" spans="4:4" x14ac:dyDescent="0.15">
      <c r="D69" s="342"/>
    </row>
    <row r="70" spans="4:4" x14ac:dyDescent="0.15">
      <c r="D70" s="342"/>
    </row>
    <row r="71" spans="4:4" x14ac:dyDescent="0.15">
      <c r="D71" s="342"/>
    </row>
    <row r="72" spans="4:4" x14ac:dyDescent="0.15">
      <c r="D72" s="342"/>
    </row>
    <row r="73" spans="4:4" x14ac:dyDescent="0.15">
      <c r="D73" s="342"/>
    </row>
    <row r="74" spans="4:4" x14ac:dyDescent="0.15">
      <c r="D74" s="342"/>
    </row>
    <row r="75" spans="4:4" x14ac:dyDescent="0.15">
      <c r="D75" s="342"/>
    </row>
    <row r="76" spans="4:4" x14ac:dyDescent="0.15">
      <c r="D76" s="342"/>
    </row>
    <row r="77" spans="4:4" x14ac:dyDescent="0.15">
      <c r="D77" s="342"/>
    </row>
    <row r="78" spans="4:4" x14ac:dyDescent="0.15">
      <c r="D78" s="342"/>
    </row>
    <row r="79" spans="4:4" x14ac:dyDescent="0.15">
      <c r="D79" s="342"/>
    </row>
    <row r="80" spans="4:4" x14ac:dyDescent="0.15">
      <c r="D80" s="342"/>
    </row>
    <row r="81" spans="4:4" x14ac:dyDescent="0.15">
      <c r="D81" s="342"/>
    </row>
    <row r="82" spans="4:4" x14ac:dyDescent="0.15">
      <c r="D82" s="342"/>
    </row>
    <row r="83" spans="4:4" x14ac:dyDescent="0.15">
      <c r="D83" s="342"/>
    </row>
  </sheetData>
  <pageMargins left="0.511811024" right="0.511811024" top="0.78740157499999996" bottom="0.78740157499999996" header="0.31496062000000002" footer="0.31496062000000002"/>
  <pageSetup paperSize="9" orientation="landscape" horizontalDpi="0" verticalDpi="0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134"/>
  <sheetViews>
    <sheetView topLeftCell="A80" zoomScale="160" zoomScaleNormal="160" workbookViewId="0">
      <selection activeCell="I82" sqref="I82"/>
    </sheetView>
  </sheetViews>
  <sheetFormatPr defaultRowHeight="8.25" x14ac:dyDescent="0.15"/>
  <cols>
    <col min="1" max="1" width="8.7109375" style="33" customWidth="1"/>
    <col min="2" max="2" width="9.42578125" style="33" customWidth="1"/>
    <col min="3" max="3" width="6.140625" style="33" customWidth="1"/>
    <col min="4" max="4" width="9.7109375" style="33" customWidth="1"/>
    <col min="5" max="5" width="9.140625" style="33" customWidth="1"/>
    <col min="6" max="6" width="10.28515625" style="33" customWidth="1"/>
    <col min="7" max="7" width="8.7109375" style="33" customWidth="1"/>
    <col min="8" max="8" width="10" style="33" customWidth="1"/>
    <col min="9" max="9" width="5.42578125" style="33" customWidth="1"/>
    <col min="10" max="10" width="11.140625" style="33" customWidth="1"/>
    <col min="11" max="11" width="9.140625" style="33" customWidth="1"/>
    <col min="12" max="12" width="11.28515625" style="33" customWidth="1"/>
    <col min="13" max="13" width="9.140625" style="33" customWidth="1"/>
    <col min="14" max="14" width="11.140625" style="33" customWidth="1"/>
    <col min="15" max="15" width="10.7109375" style="33" customWidth="1"/>
    <col min="16" max="16" width="4.140625" style="33" customWidth="1"/>
    <col min="17" max="17" width="3.28515625" style="33" bestFit="1" customWidth="1"/>
    <col min="18" max="18" width="7" style="33" customWidth="1"/>
    <col min="19" max="19" width="9.7109375" style="33" customWidth="1"/>
    <col min="20" max="20" width="9.5703125" style="33" customWidth="1"/>
    <col min="21" max="21" width="9.42578125" style="33" customWidth="1"/>
    <col min="22" max="22" width="9.5703125" style="33" customWidth="1"/>
    <col min="23" max="23" width="9.28515625" style="33" customWidth="1"/>
    <col min="24" max="24" width="10" style="33" customWidth="1"/>
    <col min="25" max="26" width="9.42578125" style="33" customWidth="1"/>
    <col min="27" max="27" width="9.140625" style="33" customWidth="1"/>
    <col min="28" max="28" width="9.28515625" style="33" customWidth="1"/>
    <col min="29" max="29" width="9.42578125" style="33" customWidth="1"/>
    <col min="30" max="30" width="9.5703125" style="33" customWidth="1"/>
    <col min="31" max="31" width="9.85546875" style="33" customWidth="1"/>
    <col min="32" max="32" width="5.28515625" style="33" bestFit="1" customWidth="1"/>
    <col min="33" max="33" width="9.7109375" style="33" bestFit="1" customWidth="1"/>
    <col min="34" max="34" width="11" style="33" bestFit="1" customWidth="1"/>
    <col min="35" max="35" width="10.85546875" style="33" bestFit="1" customWidth="1"/>
    <col min="36" max="36" width="9.140625" style="33"/>
    <col min="37" max="37" width="3.85546875" style="33" bestFit="1" customWidth="1"/>
    <col min="38" max="38" width="7.28515625" style="33" bestFit="1" customWidth="1"/>
    <col min="39" max="41" width="9.140625" style="33"/>
    <col min="42" max="42" width="9.28515625" style="33" customWidth="1"/>
    <col min="43" max="43" width="9.28515625" style="33" bestFit="1" customWidth="1"/>
    <col min="44" max="256" width="9.140625" style="33"/>
    <col min="257" max="257" width="7.85546875" style="33" customWidth="1"/>
    <col min="258" max="258" width="12.140625" style="33" customWidth="1"/>
    <col min="259" max="259" width="6.28515625" style="33" customWidth="1"/>
    <col min="260" max="260" width="11.5703125" style="33" customWidth="1"/>
    <col min="261" max="261" width="7.85546875" style="33" customWidth="1"/>
    <col min="262" max="262" width="12.28515625" style="33" customWidth="1"/>
    <col min="263" max="263" width="5.28515625" style="33" customWidth="1"/>
    <col min="264" max="264" width="12.140625" style="33" bestFit="1" customWidth="1"/>
    <col min="265" max="265" width="5.7109375" style="33" customWidth="1"/>
    <col min="266" max="266" width="11.85546875" style="33" bestFit="1" customWidth="1"/>
    <col min="267" max="267" width="8" style="33" customWidth="1"/>
    <col min="268" max="268" width="12.5703125" style="33" customWidth="1"/>
    <col min="269" max="269" width="9" style="33" customWidth="1"/>
    <col min="270" max="270" width="11.7109375" style="33" bestFit="1" customWidth="1"/>
    <col min="271" max="271" width="9.42578125" style="33" customWidth="1"/>
    <col min="272" max="272" width="4.140625" style="33" customWidth="1"/>
    <col min="273" max="273" width="3.28515625" style="33" bestFit="1" customWidth="1"/>
    <col min="274" max="274" width="8.85546875" style="33" customWidth="1"/>
    <col min="275" max="275" width="10" style="33" bestFit="1" customWidth="1"/>
    <col min="276" max="277" width="9.42578125" style="33" customWidth="1"/>
    <col min="278" max="278" width="9.5703125" style="33" customWidth="1"/>
    <col min="279" max="279" width="9.85546875" style="33" customWidth="1"/>
    <col min="280" max="281" width="9.42578125" style="33" customWidth="1"/>
    <col min="282" max="282" width="9.85546875" style="33" customWidth="1"/>
    <col min="283" max="284" width="9.28515625" style="33" customWidth="1"/>
    <col min="285" max="285" width="9.85546875" style="33" customWidth="1"/>
    <col min="286" max="286" width="9.28515625" style="33" customWidth="1"/>
    <col min="287" max="287" width="10.42578125" style="33" customWidth="1"/>
    <col min="288" max="288" width="5.28515625" style="33" bestFit="1" customWidth="1"/>
    <col min="289" max="289" width="9.7109375" style="33" bestFit="1" customWidth="1"/>
    <col min="290" max="290" width="11" style="33" bestFit="1" customWidth="1"/>
    <col min="291" max="291" width="10.85546875" style="33" bestFit="1" customWidth="1"/>
    <col min="292" max="292" width="9.140625" style="33"/>
    <col min="293" max="293" width="3.85546875" style="33" bestFit="1" customWidth="1"/>
    <col min="294" max="294" width="7.28515625" style="33" bestFit="1" customWidth="1"/>
    <col min="295" max="297" width="9.140625" style="33"/>
    <col min="298" max="298" width="9.28515625" style="33" customWidth="1"/>
    <col min="299" max="299" width="9.28515625" style="33" bestFit="1" customWidth="1"/>
    <col min="300" max="512" width="9.140625" style="33"/>
    <col min="513" max="513" width="7.85546875" style="33" customWidth="1"/>
    <col min="514" max="514" width="12.140625" style="33" customWidth="1"/>
    <col min="515" max="515" width="6.28515625" style="33" customWidth="1"/>
    <col min="516" max="516" width="11.5703125" style="33" customWidth="1"/>
    <col min="517" max="517" width="7.85546875" style="33" customWidth="1"/>
    <col min="518" max="518" width="12.28515625" style="33" customWidth="1"/>
    <col min="519" max="519" width="5.28515625" style="33" customWidth="1"/>
    <col min="520" max="520" width="12.140625" style="33" bestFit="1" customWidth="1"/>
    <col min="521" max="521" width="5.7109375" style="33" customWidth="1"/>
    <col min="522" max="522" width="11.85546875" style="33" bestFit="1" customWidth="1"/>
    <col min="523" max="523" width="8" style="33" customWidth="1"/>
    <col min="524" max="524" width="12.5703125" style="33" customWidth="1"/>
    <col min="525" max="525" width="9" style="33" customWidth="1"/>
    <col min="526" max="526" width="11.7109375" style="33" bestFit="1" customWidth="1"/>
    <col min="527" max="527" width="9.42578125" style="33" customWidth="1"/>
    <col min="528" max="528" width="4.140625" style="33" customWidth="1"/>
    <col min="529" max="529" width="3.28515625" style="33" bestFit="1" customWidth="1"/>
    <col min="530" max="530" width="8.85546875" style="33" customWidth="1"/>
    <col min="531" max="531" width="10" style="33" bestFit="1" customWidth="1"/>
    <col min="532" max="533" width="9.42578125" style="33" customWidth="1"/>
    <col min="534" max="534" width="9.5703125" style="33" customWidth="1"/>
    <col min="535" max="535" width="9.85546875" style="33" customWidth="1"/>
    <col min="536" max="537" width="9.42578125" style="33" customWidth="1"/>
    <col min="538" max="538" width="9.85546875" style="33" customWidth="1"/>
    <col min="539" max="540" width="9.28515625" style="33" customWidth="1"/>
    <col min="541" max="541" width="9.85546875" style="33" customWidth="1"/>
    <col min="542" max="542" width="9.28515625" style="33" customWidth="1"/>
    <col min="543" max="543" width="10.42578125" style="33" customWidth="1"/>
    <col min="544" max="544" width="5.28515625" style="33" bestFit="1" customWidth="1"/>
    <col min="545" max="545" width="9.7109375" style="33" bestFit="1" customWidth="1"/>
    <col min="546" max="546" width="11" style="33" bestFit="1" customWidth="1"/>
    <col min="547" max="547" width="10.85546875" style="33" bestFit="1" customWidth="1"/>
    <col min="548" max="548" width="9.140625" style="33"/>
    <col min="549" max="549" width="3.85546875" style="33" bestFit="1" customWidth="1"/>
    <col min="550" max="550" width="7.28515625" style="33" bestFit="1" customWidth="1"/>
    <col min="551" max="553" width="9.140625" style="33"/>
    <col min="554" max="554" width="9.28515625" style="33" customWidth="1"/>
    <col min="555" max="555" width="9.28515625" style="33" bestFit="1" customWidth="1"/>
    <col min="556" max="768" width="9.140625" style="33"/>
    <col min="769" max="769" width="7.85546875" style="33" customWidth="1"/>
    <col min="770" max="770" width="12.140625" style="33" customWidth="1"/>
    <col min="771" max="771" width="6.28515625" style="33" customWidth="1"/>
    <col min="772" max="772" width="11.5703125" style="33" customWidth="1"/>
    <col min="773" max="773" width="7.85546875" style="33" customWidth="1"/>
    <col min="774" max="774" width="12.28515625" style="33" customWidth="1"/>
    <col min="775" max="775" width="5.28515625" style="33" customWidth="1"/>
    <col min="776" max="776" width="12.140625" style="33" bestFit="1" customWidth="1"/>
    <col min="777" max="777" width="5.7109375" style="33" customWidth="1"/>
    <col min="778" max="778" width="11.85546875" style="33" bestFit="1" customWidth="1"/>
    <col min="779" max="779" width="8" style="33" customWidth="1"/>
    <col min="780" max="780" width="12.5703125" style="33" customWidth="1"/>
    <col min="781" max="781" width="9" style="33" customWidth="1"/>
    <col min="782" max="782" width="11.7109375" style="33" bestFit="1" customWidth="1"/>
    <col min="783" max="783" width="9.42578125" style="33" customWidth="1"/>
    <col min="784" max="784" width="4.140625" style="33" customWidth="1"/>
    <col min="785" max="785" width="3.28515625" style="33" bestFit="1" customWidth="1"/>
    <col min="786" max="786" width="8.85546875" style="33" customWidth="1"/>
    <col min="787" max="787" width="10" style="33" bestFit="1" customWidth="1"/>
    <col min="788" max="789" width="9.42578125" style="33" customWidth="1"/>
    <col min="790" max="790" width="9.5703125" style="33" customWidth="1"/>
    <col min="791" max="791" width="9.85546875" style="33" customWidth="1"/>
    <col min="792" max="793" width="9.42578125" style="33" customWidth="1"/>
    <col min="794" max="794" width="9.85546875" style="33" customWidth="1"/>
    <col min="795" max="796" width="9.28515625" style="33" customWidth="1"/>
    <col min="797" max="797" width="9.85546875" style="33" customWidth="1"/>
    <col min="798" max="798" width="9.28515625" style="33" customWidth="1"/>
    <col min="799" max="799" width="10.42578125" style="33" customWidth="1"/>
    <col min="800" max="800" width="5.28515625" style="33" bestFit="1" customWidth="1"/>
    <col min="801" max="801" width="9.7109375" style="33" bestFit="1" customWidth="1"/>
    <col min="802" max="802" width="11" style="33" bestFit="1" customWidth="1"/>
    <col min="803" max="803" width="10.85546875" style="33" bestFit="1" customWidth="1"/>
    <col min="804" max="804" width="9.140625" style="33"/>
    <col min="805" max="805" width="3.85546875" style="33" bestFit="1" customWidth="1"/>
    <col min="806" max="806" width="7.28515625" style="33" bestFit="1" customWidth="1"/>
    <col min="807" max="809" width="9.140625" style="33"/>
    <col min="810" max="810" width="9.28515625" style="33" customWidth="1"/>
    <col min="811" max="811" width="9.28515625" style="33" bestFit="1" customWidth="1"/>
    <col min="812" max="1024" width="9.140625" style="33"/>
    <col min="1025" max="1025" width="7.85546875" style="33" customWidth="1"/>
    <col min="1026" max="1026" width="12.140625" style="33" customWidth="1"/>
    <col min="1027" max="1027" width="6.28515625" style="33" customWidth="1"/>
    <col min="1028" max="1028" width="11.5703125" style="33" customWidth="1"/>
    <col min="1029" max="1029" width="7.85546875" style="33" customWidth="1"/>
    <col min="1030" max="1030" width="12.28515625" style="33" customWidth="1"/>
    <col min="1031" max="1031" width="5.28515625" style="33" customWidth="1"/>
    <col min="1032" max="1032" width="12.140625" style="33" bestFit="1" customWidth="1"/>
    <col min="1033" max="1033" width="5.7109375" style="33" customWidth="1"/>
    <col min="1034" max="1034" width="11.85546875" style="33" bestFit="1" customWidth="1"/>
    <col min="1035" max="1035" width="8" style="33" customWidth="1"/>
    <col min="1036" max="1036" width="12.5703125" style="33" customWidth="1"/>
    <col min="1037" max="1037" width="9" style="33" customWidth="1"/>
    <col min="1038" max="1038" width="11.7109375" style="33" bestFit="1" customWidth="1"/>
    <col min="1039" max="1039" width="9.42578125" style="33" customWidth="1"/>
    <col min="1040" max="1040" width="4.140625" style="33" customWidth="1"/>
    <col min="1041" max="1041" width="3.28515625" style="33" bestFit="1" customWidth="1"/>
    <col min="1042" max="1042" width="8.85546875" style="33" customWidth="1"/>
    <col min="1043" max="1043" width="10" style="33" bestFit="1" customWidth="1"/>
    <col min="1044" max="1045" width="9.42578125" style="33" customWidth="1"/>
    <col min="1046" max="1046" width="9.5703125" style="33" customWidth="1"/>
    <col min="1047" max="1047" width="9.85546875" style="33" customWidth="1"/>
    <col min="1048" max="1049" width="9.42578125" style="33" customWidth="1"/>
    <col min="1050" max="1050" width="9.85546875" style="33" customWidth="1"/>
    <col min="1051" max="1052" width="9.28515625" style="33" customWidth="1"/>
    <col min="1053" max="1053" width="9.85546875" style="33" customWidth="1"/>
    <col min="1054" max="1054" width="9.28515625" style="33" customWidth="1"/>
    <col min="1055" max="1055" width="10.42578125" style="33" customWidth="1"/>
    <col min="1056" max="1056" width="5.28515625" style="33" bestFit="1" customWidth="1"/>
    <col min="1057" max="1057" width="9.7109375" style="33" bestFit="1" customWidth="1"/>
    <col min="1058" max="1058" width="11" style="33" bestFit="1" customWidth="1"/>
    <col min="1059" max="1059" width="10.85546875" style="33" bestFit="1" customWidth="1"/>
    <col min="1060" max="1060" width="9.140625" style="33"/>
    <col min="1061" max="1061" width="3.85546875" style="33" bestFit="1" customWidth="1"/>
    <col min="1062" max="1062" width="7.28515625" style="33" bestFit="1" customWidth="1"/>
    <col min="1063" max="1065" width="9.140625" style="33"/>
    <col min="1066" max="1066" width="9.28515625" style="33" customWidth="1"/>
    <col min="1067" max="1067" width="9.28515625" style="33" bestFit="1" customWidth="1"/>
    <col min="1068" max="1280" width="9.140625" style="33"/>
    <col min="1281" max="1281" width="7.85546875" style="33" customWidth="1"/>
    <col min="1282" max="1282" width="12.140625" style="33" customWidth="1"/>
    <col min="1283" max="1283" width="6.28515625" style="33" customWidth="1"/>
    <col min="1284" max="1284" width="11.5703125" style="33" customWidth="1"/>
    <col min="1285" max="1285" width="7.85546875" style="33" customWidth="1"/>
    <col min="1286" max="1286" width="12.28515625" style="33" customWidth="1"/>
    <col min="1287" max="1287" width="5.28515625" style="33" customWidth="1"/>
    <col min="1288" max="1288" width="12.140625" style="33" bestFit="1" customWidth="1"/>
    <col min="1289" max="1289" width="5.7109375" style="33" customWidth="1"/>
    <col min="1290" max="1290" width="11.85546875" style="33" bestFit="1" customWidth="1"/>
    <col min="1291" max="1291" width="8" style="33" customWidth="1"/>
    <col min="1292" max="1292" width="12.5703125" style="33" customWidth="1"/>
    <col min="1293" max="1293" width="9" style="33" customWidth="1"/>
    <col min="1294" max="1294" width="11.7109375" style="33" bestFit="1" customWidth="1"/>
    <col min="1295" max="1295" width="9.42578125" style="33" customWidth="1"/>
    <col min="1296" max="1296" width="4.140625" style="33" customWidth="1"/>
    <col min="1297" max="1297" width="3.28515625" style="33" bestFit="1" customWidth="1"/>
    <col min="1298" max="1298" width="8.85546875" style="33" customWidth="1"/>
    <col min="1299" max="1299" width="10" style="33" bestFit="1" customWidth="1"/>
    <col min="1300" max="1301" width="9.42578125" style="33" customWidth="1"/>
    <col min="1302" max="1302" width="9.5703125" style="33" customWidth="1"/>
    <col min="1303" max="1303" width="9.85546875" style="33" customWidth="1"/>
    <col min="1304" max="1305" width="9.42578125" style="33" customWidth="1"/>
    <col min="1306" max="1306" width="9.85546875" style="33" customWidth="1"/>
    <col min="1307" max="1308" width="9.28515625" style="33" customWidth="1"/>
    <col min="1309" max="1309" width="9.85546875" style="33" customWidth="1"/>
    <col min="1310" max="1310" width="9.28515625" style="33" customWidth="1"/>
    <col min="1311" max="1311" width="10.42578125" style="33" customWidth="1"/>
    <col min="1312" max="1312" width="5.28515625" style="33" bestFit="1" customWidth="1"/>
    <col min="1313" max="1313" width="9.7109375" style="33" bestFit="1" customWidth="1"/>
    <col min="1314" max="1314" width="11" style="33" bestFit="1" customWidth="1"/>
    <col min="1315" max="1315" width="10.85546875" style="33" bestFit="1" customWidth="1"/>
    <col min="1316" max="1316" width="9.140625" style="33"/>
    <col min="1317" max="1317" width="3.85546875" style="33" bestFit="1" customWidth="1"/>
    <col min="1318" max="1318" width="7.28515625" style="33" bestFit="1" customWidth="1"/>
    <col min="1319" max="1321" width="9.140625" style="33"/>
    <col min="1322" max="1322" width="9.28515625" style="33" customWidth="1"/>
    <col min="1323" max="1323" width="9.28515625" style="33" bestFit="1" customWidth="1"/>
    <col min="1324" max="1536" width="9.140625" style="33"/>
    <col min="1537" max="1537" width="7.85546875" style="33" customWidth="1"/>
    <col min="1538" max="1538" width="12.140625" style="33" customWidth="1"/>
    <col min="1539" max="1539" width="6.28515625" style="33" customWidth="1"/>
    <col min="1540" max="1540" width="11.5703125" style="33" customWidth="1"/>
    <col min="1541" max="1541" width="7.85546875" style="33" customWidth="1"/>
    <col min="1542" max="1542" width="12.28515625" style="33" customWidth="1"/>
    <col min="1543" max="1543" width="5.28515625" style="33" customWidth="1"/>
    <col min="1544" max="1544" width="12.140625" style="33" bestFit="1" customWidth="1"/>
    <col min="1545" max="1545" width="5.7109375" style="33" customWidth="1"/>
    <col min="1546" max="1546" width="11.85546875" style="33" bestFit="1" customWidth="1"/>
    <col min="1547" max="1547" width="8" style="33" customWidth="1"/>
    <col min="1548" max="1548" width="12.5703125" style="33" customWidth="1"/>
    <col min="1549" max="1549" width="9" style="33" customWidth="1"/>
    <col min="1550" max="1550" width="11.7109375" style="33" bestFit="1" customWidth="1"/>
    <col min="1551" max="1551" width="9.42578125" style="33" customWidth="1"/>
    <col min="1552" max="1552" width="4.140625" style="33" customWidth="1"/>
    <col min="1553" max="1553" width="3.28515625" style="33" bestFit="1" customWidth="1"/>
    <col min="1554" max="1554" width="8.85546875" style="33" customWidth="1"/>
    <col min="1555" max="1555" width="10" style="33" bestFit="1" customWidth="1"/>
    <col min="1556" max="1557" width="9.42578125" style="33" customWidth="1"/>
    <col min="1558" max="1558" width="9.5703125" style="33" customWidth="1"/>
    <col min="1559" max="1559" width="9.85546875" style="33" customWidth="1"/>
    <col min="1560" max="1561" width="9.42578125" style="33" customWidth="1"/>
    <col min="1562" max="1562" width="9.85546875" style="33" customWidth="1"/>
    <col min="1563" max="1564" width="9.28515625" style="33" customWidth="1"/>
    <col min="1565" max="1565" width="9.85546875" style="33" customWidth="1"/>
    <col min="1566" max="1566" width="9.28515625" style="33" customWidth="1"/>
    <col min="1567" max="1567" width="10.42578125" style="33" customWidth="1"/>
    <col min="1568" max="1568" width="5.28515625" style="33" bestFit="1" customWidth="1"/>
    <col min="1569" max="1569" width="9.7109375" style="33" bestFit="1" customWidth="1"/>
    <col min="1570" max="1570" width="11" style="33" bestFit="1" customWidth="1"/>
    <col min="1571" max="1571" width="10.85546875" style="33" bestFit="1" customWidth="1"/>
    <col min="1572" max="1572" width="9.140625" style="33"/>
    <col min="1573" max="1573" width="3.85546875" style="33" bestFit="1" customWidth="1"/>
    <col min="1574" max="1574" width="7.28515625" style="33" bestFit="1" customWidth="1"/>
    <col min="1575" max="1577" width="9.140625" style="33"/>
    <col min="1578" max="1578" width="9.28515625" style="33" customWidth="1"/>
    <col min="1579" max="1579" width="9.28515625" style="33" bestFit="1" customWidth="1"/>
    <col min="1580" max="1792" width="9.140625" style="33"/>
    <col min="1793" max="1793" width="7.85546875" style="33" customWidth="1"/>
    <col min="1794" max="1794" width="12.140625" style="33" customWidth="1"/>
    <col min="1795" max="1795" width="6.28515625" style="33" customWidth="1"/>
    <col min="1796" max="1796" width="11.5703125" style="33" customWidth="1"/>
    <col min="1797" max="1797" width="7.85546875" style="33" customWidth="1"/>
    <col min="1798" max="1798" width="12.28515625" style="33" customWidth="1"/>
    <col min="1799" max="1799" width="5.28515625" style="33" customWidth="1"/>
    <col min="1800" max="1800" width="12.140625" style="33" bestFit="1" customWidth="1"/>
    <col min="1801" max="1801" width="5.7109375" style="33" customWidth="1"/>
    <col min="1802" max="1802" width="11.85546875" style="33" bestFit="1" customWidth="1"/>
    <col min="1803" max="1803" width="8" style="33" customWidth="1"/>
    <col min="1804" max="1804" width="12.5703125" style="33" customWidth="1"/>
    <col min="1805" max="1805" width="9" style="33" customWidth="1"/>
    <col min="1806" max="1806" width="11.7109375" style="33" bestFit="1" customWidth="1"/>
    <col min="1807" max="1807" width="9.42578125" style="33" customWidth="1"/>
    <col min="1808" max="1808" width="4.140625" style="33" customWidth="1"/>
    <col min="1809" max="1809" width="3.28515625" style="33" bestFit="1" customWidth="1"/>
    <col min="1810" max="1810" width="8.85546875" style="33" customWidth="1"/>
    <col min="1811" max="1811" width="10" style="33" bestFit="1" customWidth="1"/>
    <col min="1812" max="1813" width="9.42578125" style="33" customWidth="1"/>
    <col min="1814" max="1814" width="9.5703125" style="33" customWidth="1"/>
    <col min="1815" max="1815" width="9.85546875" style="33" customWidth="1"/>
    <col min="1816" max="1817" width="9.42578125" style="33" customWidth="1"/>
    <col min="1818" max="1818" width="9.85546875" style="33" customWidth="1"/>
    <col min="1819" max="1820" width="9.28515625" style="33" customWidth="1"/>
    <col min="1821" max="1821" width="9.85546875" style="33" customWidth="1"/>
    <col min="1822" max="1822" width="9.28515625" style="33" customWidth="1"/>
    <col min="1823" max="1823" width="10.42578125" style="33" customWidth="1"/>
    <col min="1824" max="1824" width="5.28515625" style="33" bestFit="1" customWidth="1"/>
    <col min="1825" max="1825" width="9.7109375" style="33" bestFit="1" customWidth="1"/>
    <col min="1826" max="1826" width="11" style="33" bestFit="1" customWidth="1"/>
    <col min="1827" max="1827" width="10.85546875" style="33" bestFit="1" customWidth="1"/>
    <col min="1828" max="1828" width="9.140625" style="33"/>
    <col min="1829" max="1829" width="3.85546875" style="33" bestFit="1" customWidth="1"/>
    <col min="1830" max="1830" width="7.28515625" style="33" bestFit="1" customWidth="1"/>
    <col min="1831" max="1833" width="9.140625" style="33"/>
    <col min="1834" max="1834" width="9.28515625" style="33" customWidth="1"/>
    <col min="1835" max="1835" width="9.28515625" style="33" bestFit="1" customWidth="1"/>
    <col min="1836" max="2048" width="9.140625" style="33"/>
    <col min="2049" max="2049" width="7.85546875" style="33" customWidth="1"/>
    <col min="2050" max="2050" width="12.140625" style="33" customWidth="1"/>
    <col min="2051" max="2051" width="6.28515625" style="33" customWidth="1"/>
    <col min="2052" max="2052" width="11.5703125" style="33" customWidth="1"/>
    <col min="2053" max="2053" width="7.85546875" style="33" customWidth="1"/>
    <col min="2054" max="2054" width="12.28515625" style="33" customWidth="1"/>
    <col min="2055" max="2055" width="5.28515625" style="33" customWidth="1"/>
    <col min="2056" max="2056" width="12.140625" style="33" bestFit="1" customWidth="1"/>
    <col min="2057" max="2057" width="5.7109375" style="33" customWidth="1"/>
    <col min="2058" max="2058" width="11.85546875" style="33" bestFit="1" customWidth="1"/>
    <col min="2059" max="2059" width="8" style="33" customWidth="1"/>
    <col min="2060" max="2060" width="12.5703125" style="33" customWidth="1"/>
    <col min="2061" max="2061" width="9" style="33" customWidth="1"/>
    <col min="2062" max="2062" width="11.7109375" style="33" bestFit="1" customWidth="1"/>
    <col min="2063" max="2063" width="9.42578125" style="33" customWidth="1"/>
    <col min="2064" max="2064" width="4.140625" style="33" customWidth="1"/>
    <col min="2065" max="2065" width="3.28515625" style="33" bestFit="1" customWidth="1"/>
    <col min="2066" max="2066" width="8.85546875" style="33" customWidth="1"/>
    <col min="2067" max="2067" width="10" style="33" bestFit="1" customWidth="1"/>
    <col min="2068" max="2069" width="9.42578125" style="33" customWidth="1"/>
    <col min="2070" max="2070" width="9.5703125" style="33" customWidth="1"/>
    <col min="2071" max="2071" width="9.85546875" style="33" customWidth="1"/>
    <col min="2072" max="2073" width="9.42578125" style="33" customWidth="1"/>
    <col min="2074" max="2074" width="9.85546875" style="33" customWidth="1"/>
    <col min="2075" max="2076" width="9.28515625" style="33" customWidth="1"/>
    <col min="2077" max="2077" width="9.85546875" style="33" customWidth="1"/>
    <col min="2078" max="2078" width="9.28515625" style="33" customWidth="1"/>
    <col min="2079" max="2079" width="10.42578125" style="33" customWidth="1"/>
    <col min="2080" max="2080" width="5.28515625" style="33" bestFit="1" customWidth="1"/>
    <col min="2081" max="2081" width="9.7109375" style="33" bestFit="1" customWidth="1"/>
    <col min="2082" max="2082" width="11" style="33" bestFit="1" customWidth="1"/>
    <col min="2083" max="2083" width="10.85546875" style="33" bestFit="1" customWidth="1"/>
    <col min="2084" max="2084" width="9.140625" style="33"/>
    <col min="2085" max="2085" width="3.85546875" style="33" bestFit="1" customWidth="1"/>
    <col min="2086" max="2086" width="7.28515625" style="33" bestFit="1" customWidth="1"/>
    <col min="2087" max="2089" width="9.140625" style="33"/>
    <col min="2090" max="2090" width="9.28515625" style="33" customWidth="1"/>
    <col min="2091" max="2091" width="9.28515625" style="33" bestFit="1" customWidth="1"/>
    <col min="2092" max="2304" width="9.140625" style="33"/>
    <col min="2305" max="2305" width="7.85546875" style="33" customWidth="1"/>
    <col min="2306" max="2306" width="12.140625" style="33" customWidth="1"/>
    <col min="2307" max="2307" width="6.28515625" style="33" customWidth="1"/>
    <col min="2308" max="2308" width="11.5703125" style="33" customWidth="1"/>
    <col min="2309" max="2309" width="7.85546875" style="33" customWidth="1"/>
    <col min="2310" max="2310" width="12.28515625" style="33" customWidth="1"/>
    <col min="2311" max="2311" width="5.28515625" style="33" customWidth="1"/>
    <col min="2312" max="2312" width="12.140625" style="33" bestFit="1" customWidth="1"/>
    <col min="2313" max="2313" width="5.7109375" style="33" customWidth="1"/>
    <col min="2314" max="2314" width="11.85546875" style="33" bestFit="1" customWidth="1"/>
    <col min="2315" max="2315" width="8" style="33" customWidth="1"/>
    <col min="2316" max="2316" width="12.5703125" style="33" customWidth="1"/>
    <col min="2317" max="2317" width="9" style="33" customWidth="1"/>
    <col min="2318" max="2318" width="11.7109375" style="33" bestFit="1" customWidth="1"/>
    <col min="2319" max="2319" width="9.42578125" style="33" customWidth="1"/>
    <col min="2320" max="2320" width="4.140625" style="33" customWidth="1"/>
    <col min="2321" max="2321" width="3.28515625" style="33" bestFit="1" customWidth="1"/>
    <col min="2322" max="2322" width="8.85546875" style="33" customWidth="1"/>
    <col min="2323" max="2323" width="10" style="33" bestFit="1" customWidth="1"/>
    <col min="2324" max="2325" width="9.42578125" style="33" customWidth="1"/>
    <col min="2326" max="2326" width="9.5703125" style="33" customWidth="1"/>
    <col min="2327" max="2327" width="9.85546875" style="33" customWidth="1"/>
    <col min="2328" max="2329" width="9.42578125" style="33" customWidth="1"/>
    <col min="2330" max="2330" width="9.85546875" style="33" customWidth="1"/>
    <col min="2331" max="2332" width="9.28515625" style="33" customWidth="1"/>
    <col min="2333" max="2333" width="9.85546875" style="33" customWidth="1"/>
    <col min="2334" max="2334" width="9.28515625" style="33" customWidth="1"/>
    <col min="2335" max="2335" width="10.42578125" style="33" customWidth="1"/>
    <col min="2336" max="2336" width="5.28515625" style="33" bestFit="1" customWidth="1"/>
    <col min="2337" max="2337" width="9.7109375" style="33" bestFit="1" customWidth="1"/>
    <col min="2338" max="2338" width="11" style="33" bestFit="1" customWidth="1"/>
    <col min="2339" max="2339" width="10.85546875" style="33" bestFit="1" customWidth="1"/>
    <col min="2340" max="2340" width="9.140625" style="33"/>
    <col min="2341" max="2341" width="3.85546875" style="33" bestFit="1" customWidth="1"/>
    <col min="2342" max="2342" width="7.28515625" style="33" bestFit="1" customWidth="1"/>
    <col min="2343" max="2345" width="9.140625" style="33"/>
    <col min="2346" max="2346" width="9.28515625" style="33" customWidth="1"/>
    <col min="2347" max="2347" width="9.28515625" style="33" bestFit="1" customWidth="1"/>
    <col min="2348" max="2560" width="9.140625" style="33"/>
    <col min="2561" max="2561" width="7.85546875" style="33" customWidth="1"/>
    <col min="2562" max="2562" width="12.140625" style="33" customWidth="1"/>
    <col min="2563" max="2563" width="6.28515625" style="33" customWidth="1"/>
    <col min="2564" max="2564" width="11.5703125" style="33" customWidth="1"/>
    <col min="2565" max="2565" width="7.85546875" style="33" customWidth="1"/>
    <col min="2566" max="2566" width="12.28515625" style="33" customWidth="1"/>
    <col min="2567" max="2567" width="5.28515625" style="33" customWidth="1"/>
    <col min="2568" max="2568" width="12.140625" style="33" bestFit="1" customWidth="1"/>
    <col min="2569" max="2569" width="5.7109375" style="33" customWidth="1"/>
    <col min="2570" max="2570" width="11.85546875" style="33" bestFit="1" customWidth="1"/>
    <col min="2571" max="2571" width="8" style="33" customWidth="1"/>
    <col min="2572" max="2572" width="12.5703125" style="33" customWidth="1"/>
    <col min="2573" max="2573" width="9" style="33" customWidth="1"/>
    <col min="2574" max="2574" width="11.7109375" style="33" bestFit="1" customWidth="1"/>
    <col min="2575" max="2575" width="9.42578125" style="33" customWidth="1"/>
    <col min="2576" max="2576" width="4.140625" style="33" customWidth="1"/>
    <col min="2577" max="2577" width="3.28515625" style="33" bestFit="1" customWidth="1"/>
    <col min="2578" max="2578" width="8.85546875" style="33" customWidth="1"/>
    <col min="2579" max="2579" width="10" style="33" bestFit="1" customWidth="1"/>
    <col min="2580" max="2581" width="9.42578125" style="33" customWidth="1"/>
    <col min="2582" max="2582" width="9.5703125" style="33" customWidth="1"/>
    <col min="2583" max="2583" width="9.85546875" style="33" customWidth="1"/>
    <col min="2584" max="2585" width="9.42578125" style="33" customWidth="1"/>
    <col min="2586" max="2586" width="9.85546875" style="33" customWidth="1"/>
    <col min="2587" max="2588" width="9.28515625" style="33" customWidth="1"/>
    <col min="2589" max="2589" width="9.85546875" style="33" customWidth="1"/>
    <col min="2590" max="2590" width="9.28515625" style="33" customWidth="1"/>
    <col min="2591" max="2591" width="10.42578125" style="33" customWidth="1"/>
    <col min="2592" max="2592" width="5.28515625" style="33" bestFit="1" customWidth="1"/>
    <col min="2593" max="2593" width="9.7109375" style="33" bestFit="1" customWidth="1"/>
    <col min="2594" max="2594" width="11" style="33" bestFit="1" customWidth="1"/>
    <col min="2595" max="2595" width="10.85546875" style="33" bestFit="1" customWidth="1"/>
    <col min="2596" max="2596" width="9.140625" style="33"/>
    <col min="2597" max="2597" width="3.85546875" style="33" bestFit="1" customWidth="1"/>
    <col min="2598" max="2598" width="7.28515625" style="33" bestFit="1" customWidth="1"/>
    <col min="2599" max="2601" width="9.140625" style="33"/>
    <col min="2602" max="2602" width="9.28515625" style="33" customWidth="1"/>
    <col min="2603" max="2603" width="9.28515625" style="33" bestFit="1" customWidth="1"/>
    <col min="2604" max="2816" width="9.140625" style="33"/>
    <col min="2817" max="2817" width="7.85546875" style="33" customWidth="1"/>
    <col min="2818" max="2818" width="12.140625" style="33" customWidth="1"/>
    <col min="2819" max="2819" width="6.28515625" style="33" customWidth="1"/>
    <col min="2820" max="2820" width="11.5703125" style="33" customWidth="1"/>
    <col min="2821" max="2821" width="7.85546875" style="33" customWidth="1"/>
    <col min="2822" max="2822" width="12.28515625" style="33" customWidth="1"/>
    <col min="2823" max="2823" width="5.28515625" style="33" customWidth="1"/>
    <col min="2824" max="2824" width="12.140625" style="33" bestFit="1" customWidth="1"/>
    <col min="2825" max="2825" width="5.7109375" style="33" customWidth="1"/>
    <col min="2826" max="2826" width="11.85546875" style="33" bestFit="1" customWidth="1"/>
    <col min="2827" max="2827" width="8" style="33" customWidth="1"/>
    <col min="2828" max="2828" width="12.5703125" style="33" customWidth="1"/>
    <col min="2829" max="2829" width="9" style="33" customWidth="1"/>
    <col min="2830" max="2830" width="11.7109375" style="33" bestFit="1" customWidth="1"/>
    <col min="2831" max="2831" width="9.42578125" style="33" customWidth="1"/>
    <col min="2832" max="2832" width="4.140625" style="33" customWidth="1"/>
    <col min="2833" max="2833" width="3.28515625" style="33" bestFit="1" customWidth="1"/>
    <col min="2834" max="2834" width="8.85546875" style="33" customWidth="1"/>
    <col min="2835" max="2835" width="10" style="33" bestFit="1" customWidth="1"/>
    <col min="2836" max="2837" width="9.42578125" style="33" customWidth="1"/>
    <col min="2838" max="2838" width="9.5703125" style="33" customWidth="1"/>
    <col min="2839" max="2839" width="9.85546875" style="33" customWidth="1"/>
    <col min="2840" max="2841" width="9.42578125" style="33" customWidth="1"/>
    <col min="2842" max="2842" width="9.85546875" style="33" customWidth="1"/>
    <col min="2843" max="2844" width="9.28515625" style="33" customWidth="1"/>
    <col min="2845" max="2845" width="9.85546875" style="33" customWidth="1"/>
    <col min="2846" max="2846" width="9.28515625" style="33" customWidth="1"/>
    <col min="2847" max="2847" width="10.42578125" style="33" customWidth="1"/>
    <col min="2848" max="2848" width="5.28515625" style="33" bestFit="1" customWidth="1"/>
    <col min="2849" max="2849" width="9.7109375" style="33" bestFit="1" customWidth="1"/>
    <col min="2850" max="2850" width="11" style="33" bestFit="1" customWidth="1"/>
    <col min="2851" max="2851" width="10.85546875" style="33" bestFit="1" customWidth="1"/>
    <col min="2852" max="2852" width="9.140625" style="33"/>
    <col min="2853" max="2853" width="3.85546875" style="33" bestFit="1" customWidth="1"/>
    <col min="2854" max="2854" width="7.28515625" style="33" bestFit="1" customWidth="1"/>
    <col min="2855" max="2857" width="9.140625" style="33"/>
    <col min="2858" max="2858" width="9.28515625" style="33" customWidth="1"/>
    <col min="2859" max="2859" width="9.28515625" style="33" bestFit="1" customWidth="1"/>
    <col min="2860" max="3072" width="9.140625" style="33"/>
    <col min="3073" max="3073" width="7.85546875" style="33" customWidth="1"/>
    <col min="3074" max="3074" width="12.140625" style="33" customWidth="1"/>
    <col min="3075" max="3075" width="6.28515625" style="33" customWidth="1"/>
    <col min="3076" max="3076" width="11.5703125" style="33" customWidth="1"/>
    <col min="3077" max="3077" width="7.85546875" style="33" customWidth="1"/>
    <col min="3078" max="3078" width="12.28515625" style="33" customWidth="1"/>
    <col min="3079" max="3079" width="5.28515625" style="33" customWidth="1"/>
    <col min="3080" max="3080" width="12.140625" style="33" bestFit="1" customWidth="1"/>
    <col min="3081" max="3081" width="5.7109375" style="33" customWidth="1"/>
    <col min="3082" max="3082" width="11.85546875" style="33" bestFit="1" customWidth="1"/>
    <col min="3083" max="3083" width="8" style="33" customWidth="1"/>
    <col min="3084" max="3084" width="12.5703125" style="33" customWidth="1"/>
    <col min="3085" max="3085" width="9" style="33" customWidth="1"/>
    <col min="3086" max="3086" width="11.7109375" style="33" bestFit="1" customWidth="1"/>
    <col min="3087" max="3087" width="9.42578125" style="33" customWidth="1"/>
    <col min="3088" max="3088" width="4.140625" style="33" customWidth="1"/>
    <col min="3089" max="3089" width="3.28515625" style="33" bestFit="1" customWidth="1"/>
    <col min="3090" max="3090" width="8.85546875" style="33" customWidth="1"/>
    <col min="3091" max="3091" width="10" style="33" bestFit="1" customWidth="1"/>
    <col min="3092" max="3093" width="9.42578125" style="33" customWidth="1"/>
    <col min="3094" max="3094" width="9.5703125" style="33" customWidth="1"/>
    <col min="3095" max="3095" width="9.85546875" style="33" customWidth="1"/>
    <col min="3096" max="3097" width="9.42578125" style="33" customWidth="1"/>
    <col min="3098" max="3098" width="9.85546875" style="33" customWidth="1"/>
    <col min="3099" max="3100" width="9.28515625" style="33" customWidth="1"/>
    <col min="3101" max="3101" width="9.85546875" style="33" customWidth="1"/>
    <col min="3102" max="3102" width="9.28515625" style="33" customWidth="1"/>
    <col min="3103" max="3103" width="10.42578125" style="33" customWidth="1"/>
    <col min="3104" max="3104" width="5.28515625" style="33" bestFit="1" customWidth="1"/>
    <col min="3105" max="3105" width="9.7109375" style="33" bestFit="1" customWidth="1"/>
    <col min="3106" max="3106" width="11" style="33" bestFit="1" customWidth="1"/>
    <col min="3107" max="3107" width="10.85546875" style="33" bestFit="1" customWidth="1"/>
    <col min="3108" max="3108" width="9.140625" style="33"/>
    <col min="3109" max="3109" width="3.85546875" style="33" bestFit="1" customWidth="1"/>
    <col min="3110" max="3110" width="7.28515625" style="33" bestFit="1" customWidth="1"/>
    <col min="3111" max="3113" width="9.140625" style="33"/>
    <col min="3114" max="3114" width="9.28515625" style="33" customWidth="1"/>
    <col min="3115" max="3115" width="9.28515625" style="33" bestFit="1" customWidth="1"/>
    <col min="3116" max="3328" width="9.140625" style="33"/>
    <col min="3329" max="3329" width="7.85546875" style="33" customWidth="1"/>
    <col min="3330" max="3330" width="12.140625" style="33" customWidth="1"/>
    <col min="3331" max="3331" width="6.28515625" style="33" customWidth="1"/>
    <col min="3332" max="3332" width="11.5703125" style="33" customWidth="1"/>
    <col min="3333" max="3333" width="7.85546875" style="33" customWidth="1"/>
    <col min="3334" max="3334" width="12.28515625" style="33" customWidth="1"/>
    <col min="3335" max="3335" width="5.28515625" style="33" customWidth="1"/>
    <col min="3336" max="3336" width="12.140625" style="33" bestFit="1" customWidth="1"/>
    <col min="3337" max="3337" width="5.7109375" style="33" customWidth="1"/>
    <col min="3338" max="3338" width="11.85546875" style="33" bestFit="1" customWidth="1"/>
    <col min="3339" max="3339" width="8" style="33" customWidth="1"/>
    <col min="3340" max="3340" width="12.5703125" style="33" customWidth="1"/>
    <col min="3341" max="3341" width="9" style="33" customWidth="1"/>
    <col min="3342" max="3342" width="11.7109375" style="33" bestFit="1" customWidth="1"/>
    <col min="3343" max="3343" width="9.42578125" style="33" customWidth="1"/>
    <col min="3344" max="3344" width="4.140625" style="33" customWidth="1"/>
    <col min="3345" max="3345" width="3.28515625" style="33" bestFit="1" customWidth="1"/>
    <col min="3346" max="3346" width="8.85546875" style="33" customWidth="1"/>
    <col min="3347" max="3347" width="10" style="33" bestFit="1" customWidth="1"/>
    <col min="3348" max="3349" width="9.42578125" style="33" customWidth="1"/>
    <col min="3350" max="3350" width="9.5703125" style="33" customWidth="1"/>
    <col min="3351" max="3351" width="9.85546875" style="33" customWidth="1"/>
    <col min="3352" max="3353" width="9.42578125" style="33" customWidth="1"/>
    <col min="3354" max="3354" width="9.85546875" style="33" customWidth="1"/>
    <col min="3355" max="3356" width="9.28515625" style="33" customWidth="1"/>
    <col min="3357" max="3357" width="9.85546875" style="33" customWidth="1"/>
    <col min="3358" max="3358" width="9.28515625" style="33" customWidth="1"/>
    <col min="3359" max="3359" width="10.42578125" style="33" customWidth="1"/>
    <col min="3360" max="3360" width="5.28515625" style="33" bestFit="1" customWidth="1"/>
    <col min="3361" max="3361" width="9.7109375" style="33" bestFit="1" customWidth="1"/>
    <col min="3362" max="3362" width="11" style="33" bestFit="1" customWidth="1"/>
    <col min="3363" max="3363" width="10.85546875" style="33" bestFit="1" customWidth="1"/>
    <col min="3364" max="3364" width="9.140625" style="33"/>
    <col min="3365" max="3365" width="3.85546875" style="33" bestFit="1" customWidth="1"/>
    <col min="3366" max="3366" width="7.28515625" style="33" bestFit="1" customWidth="1"/>
    <col min="3367" max="3369" width="9.140625" style="33"/>
    <col min="3370" max="3370" width="9.28515625" style="33" customWidth="1"/>
    <col min="3371" max="3371" width="9.28515625" style="33" bestFit="1" customWidth="1"/>
    <col min="3372" max="3584" width="9.140625" style="33"/>
    <col min="3585" max="3585" width="7.85546875" style="33" customWidth="1"/>
    <col min="3586" max="3586" width="12.140625" style="33" customWidth="1"/>
    <col min="3587" max="3587" width="6.28515625" style="33" customWidth="1"/>
    <col min="3588" max="3588" width="11.5703125" style="33" customWidth="1"/>
    <col min="3589" max="3589" width="7.85546875" style="33" customWidth="1"/>
    <col min="3590" max="3590" width="12.28515625" style="33" customWidth="1"/>
    <col min="3591" max="3591" width="5.28515625" style="33" customWidth="1"/>
    <col min="3592" max="3592" width="12.140625" style="33" bestFit="1" customWidth="1"/>
    <col min="3593" max="3593" width="5.7109375" style="33" customWidth="1"/>
    <col min="3594" max="3594" width="11.85546875" style="33" bestFit="1" customWidth="1"/>
    <col min="3595" max="3595" width="8" style="33" customWidth="1"/>
    <col min="3596" max="3596" width="12.5703125" style="33" customWidth="1"/>
    <col min="3597" max="3597" width="9" style="33" customWidth="1"/>
    <col min="3598" max="3598" width="11.7109375" style="33" bestFit="1" customWidth="1"/>
    <col min="3599" max="3599" width="9.42578125" style="33" customWidth="1"/>
    <col min="3600" max="3600" width="4.140625" style="33" customWidth="1"/>
    <col min="3601" max="3601" width="3.28515625" style="33" bestFit="1" customWidth="1"/>
    <col min="3602" max="3602" width="8.85546875" style="33" customWidth="1"/>
    <col min="3603" max="3603" width="10" style="33" bestFit="1" customWidth="1"/>
    <col min="3604" max="3605" width="9.42578125" style="33" customWidth="1"/>
    <col min="3606" max="3606" width="9.5703125" style="33" customWidth="1"/>
    <col min="3607" max="3607" width="9.85546875" style="33" customWidth="1"/>
    <col min="3608" max="3609" width="9.42578125" style="33" customWidth="1"/>
    <col min="3610" max="3610" width="9.85546875" style="33" customWidth="1"/>
    <col min="3611" max="3612" width="9.28515625" style="33" customWidth="1"/>
    <col min="3613" max="3613" width="9.85546875" style="33" customWidth="1"/>
    <col min="3614" max="3614" width="9.28515625" style="33" customWidth="1"/>
    <col min="3615" max="3615" width="10.42578125" style="33" customWidth="1"/>
    <col min="3616" max="3616" width="5.28515625" style="33" bestFit="1" customWidth="1"/>
    <col min="3617" max="3617" width="9.7109375" style="33" bestFit="1" customWidth="1"/>
    <col min="3618" max="3618" width="11" style="33" bestFit="1" customWidth="1"/>
    <col min="3619" max="3619" width="10.85546875" style="33" bestFit="1" customWidth="1"/>
    <col min="3620" max="3620" width="9.140625" style="33"/>
    <col min="3621" max="3621" width="3.85546875" style="33" bestFit="1" customWidth="1"/>
    <col min="3622" max="3622" width="7.28515625" style="33" bestFit="1" customWidth="1"/>
    <col min="3623" max="3625" width="9.140625" style="33"/>
    <col min="3626" max="3626" width="9.28515625" style="33" customWidth="1"/>
    <col min="3627" max="3627" width="9.28515625" style="33" bestFit="1" customWidth="1"/>
    <col min="3628" max="3840" width="9.140625" style="33"/>
    <col min="3841" max="3841" width="7.85546875" style="33" customWidth="1"/>
    <col min="3842" max="3842" width="12.140625" style="33" customWidth="1"/>
    <col min="3843" max="3843" width="6.28515625" style="33" customWidth="1"/>
    <col min="3844" max="3844" width="11.5703125" style="33" customWidth="1"/>
    <col min="3845" max="3845" width="7.85546875" style="33" customWidth="1"/>
    <col min="3846" max="3846" width="12.28515625" style="33" customWidth="1"/>
    <col min="3847" max="3847" width="5.28515625" style="33" customWidth="1"/>
    <col min="3848" max="3848" width="12.140625" style="33" bestFit="1" customWidth="1"/>
    <col min="3849" max="3849" width="5.7109375" style="33" customWidth="1"/>
    <col min="3850" max="3850" width="11.85546875" style="33" bestFit="1" customWidth="1"/>
    <col min="3851" max="3851" width="8" style="33" customWidth="1"/>
    <col min="3852" max="3852" width="12.5703125" style="33" customWidth="1"/>
    <col min="3853" max="3853" width="9" style="33" customWidth="1"/>
    <col min="3854" max="3854" width="11.7109375" style="33" bestFit="1" customWidth="1"/>
    <col min="3855" max="3855" width="9.42578125" style="33" customWidth="1"/>
    <col min="3856" max="3856" width="4.140625" style="33" customWidth="1"/>
    <col min="3857" max="3857" width="3.28515625" style="33" bestFit="1" customWidth="1"/>
    <col min="3858" max="3858" width="8.85546875" style="33" customWidth="1"/>
    <col min="3859" max="3859" width="10" style="33" bestFit="1" customWidth="1"/>
    <col min="3860" max="3861" width="9.42578125" style="33" customWidth="1"/>
    <col min="3862" max="3862" width="9.5703125" style="33" customWidth="1"/>
    <col min="3863" max="3863" width="9.85546875" style="33" customWidth="1"/>
    <col min="3864" max="3865" width="9.42578125" style="33" customWidth="1"/>
    <col min="3866" max="3866" width="9.85546875" style="33" customWidth="1"/>
    <col min="3867" max="3868" width="9.28515625" style="33" customWidth="1"/>
    <col min="3869" max="3869" width="9.85546875" style="33" customWidth="1"/>
    <col min="3870" max="3870" width="9.28515625" style="33" customWidth="1"/>
    <col min="3871" max="3871" width="10.42578125" style="33" customWidth="1"/>
    <col min="3872" max="3872" width="5.28515625" style="33" bestFit="1" customWidth="1"/>
    <col min="3873" max="3873" width="9.7109375" style="33" bestFit="1" customWidth="1"/>
    <col min="3874" max="3874" width="11" style="33" bestFit="1" customWidth="1"/>
    <col min="3875" max="3875" width="10.85546875" style="33" bestFit="1" customWidth="1"/>
    <col min="3876" max="3876" width="9.140625" style="33"/>
    <col min="3877" max="3877" width="3.85546875" style="33" bestFit="1" customWidth="1"/>
    <col min="3878" max="3878" width="7.28515625" style="33" bestFit="1" customWidth="1"/>
    <col min="3879" max="3881" width="9.140625" style="33"/>
    <col min="3882" max="3882" width="9.28515625" style="33" customWidth="1"/>
    <col min="3883" max="3883" width="9.28515625" style="33" bestFit="1" customWidth="1"/>
    <col min="3884" max="4096" width="9.140625" style="33"/>
    <col min="4097" max="4097" width="7.85546875" style="33" customWidth="1"/>
    <col min="4098" max="4098" width="12.140625" style="33" customWidth="1"/>
    <col min="4099" max="4099" width="6.28515625" style="33" customWidth="1"/>
    <col min="4100" max="4100" width="11.5703125" style="33" customWidth="1"/>
    <col min="4101" max="4101" width="7.85546875" style="33" customWidth="1"/>
    <col min="4102" max="4102" width="12.28515625" style="33" customWidth="1"/>
    <col min="4103" max="4103" width="5.28515625" style="33" customWidth="1"/>
    <col min="4104" max="4104" width="12.140625" style="33" bestFit="1" customWidth="1"/>
    <col min="4105" max="4105" width="5.7109375" style="33" customWidth="1"/>
    <col min="4106" max="4106" width="11.85546875" style="33" bestFit="1" customWidth="1"/>
    <col min="4107" max="4107" width="8" style="33" customWidth="1"/>
    <col min="4108" max="4108" width="12.5703125" style="33" customWidth="1"/>
    <col min="4109" max="4109" width="9" style="33" customWidth="1"/>
    <col min="4110" max="4110" width="11.7109375" style="33" bestFit="1" customWidth="1"/>
    <col min="4111" max="4111" width="9.42578125" style="33" customWidth="1"/>
    <col min="4112" max="4112" width="4.140625" style="33" customWidth="1"/>
    <col min="4113" max="4113" width="3.28515625" style="33" bestFit="1" customWidth="1"/>
    <col min="4114" max="4114" width="8.85546875" style="33" customWidth="1"/>
    <col min="4115" max="4115" width="10" style="33" bestFit="1" customWidth="1"/>
    <col min="4116" max="4117" width="9.42578125" style="33" customWidth="1"/>
    <col min="4118" max="4118" width="9.5703125" style="33" customWidth="1"/>
    <col min="4119" max="4119" width="9.85546875" style="33" customWidth="1"/>
    <col min="4120" max="4121" width="9.42578125" style="33" customWidth="1"/>
    <col min="4122" max="4122" width="9.85546875" style="33" customWidth="1"/>
    <col min="4123" max="4124" width="9.28515625" style="33" customWidth="1"/>
    <col min="4125" max="4125" width="9.85546875" style="33" customWidth="1"/>
    <col min="4126" max="4126" width="9.28515625" style="33" customWidth="1"/>
    <col min="4127" max="4127" width="10.42578125" style="33" customWidth="1"/>
    <col min="4128" max="4128" width="5.28515625" style="33" bestFit="1" customWidth="1"/>
    <col min="4129" max="4129" width="9.7109375" style="33" bestFit="1" customWidth="1"/>
    <col min="4130" max="4130" width="11" style="33" bestFit="1" customWidth="1"/>
    <col min="4131" max="4131" width="10.85546875" style="33" bestFit="1" customWidth="1"/>
    <col min="4132" max="4132" width="9.140625" style="33"/>
    <col min="4133" max="4133" width="3.85546875" style="33" bestFit="1" customWidth="1"/>
    <col min="4134" max="4134" width="7.28515625" style="33" bestFit="1" customWidth="1"/>
    <col min="4135" max="4137" width="9.140625" style="33"/>
    <col min="4138" max="4138" width="9.28515625" style="33" customWidth="1"/>
    <col min="4139" max="4139" width="9.28515625" style="33" bestFit="1" customWidth="1"/>
    <col min="4140" max="4352" width="9.140625" style="33"/>
    <col min="4353" max="4353" width="7.85546875" style="33" customWidth="1"/>
    <col min="4354" max="4354" width="12.140625" style="33" customWidth="1"/>
    <col min="4355" max="4355" width="6.28515625" style="33" customWidth="1"/>
    <col min="4356" max="4356" width="11.5703125" style="33" customWidth="1"/>
    <col min="4357" max="4357" width="7.85546875" style="33" customWidth="1"/>
    <col min="4358" max="4358" width="12.28515625" style="33" customWidth="1"/>
    <col min="4359" max="4359" width="5.28515625" style="33" customWidth="1"/>
    <col min="4360" max="4360" width="12.140625" style="33" bestFit="1" customWidth="1"/>
    <col min="4361" max="4361" width="5.7109375" style="33" customWidth="1"/>
    <col min="4362" max="4362" width="11.85546875" style="33" bestFit="1" customWidth="1"/>
    <col min="4363" max="4363" width="8" style="33" customWidth="1"/>
    <col min="4364" max="4364" width="12.5703125" style="33" customWidth="1"/>
    <col min="4365" max="4365" width="9" style="33" customWidth="1"/>
    <col min="4366" max="4366" width="11.7109375" style="33" bestFit="1" customWidth="1"/>
    <col min="4367" max="4367" width="9.42578125" style="33" customWidth="1"/>
    <col min="4368" max="4368" width="4.140625" style="33" customWidth="1"/>
    <col min="4369" max="4369" width="3.28515625" style="33" bestFit="1" customWidth="1"/>
    <col min="4370" max="4370" width="8.85546875" style="33" customWidth="1"/>
    <col min="4371" max="4371" width="10" style="33" bestFit="1" customWidth="1"/>
    <col min="4372" max="4373" width="9.42578125" style="33" customWidth="1"/>
    <col min="4374" max="4374" width="9.5703125" style="33" customWidth="1"/>
    <col min="4375" max="4375" width="9.85546875" style="33" customWidth="1"/>
    <col min="4376" max="4377" width="9.42578125" style="33" customWidth="1"/>
    <col min="4378" max="4378" width="9.85546875" style="33" customWidth="1"/>
    <col min="4379" max="4380" width="9.28515625" style="33" customWidth="1"/>
    <col min="4381" max="4381" width="9.85546875" style="33" customWidth="1"/>
    <col min="4382" max="4382" width="9.28515625" style="33" customWidth="1"/>
    <col min="4383" max="4383" width="10.42578125" style="33" customWidth="1"/>
    <col min="4384" max="4384" width="5.28515625" style="33" bestFit="1" customWidth="1"/>
    <col min="4385" max="4385" width="9.7109375" style="33" bestFit="1" customWidth="1"/>
    <col min="4386" max="4386" width="11" style="33" bestFit="1" customWidth="1"/>
    <col min="4387" max="4387" width="10.85546875" style="33" bestFit="1" customWidth="1"/>
    <col min="4388" max="4388" width="9.140625" style="33"/>
    <col min="4389" max="4389" width="3.85546875" style="33" bestFit="1" customWidth="1"/>
    <col min="4390" max="4390" width="7.28515625" style="33" bestFit="1" customWidth="1"/>
    <col min="4391" max="4393" width="9.140625" style="33"/>
    <col min="4394" max="4394" width="9.28515625" style="33" customWidth="1"/>
    <col min="4395" max="4395" width="9.28515625" style="33" bestFit="1" customWidth="1"/>
    <col min="4396" max="4608" width="9.140625" style="33"/>
    <col min="4609" max="4609" width="7.85546875" style="33" customWidth="1"/>
    <col min="4610" max="4610" width="12.140625" style="33" customWidth="1"/>
    <col min="4611" max="4611" width="6.28515625" style="33" customWidth="1"/>
    <col min="4612" max="4612" width="11.5703125" style="33" customWidth="1"/>
    <col min="4613" max="4613" width="7.85546875" style="33" customWidth="1"/>
    <col min="4614" max="4614" width="12.28515625" style="33" customWidth="1"/>
    <col min="4615" max="4615" width="5.28515625" style="33" customWidth="1"/>
    <col min="4616" max="4616" width="12.140625" style="33" bestFit="1" customWidth="1"/>
    <col min="4617" max="4617" width="5.7109375" style="33" customWidth="1"/>
    <col min="4618" max="4618" width="11.85546875" style="33" bestFit="1" customWidth="1"/>
    <col min="4619" max="4619" width="8" style="33" customWidth="1"/>
    <col min="4620" max="4620" width="12.5703125" style="33" customWidth="1"/>
    <col min="4621" max="4621" width="9" style="33" customWidth="1"/>
    <col min="4622" max="4622" width="11.7109375" style="33" bestFit="1" customWidth="1"/>
    <col min="4623" max="4623" width="9.42578125" style="33" customWidth="1"/>
    <col min="4624" max="4624" width="4.140625" style="33" customWidth="1"/>
    <col min="4625" max="4625" width="3.28515625" style="33" bestFit="1" customWidth="1"/>
    <col min="4626" max="4626" width="8.85546875" style="33" customWidth="1"/>
    <col min="4627" max="4627" width="10" style="33" bestFit="1" customWidth="1"/>
    <col min="4628" max="4629" width="9.42578125" style="33" customWidth="1"/>
    <col min="4630" max="4630" width="9.5703125" style="33" customWidth="1"/>
    <col min="4631" max="4631" width="9.85546875" style="33" customWidth="1"/>
    <col min="4632" max="4633" width="9.42578125" style="33" customWidth="1"/>
    <col min="4634" max="4634" width="9.85546875" style="33" customWidth="1"/>
    <col min="4635" max="4636" width="9.28515625" style="33" customWidth="1"/>
    <col min="4637" max="4637" width="9.85546875" style="33" customWidth="1"/>
    <col min="4638" max="4638" width="9.28515625" style="33" customWidth="1"/>
    <col min="4639" max="4639" width="10.42578125" style="33" customWidth="1"/>
    <col min="4640" max="4640" width="5.28515625" style="33" bestFit="1" customWidth="1"/>
    <col min="4641" max="4641" width="9.7109375" style="33" bestFit="1" customWidth="1"/>
    <col min="4642" max="4642" width="11" style="33" bestFit="1" customWidth="1"/>
    <col min="4643" max="4643" width="10.85546875" style="33" bestFit="1" customWidth="1"/>
    <col min="4644" max="4644" width="9.140625" style="33"/>
    <col min="4645" max="4645" width="3.85546875" style="33" bestFit="1" customWidth="1"/>
    <col min="4646" max="4646" width="7.28515625" style="33" bestFit="1" customWidth="1"/>
    <col min="4647" max="4649" width="9.140625" style="33"/>
    <col min="4650" max="4650" width="9.28515625" style="33" customWidth="1"/>
    <col min="4651" max="4651" width="9.28515625" style="33" bestFit="1" customWidth="1"/>
    <col min="4652" max="4864" width="9.140625" style="33"/>
    <col min="4865" max="4865" width="7.85546875" style="33" customWidth="1"/>
    <col min="4866" max="4866" width="12.140625" style="33" customWidth="1"/>
    <col min="4867" max="4867" width="6.28515625" style="33" customWidth="1"/>
    <col min="4868" max="4868" width="11.5703125" style="33" customWidth="1"/>
    <col min="4869" max="4869" width="7.85546875" style="33" customWidth="1"/>
    <col min="4870" max="4870" width="12.28515625" style="33" customWidth="1"/>
    <col min="4871" max="4871" width="5.28515625" style="33" customWidth="1"/>
    <col min="4872" max="4872" width="12.140625" style="33" bestFit="1" customWidth="1"/>
    <col min="4873" max="4873" width="5.7109375" style="33" customWidth="1"/>
    <col min="4874" max="4874" width="11.85546875" style="33" bestFit="1" customWidth="1"/>
    <col min="4875" max="4875" width="8" style="33" customWidth="1"/>
    <col min="4876" max="4876" width="12.5703125" style="33" customWidth="1"/>
    <col min="4877" max="4877" width="9" style="33" customWidth="1"/>
    <col min="4878" max="4878" width="11.7109375" style="33" bestFit="1" customWidth="1"/>
    <col min="4879" max="4879" width="9.42578125" style="33" customWidth="1"/>
    <col min="4880" max="4880" width="4.140625" style="33" customWidth="1"/>
    <col min="4881" max="4881" width="3.28515625" style="33" bestFit="1" customWidth="1"/>
    <col min="4882" max="4882" width="8.85546875" style="33" customWidth="1"/>
    <col min="4883" max="4883" width="10" style="33" bestFit="1" customWidth="1"/>
    <col min="4884" max="4885" width="9.42578125" style="33" customWidth="1"/>
    <col min="4886" max="4886" width="9.5703125" style="33" customWidth="1"/>
    <col min="4887" max="4887" width="9.85546875" style="33" customWidth="1"/>
    <col min="4888" max="4889" width="9.42578125" style="33" customWidth="1"/>
    <col min="4890" max="4890" width="9.85546875" style="33" customWidth="1"/>
    <col min="4891" max="4892" width="9.28515625" style="33" customWidth="1"/>
    <col min="4893" max="4893" width="9.85546875" style="33" customWidth="1"/>
    <col min="4894" max="4894" width="9.28515625" style="33" customWidth="1"/>
    <col min="4895" max="4895" width="10.42578125" style="33" customWidth="1"/>
    <col min="4896" max="4896" width="5.28515625" style="33" bestFit="1" customWidth="1"/>
    <col min="4897" max="4897" width="9.7109375" style="33" bestFit="1" customWidth="1"/>
    <col min="4898" max="4898" width="11" style="33" bestFit="1" customWidth="1"/>
    <col min="4899" max="4899" width="10.85546875" style="33" bestFit="1" customWidth="1"/>
    <col min="4900" max="4900" width="9.140625" style="33"/>
    <col min="4901" max="4901" width="3.85546875" style="33" bestFit="1" customWidth="1"/>
    <col min="4902" max="4902" width="7.28515625" style="33" bestFit="1" customWidth="1"/>
    <col min="4903" max="4905" width="9.140625" style="33"/>
    <col min="4906" max="4906" width="9.28515625" style="33" customWidth="1"/>
    <col min="4907" max="4907" width="9.28515625" style="33" bestFit="1" customWidth="1"/>
    <col min="4908" max="5120" width="9.140625" style="33"/>
    <col min="5121" max="5121" width="7.85546875" style="33" customWidth="1"/>
    <col min="5122" max="5122" width="12.140625" style="33" customWidth="1"/>
    <col min="5123" max="5123" width="6.28515625" style="33" customWidth="1"/>
    <col min="5124" max="5124" width="11.5703125" style="33" customWidth="1"/>
    <col min="5125" max="5125" width="7.85546875" style="33" customWidth="1"/>
    <col min="5126" max="5126" width="12.28515625" style="33" customWidth="1"/>
    <col min="5127" max="5127" width="5.28515625" style="33" customWidth="1"/>
    <col min="5128" max="5128" width="12.140625" style="33" bestFit="1" customWidth="1"/>
    <col min="5129" max="5129" width="5.7109375" style="33" customWidth="1"/>
    <col min="5130" max="5130" width="11.85546875" style="33" bestFit="1" customWidth="1"/>
    <col min="5131" max="5131" width="8" style="33" customWidth="1"/>
    <col min="5132" max="5132" width="12.5703125" style="33" customWidth="1"/>
    <col min="5133" max="5133" width="9" style="33" customWidth="1"/>
    <col min="5134" max="5134" width="11.7109375" style="33" bestFit="1" customWidth="1"/>
    <col min="5135" max="5135" width="9.42578125" style="33" customWidth="1"/>
    <col min="5136" max="5136" width="4.140625" style="33" customWidth="1"/>
    <col min="5137" max="5137" width="3.28515625" style="33" bestFit="1" customWidth="1"/>
    <col min="5138" max="5138" width="8.85546875" style="33" customWidth="1"/>
    <col min="5139" max="5139" width="10" style="33" bestFit="1" customWidth="1"/>
    <col min="5140" max="5141" width="9.42578125" style="33" customWidth="1"/>
    <col min="5142" max="5142" width="9.5703125" style="33" customWidth="1"/>
    <col min="5143" max="5143" width="9.85546875" style="33" customWidth="1"/>
    <col min="5144" max="5145" width="9.42578125" style="33" customWidth="1"/>
    <col min="5146" max="5146" width="9.85546875" style="33" customWidth="1"/>
    <col min="5147" max="5148" width="9.28515625" style="33" customWidth="1"/>
    <col min="5149" max="5149" width="9.85546875" style="33" customWidth="1"/>
    <col min="5150" max="5150" width="9.28515625" style="33" customWidth="1"/>
    <col min="5151" max="5151" width="10.42578125" style="33" customWidth="1"/>
    <col min="5152" max="5152" width="5.28515625" style="33" bestFit="1" customWidth="1"/>
    <col min="5153" max="5153" width="9.7109375" style="33" bestFit="1" customWidth="1"/>
    <col min="5154" max="5154" width="11" style="33" bestFit="1" customWidth="1"/>
    <col min="5155" max="5155" width="10.85546875" style="33" bestFit="1" customWidth="1"/>
    <col min="5156" max="5156" width="9.140625" style="33"/>
    <col min="5157" max="5157" width="3.85546875" style="33" bestFit="1" customWidth="1"/>
    <col min="5158" max="5158" width="7.28515625" style="33" bestFit="1" customWidth="1"/>
    <col min="5159" max="5161" width="9.140625" style="33"/>
    <col min="5162" max="5162" width="9.28515625" style="33" customWidth="1"/>
    <col min="5163" max="5163" width="9.28515625" style="33" bestFit="1" customWidth="1"/>
    <col min="5164" max="5376" width="9.140625" style="33"/>
    <col min="5377" max="5377" width="7.85546875" style="33" customWidth="1"/>
    <col min="5378" max="5378" width="12.140625" style="33" customWidth="1"/>
    <col min="5379" max="5379" width="6.28515625" style="33" customWidth="1"/>
    <col min="5380" max="5380" width="11.5703125" style="33" customWidth="1"/>
    <col min="5381" max="5381" width="7.85546875" style="33" customWidth="1"/>
    <col min="5382" max="5382" width="12.28515625" style="33" customWidth="1"/>
    <col min="5383" max="5383" width="5.28515625" style="33" customWidth="1"/>
    <col min="5384" max="5384" width="12.140625" style="33" bestFit="1" customWidth="1"/>
    <col min="5385" max="5385" width="5.7109375" style="33" customWidth="1"/>
    <col min="5386" max="5386" width="11.85546875" style="33" bestFit="1" customWidth="1"/>
    <col min="5387" max="5387" width="8" style="33" customWidth="1"/>
    <col min="5388" max="5388" width="12.5703125" style="33" customWidth="1"/>
    <col min="5389" max="5389" width="9" style="33" customWidth="1"/>
    <col min="5390" max="5390" width="11.7109375" style="33" bestFit="1" customWidth="1"/>
    <col min="5391" max="5391" width="9.42578125" style="33" customWidth="1"/>
    <col min="5392" max="5392" width="4.140625" style="33" customWidth="1"/>
    <col min="5393" max="5393" width="3.28515625" style="33" bestFit="1" customWidth="1"/>
    <col min="5394" max="5394" width="8.85546875" style="33" customWidth="1"/>
    <col min="5395" max="5395" width="10" style="33" bestFit="1" customWidth="1"/>
    <col min="5396" max="5397" width="9.42578125" style="33" customWidth="1"/>
    <col min="5398" max="5398" width="9.5703125" style="33" customWidth="1"/>
    <col min="5399" max="5399" width="9.85546875" style="33" customWidth="1"/>
    <col min="5400" max="5401" width="9.42578125" style="33" customWidth="1"/>
    <col min="5402" max="5402" width="9.85546875" style="33" customWidth="1"/>
    <col min="5403" max="5404" width="9.28515625" style="33" customWidth="1"/>
    <col min="5405" max="5405" width="9.85546875" style="33" customWidth="1"/>
    <col min="5406" max="5406" width="9.28515625" style="33" customWidth="1"/>
    <col min="5407" max="5407" width="10.42578125" style="33" customWidth="1"/>
    <col min="5408" max="5408" width="5.28515625" style="33" bestFit="1" customWidth="1"/>
    <col min="5409" max="5409" width="9.7109375" style="33" bestFit="1" customWidth="1"/>
    <col min="5410" max="5410" width="11" style="33" bestFit="1" customWidth="1"/>
    <col min="5411" max="5411" width="10.85546875" style="33" bestFit="1" customWidth="1"/>
    <col min="5412" max="5412" width="9.140625" style="33"/>
    <col min="5413" max="5413" width="3.85546875" style="33" bestFit="1" customWidth="1"/>
    <col min="5414" max="5414" width="7.28515625" style="33" bestFit="1" customWidth="1"/>
    <col min="5415" max="5417" width="9.140625" style="33"/>
    <col min="5418" max="5418" width="9.28515625" style="33" customWidth="1"/>
    <col min="5419" max="5419" width="9.28515625" style="33" bestFit="1" customWidth="1"/>
    <col min="5420" max="5632" width="9.140625" style="33"/>
    <col min="5633" max="5633" width="7.85546875" style="33" customWidth="1"/>
    <col min="5634" max="5634" width="12.140625" style="33" customWidth="1"/>
    <col min="5635" max="5635" width="6.28515625" style="33" customWidth="1"/>
    <col min="5636" max="5636" width="11.5703125" style="33" customWidth="1"/>
    <col min="5637" max="5637" width="7.85546875" style="33" customWidth="1"/>
    <col min="5638" max="5638" width="12.28515625" style="33" customWidth="1"/>
    <col min="5639" max="5639" width="5.28515625" style="33" customWidth="1"/>
    <col min="5640" max="5640" width="12.140625" style="33" bestFit="1" customWidth="1"/>
    <col min="5641" max="5641" width="5.7109375" style="33" customWidth="1"/>
    <col min="5642" max="5642" width="11.85546875" style="33" bestFit="1" customWidth="1"/>
    <col min="5643" max="5643" width="8" style="33" customWidth="1"/>
    <col min="5644" max="5644" width="12.5703125" style="33" customWidth="1"/>
    <col min="5645" max="5645" width="9" style="33" customWidth="1"/>
    <col min="5646" max="5646" width="11.7109375" style="33" bestFit="1" customWidth="1"/>
    <col min="5647" max="5647" width="9.42578125" style="33" customWidth="1"/>
    <col min="5648" max="5648" width="4.140625" style="33" customWidth="1"/>
    <col min="5649" max="5649" width="3.28515625" style="33" bestFit="1" customWidth="1"/>
    <col min="5650" max="5650" width="8.85546875" style="33" customWidth="1"/>
    <col min="5651" max="5651" width="10" style="33" bestFit="1" customWidth="1"/>
    <col min="5652" max="5653" width="9.42578125" style="33" customWidth="1"/>
    <col min="5654" max="5654" width="9.5703125" style="33" customWidth="1"/>
    <col min="5655" max="5655" width="9.85546875" style="33" customWidth="1"/>
    <col min="5656" max="5657" width="9.42578125" style="33" customWidth="1"/>
    <col min="5658" max="5658" width="9.85546875" style="33" customWidth="1"/>
    <col min="5659" max="5660" width="9.28515625" style="33" customWidth="1"/>
    <col min="5661" max="5661" width="9.85546875" style="33" customWidth="1"/>
    <col min="5662" max="5662" width="9.28515625" style="33" customWidth="1"/>
    <col min="5663" max="5663" width="10.42578125" style="33" customWidth="1"/>
    <col min="5664" max="5664" width="5.28515625" style="33" bestFit="1" customWidth="1"/>
    <col min="5665" max="5665" width="9.7109375" style="33" bestFit="1" customWidth="1"/>
    <col min="5666" max="5666" width="11" style="33" bestFit="1" customWidth="1"/>
    <col min="5667" max="5667" width="10.85546875" style="33" bestFit="1" customWidth="1"/>
    <col min="5668" max="5668" width="9.140625" style="33"/>
    <col min="5669" max="5669" width="3.85546875" style="33" bestFit="1" customWidth="1"/>
    <col min="5670" max="5670" width="7.28515625" style="33" bestFit="1" customWidth="1"/>
    <col min="5671" max="5673" width="9.140625" style="33"/>
    <col min="5674" max="5674" width="9.28515625" style="33" customWidth="1"/>
    <col min="5675" max="5675" width="9.28515625" style="33" bestFit="1" customWidth="1"/>
    <col min="5676" max="5888" width="9.140625" style="33"/>
    <col min="5889" max="5889" width="7.85546875" style="33" customWidth="1"/>
    <col min="5890" max="5890" width="12.140625" style="33" customWidth="1"/>
    <col min="5891" max="5891" width="6.28515625" style="33" customWidth="1"/>
    <col min="5892" max="5892" width="11.5703125" style="33" customWidth="1"/>
    <col min="5893" max="5893" width="7.85546875" style="33" customWidth="1"/>
    <col min="5894" max="5894" width="12.28515625" style="33" customWidth="1"/>
    <col min="5895" max="5895" width="5.28515625" style="33" customWidth="1"/>
    <col min="5896" max="5896" width="12.140625" style="33" bestFit="1" customWidth="1"/>
    <col min="5897" max="5897" width="5.7109375" style="33" customWidth="1"/>
    <col min="5898" max="5898" width="11.85546875" style="33" bestFit="1" customWidth="1"/>
    <col min="5899" max="5899" width="8" style="33" customWidth="1"/>
    <col min="5900" max="5900" width="12.5703125" style="33" customWidth="1"/>
    <col min="5901" max="5901" width="9" style="33" customWidth="1"/>
    <col min="5902" max="5902" width="11.7109375" style="33" bestFit="1" customWidth="1"/>
    <col min="5903" max="5903" width="9.42578125" style="33" customWidth="1"/>
    <col min="5904" max="5904" width="4.140625" style="33" customWidth="1"/>
    <col min="5905" max="5905" width="3.28515625" style="33" bestFit="1" customWidth="1"/>
    <col min="5906" max="5906" width="8.85546875" style="33" customWidth="1"/>
    <col min="5907" max="5907" width="10" style="33" bestFit="1" customWidth="1"/>
    <col min="5908" max="5909" width="9.42578125" style="33" customWidth="1"/>
    <col min="5910" max="5910" width="9.5703125" style="33" customWidth="1"/>
    <col min="5911" max="5911" width="9.85546875" style="33" customWidth="1"/>
    <col min="5912" max="5913" width="9.42578125" style="33" customWidth="1"/>
    <col min="5914" max="5914" width="9.85546875" style="33" customWidth="1"/>
    <col min="5915" max="5916" width="9.28515625" style="33" customWidth="1"/>
    <col min="5917" max="5917" width="9.85546875" style="33" customWidth="1"/>
    <col min="5918" max="5918" width="9.28515625" style="33" customWidth="1"/>
    <col min="5919" max="5919" width="10.42578125" style="33" customWidth="1"/>
    <col min="5920" max="5920" width="5.28515625" style="33" bestFit="1" customWidth="1"/>
    <col min="5921" max="5921" width="9.7109375" style="33" bestFit="1" customWidth="1"/>
    <col min="5922" max="5922" width="11" style="33" bestFit="1" customWidth="1"/>
    <col min="5923" max="5923" width="10.85546875" style="33" bestFit="1" customWidth="1"/>
    <col min="5924" max="5924" width="9.140625" style="33"/>
    <col min="5925" max="5925" width="3.85546875" style="33" bestFit="1" customWidth="1"/>
    <col min="5926" max="5926" width="7.28515625" style="33" bestFit="1" customWidth="1"/>
    <col min="5927" max="5929" width="9.140625" style="33"/>
    <col min="5930" max="5930" width="9.28515625" style="33" customWidth="1"/>
    <col min="5931" max="5931" width="9.28515625" style="33" bestFit="1" customWidth="1"/>
    <col min="5932" max="6144" width="9.140625" style="33"/>
    <col min="6145" max="6145" width="7.85546875" style="33" customWidth="1"/>
    <col min="6146" max="6146" width="12.140625" style="33" customWidth="1"/>
    <col min="6147" max="6147" width="6.28515625" style="33" customWidth="1"/>
    <col min="6148" max="6148" width="11.5703125" style="33" customWidth="1"/>
    <col min="6149" max="6149" width="7.85546875" style="33" customWidth="1"/>
    <col min="6150" max="6150" width="12.28515625" style="33" customWidth="1"/>
    <col min="6151" max="6151" width="5.28515625" style="33" customWidth="1"/>
    <col min="6152" max="6152" width="12.140625" style="33" bestFit="1" customWidth="1"/>
    <col min="6153" max="6153" width="5.7109375" style="33" customWidth="1"/>
    <col min="6154" max="6154" width="11.85546875" style="33" bestFit="1" customWidth="1"/>
    <col min="6155" max="6155" width="8" style="33" customWidth="1"/>
    <col min="6156" max="6156" width="12.5703125" style="33" customWidth="1"/>
    <col min="6157" max="6157" width="9" style="33" customWidth="1"/>
    <col min="6158" max="6158" width="11.7109375" style="33" bestFit="1" customWidth="1"/>
    <col min="6159" max="6159" width="9.42578125" style="33" customWidth="1"/>
    <col min="6160" max="6160" width="4.140625" style="33" customWidth="1"/>
    <col min="6161" max="6161" width="3.28515625" style="33" bestFit="1" customWidth="1"/>
    <col min="6162" max="6162" width="8.85546875" style="33" customWidth="1"/>
    <col min="6163" max="6163" width="10" style="33" bestFit="1" customWidth="1"/>
    <col min="6164" max="6165" width="9.42578125" style="33" customWidth="1"/>
    <col min="6166" max="6166" width="9.5703125" style="33" customWidth="1"/>
    <col min="6167" max="6167" width="9.85546875" style="33" customWidth="1"/>
    <col min="6168" max="6169" width="9.42578125" style="33" customWidth="1"/>
    <col min="6170" max="6170" width="9.85546875" style="33" customWidth="1"/>
    <col min="6171" max="6172" width="9.28515625" style="33" customWidth="1"/>
    <col min="6173" max="6173" width="9.85546875" style="33" customWidth="1"/>
    <col min="6174" max="6174" width="9.28515625" style="33" customWidth="1"/>
    <col min="6175" max="6175" width="10.42578125" style="33" customWidth="1"/>
    <col min="6176" max="6176" width="5.28515625" style="33" bestFit="1" customWidth="1"/>
    <col min="6177" max="6177" width="9.7109375" style="33" bestFit="1" customWidth="1"/>
    <col min="6178" max="6178" width="11" style="33" bestFit="1" customWidth="1"/>
    <col min="6179" max="6179" width="10.85546875" style="33" bestFit="1" customWidth="1"/>
    <col min="6180" max="6180" width="9.140625" style="33"/>
    <col min="6181" max="6181" width="3.85546875" style="33" bestFit="1" customWidth="1"/>
    <col min="6182" max="6182" width="7.28515625" style="33" bestFit="1" customWidth="1"/>
    <col min="6183" max="6185" width="9.140625" style="33"/>
    <col min="6186" max="6186" width="9.28515625" style="33" customWidth="1"/>
    <col min="6187" max="6187" width="9.28515625" style="33" bestFit="1" customWidth="1"/>
    <col min="6188" max="6400" width="9.140625" style="33"/>
    <col min="6401" max="6401" width="7.85546875" style="33" customWidth="1"/>
    <col min="6402" max="6402" width="12.140625" style="33" customWidth="1"/>
    <col min="6403" max="6403" width="6.28515625" style="33" customWidth="1"/>
    <col min="6404" max="6404" width="11.5703125" style="33" customWidth="1"/>
    <col min="6405" max="6405" width="7.85546875" style="33" customWidth="1"/>
    <col min="6406" max="6406" width="12.28515625" style="33" customWidth="1"/>
    <col min="6407" max="6407" width="5.28515625" style="33" customWidth="1"/>
    <col min="6408" max="6408" width="12.140625" style="33" bestFit="1" customWidth="1"/>
    <col min="6409" max="6409" width="5.7109375" style="33" customWidth="1"/>
    <col min="6410" max="6410" width="11.85546875" style="33" bestFit="1" customWidth="1"/>
    <col min="6411" max="6411" width="8" style="33" customWidth="1"/>
    <col min="6412" max="6412" width="12.5703125" style="33" customWidth="1"/>
    <col min="6413" max="6413" width="9" style="33" customWidth="1"/>
    <col min="6414" max="6414" width="11.7109375" style="33" bestFit="1" customWidth="1"/>
    <col min="6415" max="6415" width="9.42578125" style="33" customWidth="1"/>
    <col min="6416" max="6416" width="4.140625" style="33" customWidth="1"/>
    <col min="6417" max="6417" width="3.28515625" style="33" bestFit="1" customWidth="1"/>
    <col min="6418" max="6418" width="8.85546875" style="33" customWidth="1"/>
    <col min="6419" max="6419" width="10" style="33" bestFit="1" customWidth="1"/>
    <col min="6420" max="6421" width="9.42578125" style="33" customWidth="1"/>
    <col min="6422" max="6422" width="9.5703125" style="33" customWidth="1"/>
    <col min="6423" max="6423" width="9.85546875" style="33" customWidth="1"/>
    <col min="6424" max="6425" width="9.42578125" style="33" customWidth="1"/>
    <col min="6426" max="6426" width="9.85546875" style="33" customWidth="1"/>
    <col min="6427" max="6428" width="9.28515625" style="33" customWidth="1"/>
    <col min="6429" max="6429" width="9.85546875" style="33" customWidth="1"/>
    <col min="6430" max="6430" width="9.28515625" style="33" customWidth="1"/>
    <col min="6431" max="6431" width="10.42578125" style="33" customWidth="1"/>
    <col min="6432" max="6432" width="5.28515625" style="33" bestFit="1" customWidth="1"/>
    <col min="6433" max="6433" width="9.7109375" style="33" bestFit="1" customWidth="1"/>
    <col min="6434" max="6434" width="11" style="33" bestFit="1" customWidth="1"/>
    <col min="6435" max="6435" width="10.85546875" style="33" bestFit="1" customWidth="1"/>
    <col min="6436" max="6436" width="9.140625" style="33"/>
    <col min="6437" max="6437" width="3.85546875" style="33" bestFit="1" customWidth="1"/>
    <col min="6438" max="6438" width="7.28515625" style="33" bestFit="1" customWidth="1"/>
    <col min="6439" max="6441" width="9.140625" style="33"/>
    <col min="6442" max="6442" width="9.28515625" style="33" customWidth="1"/>
    <col min="6443" max="6443" width="9.28515625" style="33" bestFit="1" customWidth="1"/>
    <col min="6444" max="6656" width="9.140625" style="33"/>
    <col min="6657" max="6657" width="7.85546875" style="33" customWidth="1"/>
    <col min="6658" max="6658" width="12.140625" style="33" customWidth="1"/>
    <col min="6659" max="6659" width="6.28515625" style="33" customWidth="1"/>
    <col min="6660" max="6660" width="11.5703125" style="33" customWidth="1"/>
    <col min="6661" max="6661" width="7.85546875" style="33" customWidth="1"/>
    <col min="6662" max="6662" width="12.28515625" style="33" customWidth="1"/>
    <col min="6663" max="6663" width="5.28515625" style="33" customWidth="1"/>
    <col min="6664" max="6664" width="12.140625" style="33" bestFit="1" customWidth="1"/>
    <col min="6665" max="6665" width="5.7109375" style="33" customWidth="1"/>
    <col min="6666" max="6666" width="11.85546875" style="33" bestFit="1" customWidth="1"/>
    <col min="6667" max="6667" width="8" style="33" customWidth="1"/>
    <col min="6668" max="6668" width="12.5703125" style="33" customWidth="1"/>
    <col min="6669" max="6669" width="9" style="33" customWidth="1"/>
    <col min="6670" max="6670" width="11.7109375" style="33" bestFit="1" customWidth="1"/>
    <col min="6671" max="6671" width="9.42578125" style="33" customWidth="1"/>
    <col min="6672" max="6672" width="4.140625" style="33" customWidth="1"/>
    <col min="6673" max="6673" width="3.28515625" style="33" bestFit="1" customWidth="1"/>
    <col min="6674" max="6674" width="8.85546875" style="33" customWidth="1"/>
    <col min="6675" max="6675" width="10" style="33" bestFit="1" customWidth="1"/>
    <col min="6676" max="6677" width="9.42578125" style="33" customWidth="1"/>
    <col min="6678" max="6678" width="9.5703125" style="33" customWidth="1"/>
    <col min="6679" max="6679" width="9.85546875" style="33" customWidth="1"/>
    <col min="6680" max="6681" width="9.42578125" style="33" customWidth="1"/>
    <col min="6682" max="6682" width="9.85546875" style="33" customWidth="1"/>
    <col min="6683" max="6684" width="9.28515625" style="33" customWidth="1"/>
    <col min="6685" max="6685" width="9.85546875" style="33" customWidth="1"/>
    <col min="6686" max="6686" width="9.28515625" style="33" customWidth="1"/>
    <col min="6687" max="6687" width="10.42578125" style="33" customWidth="1"/>
    <col min="6688" max="6688" width="5.28515625" style="33" bestFit="1" customWidth="1"/>
    <col min="6689" max="6689" width="9.7109375" style="33" bestFit="1" customWidth="1"/>
    <col min="6690" max="6690" width="11" style="33" bestFit="1" customWidth="1"/>
    <col min="6691" max="6691" width="10.85546875" style="33" bestFit="1" customWidth="1"/>
    <col min="6692" max="6692" width="9.140625" style="33"/>
    <col min="6693" max="6693" width="3.85546875" style="33" bestFit="1" customWidth="1"/>
    <col min="6694" max="6694" width="7.28515625" style="33" bestFit="1" customWidth="1"/>
    <col min="6695" max="6697" width="9.140625" style="33"/>
    <col min="6698" max="6698" width="9.28515625" style="33" customWidth="1"/>
    <col min="6699" max="6699" width="9.28515625" style="33" bestFit="1" customWidth="1"/>
    <col min="6700" max="6912" width="9.140625" style="33"/>
    <col min="6913" max="6913" width="7.85546875" style="33" customWidth="1"/>
    <col min="6914" max="6914" width="12.140625" style="33" customWidth="1"/>
    <col min="6915" max="6915" width="6.28515625" style="33" customWidth="1"/>
    <col min="6916" max="6916" width="11.5703125" style="33" customWidth="1"/>
    <col min="6917" max="6917" width="7.85546875" style="33" customWidth="1"/>
    <col min="6918" max="6918" width="12.28515625" style="33" customWidth="1"/>
    <col min="6919" max="6919" width="5.28515625" style="33" customWidth="1"/>
    <col min="6920" max="6920" width="12.140625" style="33" bestFit="1" customWidth="1"/>
    <col min="6921" max="6921" width="5.7109375" style="33" customWidth="1"/>
    <col min="6922" max="6922" width="11.85546875" style="33" bestFit="1" customWidth="1"/>
    <col min="6923" max="6923" width="8" style="33" customWidth="1"/>
    <col min="6924" max="6924" width="12.5703125" style="33" customWidth="1"/>
    <col min="6925" max="6925" width="9" style="33" customWidth="1"/>
    <col min="6926" max="6926" width="11.7109375" style="33" bestFit="1" customWidth="1"/>
    <col min="6927" max="6927" width="9.42578125" style="33" customWidth="1"/>
    <col min="6928" max="6928" width="4.140625" style="33" customWidth="1"/>
    <col min="6929" max="6929" width="3.28515625" style="33" bestFit="1" customWidth="1"/>
    <col min="6930" max="6930" width="8.85546875" style="33" customWidth="1"/>
    <col min="6931" max="6931" width="10" style="33" bestFit="1" customWidth="1"/>
    <col min="6932" max="6933" width="9.42578125" style="33" customWidth="1"/>
    <col min="6934" max="6934" width="9.5703125" style="33" customWidth="1"/>
    <col min="6935" max="6935" width="9.85546875" style="33" customWidth="1"/>
    <col min="6936" max="6937" width="9.42578125" style="33" customWidth="1"/>
    <col min="6938" max="6938" width="9.85546875" style="33" customWidth="1"/>
    <col min="6939" max="6940" width="9.28515625" style="33" customWidth="1"/>
    <col min="6941" max="6941" width="9.85546875" style="33" customWidth="1"/>
    <col min="6942" max="6942" width="9.28515625" style="33" customWidth="1"/>
    <col min="6943" max="6943" width="10.42578125" style="33" customWidth="1"/>
    <col min="6944" max="6944" width="5.28515625" style="33" bestFit="1" customWidth="1"/>
    <col min="6945" max="6945" width="9.7109375" style="33" bestFit="1" customWidth="1"/>
    <col min="6946" max="6946" width="11" style="33" bestFit="1" customWidth="1"/>
    <col min="6947" max="6947" width="10.85546875" style="33" bestFit="1" customWidth="1"/>
    <col min="6948" max="6948" width="9.140625" style="33"/>
    <col min="6949" max="6949" width="3.85546875" style="33" bestFit="1" customWidth="1"/>
    <col min="6950" max="6950" width="7.28515625" style="33" bestFit="1" customWidth="1"/>
    <col min="6951" max="6953" width="9.140625" style="33"/>
    <col min="6954" max="6954" width="9.28515625" style="33" customWidth="1"/>
    <col min="6955" max="6955" width="9.28515625" style="33" bestFit="1" customWidth="1"/>
    <col min="6956" max="7168" width="9.140625" style="33"/>
    <col min="7169" max="7169" width="7.85546875" style="33" customWidth="1"/>
    <col min="7170" max="7170" width="12.140625" style="33" customWidth="1"/>
    <col min="7171" max="7171" width="6.28515625" style="33" customWidth="1"/>
    <col min="7172" max="7172" width="11.5703125" style="33" customWidth="1"/>
    <col min="7173" max="7173" width="7.85546875" style="33" customWidth="1"/>
    <col min="7174" max="7174" width="12.28515625" style="33" customWidth="1"/>
    <col min="7175" max="7175" width="5.28515625" style="33" customWidth="1"/>
    <col min="7176" max="7176" width="12.140625" style="33" bestFit="1" customWidth="1"/>
    <col min="7177" max="7177" width="5.7109375" style="33" customWidth="1"/>
    <col min="7178" max="7178" width="11.85546875" style="33" bestFit="1" customWidth="1"/>
    <col min="7179" max="7179" width="8" style="33" customWidth="1"/>
    <col min="7180" max="7180" width="12.5703125" style="33" customWidth="1"/>
    <col min="7181" max="7181" width="9" style="33" customWidth="1"/>
    <col min="7182" max="7182" width="11.7109375" style="33" bestFit="1" customWidth="1"/>
    <col min="7183" max="7183" width="9.42578125" style="33" customWidth="1"/>
    <col min="7184" max="7184" width="4.140625" style="33" customWidth="1"/>
    <col min="7185" max="7185" width="3.28515625" style="33" bestFit="1" customWidth="1"/>
    <col min="7186" max="7186" width="8.85546875" style="33" customWidth="1"/>
    <col min="7187" max="7187" width="10" style="33" bestFit="1" customWidth="1"/>
    <col min="7188" max="7189" width="9.42578125" style="33" customWidth="1"/>
    <col min="7190" max="7190" width="9.5703125" style="33" customWidth="1"/>
    <col min="7191" max="7191" width="9.85546875" style="33" customWidth="1"/>
    <col min="7192" max="7193" width="9.42578125" style="33" customWidth="1"/>
    <col min="7194" max="7194" width="9.85546875" style="33" customWidth="1"/>
    <col min="7195" max="7196" width="9.28515625" style="33" customWidth="1"/>
    <col min="7197" max="7197" width="9.85546875" style="33" customWidth="1"/>
    <col min="7198" max="7198" width="9.28515625" style="33" customWidth="1"/>
    <col min="7199" max="7199" width="10.42578125" style="33" customWidth="1"/>
    <col min="7200" max="7200" width="5.28515625" style="33" bestFit="1" customWidth="1"/>
    <col min="7201" max="7201" width="9.7109375" style="33" bestFit="1" customWidth="1"/>
    <col min="7202" max="7202" width="11" style="33" bestFit="1" customWidth="1"/>
    <col min="7203" max="7203" width="10.85546875" style="33" bestFit="1" customWidth="1"/>
    <col min="7204" max="7204" width="9.140625" style="33"/>
    <col min="7205" max="7205" width="3.85546875" style="33" bestFit="1" customWidth="1"/>
    <col min="7206" max="7206" width="7.28515625" style="33" bestFit="1" customWidth="1"/>
    <col min="7207" max="7209" width="9.140625" style="33"/>
    <col min="7210" max="7210" width="9.28515625" style="33" customWidth="1"/>
    <col min="7211" max="7211" width="9.28515625" style="33" bestFit="1" customWidth="1"/>
    <col min="7212" max="7424" width="9.140625" style="33"/>
    <col min="7425" max="7425" width="7.85546875" style="33" customWidth="1"/>
    <col min="7426" max="7426" width="12.140625" style="33" customWidth="1"/>
    <col min="7427" max="7427" width="6.28515625" style="33" customWidth="1"/>
    <col min="7428" max="7428" width="11.5703125" style="33" customWidth="1"/>
    <col min="7429" max="7429" width="7.85546875" style="33" customWidth="1"/>
    <col min="7430" max="7430" width="12.28515625" style="33" customWidth="1"/>
    <col min="7431" max="7431" width="5.28515625" style="33" customWidth="1"/>
    <col min="7432" max="7432" width="12.140625" style="33" bestFit="1" customWidth="1"/>
    <col min="7433" max="7433" width="5.7109375" style="33" customWidth="1"/>
    <col min="7434" max="7434" width="11.85546875" style="33" bestFit="1" customWidth="1"/>
    <col min="7435" max="7435" width="8" style="33" customWidth="1"/>
    <col min="7436" max="7436" width="12.5703125" style="33" customWidth="1"/>
    <col min="7437" max="7437" width="9" style="33" customWidth="1"/>
    <col min="7438" max="7438" width="11.7109375" style="33" bestFit="1" customWidth="1"/>
    <col min="7439" max="7439" width="9.42578125" style="33" customWidth="1"/>
    <col min="7440" max="7440" width="4.140625" style="33" customWidth="1"/>
    <col min="7441" max="7441" width="3.28515625" style="33" bestFit="1" customWidth="1"/>
    <col min="7442" max="7442" width="8.85546875" style="33" customWidth="1"/>
    <col min="7443" max="7443" width="10" style="33" bestFit="1" customWidth="1"/>
    <col min="7444" max="7445" width="9.42578125" style="33" customWidth="1"/>
    <col min="7446" max="7446" width="9.5703125" style="33" customWidth="1"/>
    <col min="7447" max="7447" width="9.85546875" style="33" customWidth="1"/>
    <col min="7448" max="7449" width="9.42578125" style="33" customWidth="1"/>
    <col min="7450" max="7450" width="9.85546875" style="33" customWidth="1"/>
    <col min="7451" max="7452" width="9.28515625" style="33" customWidth="1"/>
    <col min="7453" max="7453" width="9.85546875" style="33" customWidth="1"/>
    <col min="7454" max="7454" width="9.28515625" style="33" customWidth="1"/>
    <col min="7455" max="7455" width="10.42578125" style="33" customWidth="1"/>
    <col min="7456" max="7456" width="5.28515625" style="33" bestFit="1" customWidth="1"/>
    <col min="7457" max="7457" width="9.7109375" style="33" bestFit="1" customWidth="1"/>
    <col min="7458" max="7458" width="11" style="33" bestFit="1" customWidth="1"/>
    <col min="7459" max="7459" width="10.85546875" style="33" bestFit="1" customWidth="1"/>
    <col min="7460" max="7460" width="9.140625" style="33"/>
    <col min="7461" max="7461" width="3.85546875" style="33" bestFit="1" customWidth="1"/>
    <col min="7462" max="7462" width="7.28515625" style="33" bestFit="1" customWidth="1"/>
    <col min="7463" max="7465" width="9.140625" style="33"/>
    <col min="7466" max="7466" width="9.28515625" style="33" customWidth="1"/>
    <col min="7467" max="7467" width="9.28515625" style="33" bestFit="1" customWidth="1"/>
    <col min="7468" max="7680" width="9.140625" style="33"/>
    <col min="7681" max="7681" width="7.85546875" style="33" customWidth="1"/>
    <col min="7682" max="7682" width="12.140625" style="33" customWidth="1"/>
    <col min="7683" max="7683" width="6.28515625" style="33" customWidth="1"/>
    <col min="7684" max="7684" width="11.5703125" style="33" customWidth="1"/>
    <col min="7685" max="7685" width="7.85546875" style="33" customWidth="1"/>
    <col min="7686" max="7686" width="12.28515625" style="33" customWidth="1"/>
    <col min="7687" max="7687" width="5.28515625" style="33" customWidth="1"/>
    <col min="7688" max="7688" width="12.140625" style="33" bestFit="1" customWidth="1"/>
    <col min="7689" max="7689" width="5.7109375" style="33" customWidth="1"/>
    <col min="7690" max="7690" width="11.85546875" style="33" bestFit="1" customWidth="1"/>
    <col min="7691" max="7691" width="8" style="33" customWidth="1"/>
    <col min="7692" max="7692" width="12.5703125" style="33" customWidth="1"/>
    <col min="7693" max="7693" width="9" style="33" customWidth="1"/>
    <col min="7694" max="7694" width="11.7109375" style="33" bestFit="1" customWidth="1"/>
    <col min="7695" max="7695" width="9.42578125" style="33" customWidth="1"/>
    <col min="7696" max="7696" width="4.140625" style="33" customWidth="1"/>
    <col min="7697" max="7697" width="3.28515625" style="33" bestFit="1" customWidth="1"/>
    <col min="7698" max="7698" width="8.85546875" style="33" customWidth="1"/>
    <col min="7699" max="7699" width="10" style="33" bestFit="1" customWidth="1"/>
    <col min="7700" max="7701" width="9.42578125" style="33" customWidth="1"/>
    <col min="7702" max="7702" width="9.5703125" style="33" customWidth="1"/>
    <col min="7703" max="7703" width="9.85546875" style="33" customWidth="1"/>
    <col min="7704" max="7705" width="9.42578125" style="33" customWidth="1"/>
    <col min="7706" max="7706" width="9.85546875" style="33" customWidth="1"/>
    <col min="7707" max="7708" width="9.28515625" style="33" customWidth="1"/>
    <col min="7709" max="7709" width="9.85546875" style="33" customWidth="1"/>
    <col min="7710" max="7710" width="9.28515625" style="33" customWidth="1"/>
    <col min="7711" max="7711" width="10.42578125" style="33" customWidth="1"/>
    <col min="7712" max="7712" width="5.28515625" style="33" bestFit="1" customWidth="1"/>
    <col min="7713" max="7713" width="9.7109375" style="33" bestFit="1" customWidth="1"/>
    <col min="7714" max="7714" width="11" style="33" bestFit="1" customWidth="1"/>
    <col min="7715" max="7715" width="10.85546875" style="33" bestFit="1" customWidth="1"/>
    <col min="7716" max="7716" width="9.140625" style="33"/>
    <col min="7717" max="7717" width="3.85546875" style="33" bestFit="1" customWidth="1"/>
    <col min="7718" max="7718" width="7.28515625" style="33" bestFit="1" customWidth="1"/>
    <col min="7719" max="7721" width="9.140625" style="33"/>
    <col min="7722" max="7722" width="9.28515625" style="33" customWidth="1"/>
    <col min="7723" max="7723" width="9.28515625" style="33" bestFit="1" customWidth="1"/>
    <col min="7724" max="7936" width="9.140625" style="33"/>
    <col min="7937" max="7937" width="7.85546875" style="33" customWidth="1"/>
    <col min="7938" max="7938" width="12.140625" style="33" customWidth="1"/>
    <col min="7939" max="7939" width="6.28515625" style="33" customWidth="1"/>
    <col min="7940" max="7940" width="11.5703125" style="33" customWidth="1"/>
    <col min="7941" max="7941" width="7.85546875" style="33" customWidth="1"/>
    <col min="7942" max="7942" width="12.28515625" style="33" customWidth="1"/>
    <col min="7943" max="7943" width="5.28515625" style="33" customWidth="1"/>
    <col min="7944" max="7944" width="12.140625" style="33" bestFit="1" customWidth="1"/>
    <col min="7945" max="7945" width="5.7109375" style="33" customWidth="1"/>
    <col min="7946" max="7946" width="11.85546875" style="33" bestFit="1" customWidth="1"/>
    <col min="7947" max="7947" width="8" style="33" customWidth="1"/>
    <col min="7948" max="7948" width="12.5703125" style="33" customWidth="1"/>
    <col min="7949" max="7949" width="9" style="33" customWidth="1"/>
    <col min="7950" max="7950" width="11.7109375" style="33" bestFit="1" customWidth="1"/>
    <col min="7951" max="7951" width="9.42578125" style="33" customWidth="1"/>
    <col min="7952" max="7952" width="4.140625" style="33" customWidth="1"/>
    <col min="7953" max="7953" width="3.28515625" style="33" bestFit="1" customWidth="1"/>
    <col min="7954" max="7954" width="8.85546875" style="33" customWidth="1"/>
    <col min="7955" max="7955" width="10" style="33" bestFit="1" customWidth="1"/>
    <col min="7956" max="7957" width="9.42578125" style="33" customWidth="1"/>
    <col min="7958" max="7958" width="9.5703125" style="33" customWidth="1"/>
    <col min="7959" max="7959" width="9.85546875" style="33" customWidth="1"/>
    <col min="7960" max="7961" width="9.42578125" style="33" customWidth="1"/>
    <col min="7962" max="7962" width="9.85546875" style="33" customWidth="1"/>
    <col min="7963" max="7964" width="9.28515625" style="33" customWidth="1"/>
    <col min="7965" max="7965" width="9.85546875" style="33" customWidth="1"/>
    <col min="7966" max="7966" width="9.28515625" style="33" customWidth="1"/>
    <col min="7967" max="7967" width="10.42578125" style="33" customWidth="1"/>
    <col min="7968" max="7968" width="5.28515625" style="33" bestFit="1" customWidth="1"/>
    <col min="7969" max="7969" width="9.7109375" style="33" bestFit="1" customWidth="1"/>
    <col min="7970" max="7970" width="11" style="33" bestFit="1" customWidth="1"/>
    <col min="7971" max="7971" width="10.85546875" style="33" bestFit="1" customWidth="1"/>
    <col min="7972" max="7972" width="9.140625" style="33"/>
    <col min="7973" max="7973" width="3.85546875" style="33" bestFit="1" customWidth="1"/>
    <col min="7974" max="7974" width="7.28515625" style="33" bestFit="1" customWidth="1"/>
    <col min="7975" max="7977" width="9.140625" style="33"/>
    <col min="7978" max="7978" width="9.28515625" style="33" customWidth="1"/>
    <col min="7979" max="7979" width="9.28515625" style="33" bestFit="1" customWidth="1"/>
    <col min="7980" max="8192" width="9.140625" style="33"/>
    <col min="8193" max="8193" width="7.85546875" style="33" customWidth="1"/>
    <col min="8194" max="8194" width="12.140625" style="33" customWidth="1"/>
    <col min="8195" max="8195" width="6.28515625" style="33" customWidth="1"/>
    <col min="8196" max="8196" width="11.5703125" style="33" customWidth="1"/>
    <col min="8197" max="8197" width="7.85546875" style="33" customWidth="1"/>
    <col min="8198" max="8198" width="12.28515625" style="33" customWidth="1"/>
    <col min="8199" max="8199" width="5.28515625" style="33" customWidth="1"/>
    <col min="8200" max="8200" width="12.140625" style="33" bestFit="1" customWidth="1"/>
    <col min="8201" max="8201" width="5.7109375" style="33" customWidth="1"/>
    <col min="8202" max="8202" width="11.85546875" style="33" bestFit="1" customWidth="1"/>
    <col min="8203" max="8203" width="8" style="33" customWidth="1"/>
    <col min="8204" max="8204" width="12.5703125" style="33" customWidth="1"/>
    <col min="8205" max="8205" width="9" style="33" customWidth="1"/>
    <col min="8206" max="8206" width="11.7109375" style="33" bestFit="1" customWidth="1"/>
    <col min="8207" max="8207" width="9.42578125" style="33" customWidth="1"/>
    <col min="8208" max="8208" width="4.140625" style="33" customWidth="1"/>
    <col min="8209" max="8209" width="3.28515625" style="33" bestFit="1" customWidth="1"/>
    <col min="8210" max="8210" width="8.85546875" style="33" customWidth="1"/>
    <col min="8211" max="8211" width="10" style="33" bestFit="1" customWidth="1"/>
    <col min="8212" max="8213" width="9.42578125" style="33" customWidth="1"/>
    <col min="8214" max="8214" width="9.5703125" style="33" customWidth="1"/>
    <col min="8215" max="8215" width="9.85546875" style="33" customWidth="1"/>
    <col min="8216" max="8217" width="9.42578125" style="33" customWidth="1"/>
    <col min="8218" max="8218" width="9.85546875" style="33" customWidth="1"/>
    <col min="8219" max="8220" width="9.28515625" style="33" customWidth="1"/>
    <col min="8221" max="8221" width="9.85546875" style="33" customWidth="1"/>
    <col min="8222" max="8222" width="9.28515625" style="33" customWidth="1"/>
    <col min="8223" max="8223" width="10.42578125" style="33" customWidth="1"/>
    <col min="8224" max="8224" width="5.28515625" style="33" bestFit="1" customWidth="1"/>
    <col min="8225" max="8225" width="9.7109375" style="33" bestFit="1" customWidth="1"/>
    <col min="8226" max="8226" width="11" style="33" bestFit="1" customWidth="1"/>
    <col min="8227" max="8227" width="10.85546875" style="33" bestFit="1" customWidth="1"/>
    <col min="8228" max="8228" width="9.140625" style="33"/>
    <col min="8229" max="8229" width="3.85546875" style="33" bestFit="1" customWidth="1"/>
    <col min="8230" max="8230" width="7.28515625" style="33" bestFit="1" customWidth="1"/>
    <col min="8231" max="8233" width="9.140625" style="33"/>
    <col min="8234" max="8234" width="9.28515625" style="33" customWidth="1"/>
    <col min="8235" max="8235" width="9.28515625" style="33" bestFit="1" customWidth="1"/>
    <col min="8236" max="8448" width="9.140625" style="33"/>
    <col min="8449" max="8449" width="7.85546875" style="33" customWidth="1"/>
    <col min="8450" max="8450" width="12.140625" style="33" customWidth="1"/>
    <col min="8451" max="8451" width="6.28515625" style="33" customWidth="1"/>
    <col min="8452" max="8452" width="11.5703125" style="33" customWidth="1"/>
    <col min="8453" max="8453" width="7.85546875" style="33" customWidth="1"/>
    <col min="8454" max="8454" width="12.28515625" style="33" customWidth="1"/>
    <col min="8455" max="8455" width="5.28515625" style="33" customWidth="1"/>
    <col min="8456" max="8456" width="12.140625" style="33" bestFit="1" customWidth="1"/>
    <col min="8457" max="8457" width="5.7109375" style="33" customWidth="1"/>
    <col min="8458" max="8458" width="11.85546875" style="33" bestFit="1" customWidth="1"/>
    <col min="8459" max="8459" width="8" style="33" customWidth="1"/>
    <col min="8460" max="8460" width="12.5703125" style="33" customWidth="1"/>
    <col min="8461" max="8461" width="9" style="33" customWidth="1"/>
    <col min="8462" max="8462" width="11.7109375" style="33" bestFit="1" customWidth="1"/>
    <col min="8463" max="8463" width="9.42578125" style="33" customWidth="1"/>
    <col min="8464" max="8464" width="4.140625" style="33" customWidth="1"/>
    <col min="8465" max="8465" width="3.28515625" style="33" bestFit="1" customWidth="1"/>
    <col min="8466" max="8466" width="8.85546875" style="33" customWidth="1"/>
    <col min="8467" max="8467" width="10" style="33" bestFit="1" customWidth="1"/>
    <col min="8468" max="8469" width="9.42578125" style="33" customWidth="1"/>
    <col min="8470" max="8470" width="9.5703125" style="33" customWidth="1"/>
    <col min="8471" max="8471" width="9.85546875" style="33" customWidth="1"/>
    <col min="8472" max="8473" width="9.42578125" style="33" customWidth="1"/>
    <col min="8474" max="8474" width="9.85546875" style="33" customWidth="1"/>
    <col min="8475" max="8476" width="9.28515625" style="33" customWidth="1"/>
    <col min="8477" max="8477" width="9.85546875" style="33" customWidth="1"/>
    <col min="8478" max="8478" width="9.28515625" style="33" customWidth="1"/>
    <col min="8479" max="8479" width="10.42578125" style="33" customWidth="1"/>
    <col min="8480" max="8480" width="5.28515625" style="33" bestFit="1" customWidth="1"/>
    <col min="8481" max="8481" width="9.7109375" style="33" bestFit="1" customWidth="1"/>
    <col min="8482" max="8482" width="11" style="33" bestFit="1" customWidth="1"/>
    <col min="8483" max="8483" width="10.85546875" style="33" bestFit="1" customWidth="1"/>
    <col min="8484" max="8484" width="9.140625" style="33"/>
    <col min="8485" max="8485" width="3.85546875" style="33" bestFit="1" customWidth="1"/>
    <col min="8486" max="8486" width="7.28515625" style="33" bestFit="1" customWidth="1"/>
    <col min="8487" max="8489" width="9.140625" style="33"/>
    <col min="8490" max="8490" width="9.28515625" style="33" customWidth="1"/>
    <col min="8491" max="8491" width="9.28515625" style="33" bestFit="1" customWidth="1"/>
    <col min="8492" max="8704" width="9.140625" style="33"/>
    <col min="8705" max="8705" width="7.85546875" style="33" customWidth="1"/>
    <col min="8706" max="8706" width="12.140625" style="33" customWidth="1"/>
    <col min="8707" max="8707" width="6.28515625" style="33" customWidth="1"/>
    <col min="8708" max="8708" width="11.5703125" style="33" customWidth="1"/>
    <col min="8709" max="8709" width="7.85546875" style="33" customWidth="1"/>
    <col min="8710" max="8710" width="12.28515625" style="33" customWidth="1"/>
    <col min="8711" max="8711" width="5.28515625" style="33" customWidth="1"/>
    <col min="8712" max="8712" width="12.140625" style="33" bestFit="1" customWidth="1"/>
    <col min="8713" max="8713" width="5.7109375" style="33" customWidth="1"/>
    <col min="8714" max="8714" width="11.85546875" style="33" bestFit="1" customWidth="1"/>
    <col min="8715" max="8715" width="8" style="33" customWidth="1"/>
    <col min="8716" max="8716" width="12.5703125" style="33" customWidth="1"/>
    <col min="8717" max="8717" width="9" style="33" customWidth="1"/>
    <col min="8718" max="8718" width="11.7109375" style="33" bestFit="1" customWidth="1"/>
    <col min="8719" max="8719" width="9.42578125" style="33" customWidth="1"/>
    <col min="8720" max="8720" width="4.140625" style="33" customWidth="1"/>
    <col min="8721" max="8721" width="3.28515625" style="33" bestFit="1" customWidth="1"/>
    <col min="8722" max="8722" width="8.85546875" style="33" customWidth="1"/>
    <col min="8723" max="8723" width="10" style="33" bestFit="1" customWidth="1"/>
    <col min="8724" max="8725" width="9.42578125" style="33" customWidth="1"/>
    <col min="8726" max="8726" width="9.5703125" style="33" customWidth="1"/>
    <col min="8727" max="8727" width="9.85546875" style="33" customWidth="1"/>
    <col min="8728" max="8729" width="9.42578125" style="33" customWidth="1"/>
    <col min="8730" max="8730" width="9.85546875" style="33" customWidth="1"/>
    <col min="8731" max="8732" width="9.28515625" style="33" customWidth="1"/>
    <col min="8733" max="8733" width="9.85546875" style="33" customWidth="1"/>
    <col min="8734" max="8734" width="9.28515625" style="33" customWidth="1"/>
    <col min="8735" max="8735" width="10.42578125" style="33" customWidth="1"/>
    <col min="8736" max="8736" width="5.28515625" style="33" bestFit="1" customWidth="1"/>
    <col min="8737" max="8737" width="9.7109375" style="33" bestFit="1" customWidth="1"/>
    <col min="8738" max="8738" width="11" style="33" bestFit="1" customWidth="1"/>
    <col min="8739" max="8739" width="10.85546875" style="33" bestFit="1" customWidth="1"/>
    <col min="8740" max="8740" width="9.140625" style="33"/>
    <col min="8741" max="8741" width="3.85546875" style="33" bestFit="1" customWidth="1"/>
    <col min="8742" max="8742" width="7.28515625" style="33" bestFit="1" customWidth="1"/>
    <col min="8743" max="8745" width="9.140625" style="33"/>
    <col min="8746" max="8746" width="9.28515625" style="33" customWidth="1"/>
    <col min="8747" max="8747" width="9.28515625" style="33" bestFit="1" customWidth="1"/>
    <col min="8748" max="8960" width="9.140625" style="33"/>
    <col min="8961" max="8961" width="7.85546875" style="33" customWidth="1"/>
    <col min="8962" max="8962" width="12.140625" style="33" customWidth="1"/>
    <col min="8963" max="8963" width="6.28515625" style="33" customWidth="1"/>
    <col min="8964" max="8964" width="11.5703125" style="33" customWidth="1"/>
    <col min="8965" max="8965" width="7.85546875" style="33" customWidth="1"/>
    <col min="8966" max="8966" width="12.28515625" style="33" customWidth="1"/>
    <col min="8967" max="8967" width="5.28515625" style="33" customWidth="1"/>
    <col min="8968" max="8968" width="12.140625" style="33" bestFit="1" customWidth="1"/>
    <col min="8969" max="8969" width="5.7109375" style="33" customWidth="1"/>
    <col min="8970" max="8970" width="11.85546875" style="33" bestFit="1" customWidth="1"/>
    <col min="8971" max="8971" width="8" style="33" customWidth="1"/>
    <col min="8972" max="8972" width="12.5703125" style="33" customWidth="1"/>
    <col min="8973" max="8973" width="9" style="33" customWidth="1"/>
    <col min="8974" max="8974" width="11.7109375" style="33" bestFit="1" customWidth="1"/>
    <col min="8975" max="8975" width="9.42578125" style="33" customWidth="1"/>
    <col min="8976" max="8976" width="4.140625" style="33" customWidth="1"/>
    <col min="8977" max="8977" width="3.28515625" style="33" bestFit="1" customWidth="1"/>
    <col min="8978" max="8978" width="8.85546875" style="33" customWidth="1"/>
    <col min="8979" max="8979" width="10" style="33" bestFit="1" customWidth="1"/>
    <col min="8980" max="8981" width="9.42578125" style="33" customWidth="1"/>
    <col min="8982" max="8982" width="9.5703125" style="33" customWidth="1"/>
    <col min="8983" max="8983" width="9.85546875" style="33" customWidth="1"/>
    <col min="8984" max="8985" width="9.42578125" style="33" customWidth="1"/>
    <col min="8986" max="8986" width="9.85546875" style="33" customWidth="1"/>
    <col min="8987" max="8988" width="9.28515625" style="33" customWidth="1"/>
    <col min="8989" max="8989" width="9.85546875" style="33" customWidth="1"/>
    <col min="8990" max="8990" width="9.28515625" style="33" customWidth="1"/>
    <col min="8991" max="8991" width="10.42578125" style="33" customWidth="1"/>
    <col min="8992" max="8992" width="5.28515625" style="33" bestFit="1" customWidth="1"/>
    <col min="8993" max="8993" width="9.7109375" style="33" bestFit="1" customWidth="1"/>
    <col min="8994" max="8994" width="11" style="33" bestFit="1" customWidth="1"/>
    <col min="8995" max="8995" width="10.85546875" style="33" bestFit="1" customWidth="1"/>
    <col min="8996" max="8996" width="9.140625" style="33"/>
    <col min="8997" max="8997" width="3.85546875" style="33" bestFit="1" customWidth="1"/>
    <col min="8998" max="8998" width="7.28515625" style="33" bestFit="1" customWidth="1"/>
    <col min="8999" max="9001" width="9.140625" style="33"/>
    <col min="9002" max="9002" width="9.28515625" style="33" customWidth="1"/>
    <col min="9003" max="9003" width="9.28515625" style="33" bestFit="1" customWidth="1"/>
    <col min="9004" max="9216" width="9.140625" style="33"/>
    <col min="9217" max="9217" width="7.85546875" style="33" customWidth="1"/>
    <col min="9218" max="9218" width="12.140625" style="33" customWidth="1"/>
    <col min="9219" max="9219" width="6.28515625" style="33" customWidth="1"/>
    <col min="9220" max="9220" width="11.5703125" style="33" customWidth="1"/>
    <col min="9221" max="9221" width="7.85546875" style="33" customWidth="1"/>
    <col min="9222" max="9222" width="12.28515625" style="33" customWidth="1"/>
    <col min="9223" max="9223" width="5.28515625" style="33" customWidth="1"/>
    <col min="9224" max="9224" width="12.140625" style="33" bestFit="1" customWidth="1"/>
    <col min="9225" max="9225" width="5.7109375" style="33" customWidth="1"/>
    <col min="9226" max="9226" width="11.85546875" style="33" bestFit="1" customWidth="1"/>
    <col min="9227" max="9227" width="8" style="33" customWidth="1"/>
    <col min="9228" max="9228" width="12.5703125" style="33" customWidth="1"/>
    <col min="9229" max="9229" width="9" style="33" customWidth="1"/>
    <col min="9230" max="9230" width="11.7109375" style="33" bestFit="1" customWidth="1"/>
    <col min="9231" max="9231" width="9.42578125" style="33" customWidth="1"/>
    <col min="9232" max="9232" width="4.140625" style="33" customWidth="1"/>
    <col min="9233" max="9233" width="3.28515625" style="33" bestFit="1" customWidth="1"/>
    <col min="9234" max="9234" width="8.85546875" style="33" customWidth="1"/>
    <col min="9235" max="9235" width="10" style="33" bestFit="1" customWidth="1"/>
    <col min="9236" max="9237" width="9.42578125" style="33" customWidth="1"/>
    <col min="9238" max="9238" width="9.5703125" style="33" customWidth="1"/>
    <col min="9239" max="9239" width="9.85546875" style="33" customWidth="1"/>
    <col min="9240" max="9241" width="9.42578125" style="33" customWidth="1"/>
    <col min="9242" max="9242" width="9.85546875" style="33" customWidth="1"/>
    <col min="9243" max="9244" width="9.28515625" style="33" customWidth="1"/>
    <col min="9245" max="9245" width="9.85546875" style="33" customWidth="1"/>
    <col min="9246" max="9246" width="9.28515625" style="33" customWidth="1"/>
    <col min="9247" max="9247" width="10.42578125" style="33" customWidth="1"/>
    <col min="9248" max="9248" width="5.28515625" style="33" bestFit="1" customWidth="1"/>
    <col min="9249" max="9249" width="9.7109375" style="33" bestFit="1" customWidth="1"/>
    <col min="9250" max="9250" width="11" style="33" bestFit="1" customWidth="1"/>
    <col min="9251" max="9251" width="10.85546875" style="33" bestFit="1" customWidth="1"/>
    <col min="9252" max="9252" width="9.140625" style="33"/>
    <col min="9253" max="9253" width="3.85546875" style="33" bestFit="1" customWidth="1"/>
    <col min="9254" max="9254" width="7.28515625" style="33" bestFit="1" customWidth="1"/>
    <col min="9255" max="9257" width="9.140625" style="33"/>
    <col min="9258" max="9258" width="9.28515625" style="33" customWidth="1"/>
    <col min="9259" max="9259" width="9.28515625" style="33" bestFit="1" customWidth="1"/>
    <col min="9260" max="9472" width="9.140625" style="33"/>
    <col min="9473" max="9473" width="7.85546875" style="33" customWidth="1"/>
    <col min="9474" max="9474" width="12.140625" style="33" customWidth="1"/>
    <col min="9475" max="9475" width="6.28515625" style="33" customWidth="1"/>
    <col min="9476" max="9476" width="11.5703125" style="33" customWidth="1"/>
    <col min="9477" max="9477" width="7.85546875" style="33" customWidth="1"/>
    <col min="9478" max="9478" width="12.28515625" style="33" customWidth="1"/>
    <col min="9479" max="9479" width="5.28515625" style="33" customWidth="1"/>
    <col min="9480" max="9480" width="12.140625" style="33" bestFit="1" customWidth="1"/>
    <col min="9481" max="9481" width="5.7109375" style="33" customWidth="1"/>
    <col min="9482" max="9482" width="11.85546875" style="33" bestFit="1" customWidth="1"/>
    <col min="9483" max="9483" width="8" style="33" customWidth="1"/>
    <col min="9484" max="9484" width="12.5703125" style="33" customWidth="1"/>
    <col min="9485" max="9485" width="9" style="33" customWidth="1"/>
    <col min="9486" max="9486" width="11.7109375" style="33" bestFit="1" customWidth="1"/>
    <col min="9487" max="9487" width="9.42578125" style="33" customWidth="1"/>
    <col min="9488" max="9488" width="4.140625" style="33" customWidth="1"/>
    <col min="9489" max="9489" width="3.28515625" style="33" bestFit="1" customWidth="1"/>
    <col min="9490" max="9490" width="8.85546875" style="33" customWidth="1"/>
    <col min="9491" max="9491" width="10" style="33" bestFit="1" customWidth="1"/>
    <col min="9492" max="9493" width="9.42578125" style="33" customWidth="1"/>
    <col min="9494" max="9494" width="9.5703125" style="33" customWidth="1"/>
    <col min="9495" max="9495" width="9.85546875" style="33" customWidth="1"/>
    <col min="9496" max="9497" width="9.42578125" style="33" customWidth="1"/>
    <col min="9498" max="9498" width="9.85546875" style="33" customWidth="1"/>
    <col min="9499" max="9500" width="9.28515625" style="33" customWidth="1"/>
    <col min="9501" max="9501" width="9.85546875" style="33" customWidth="1"/>
    <col min="9502" max="9502" width="9.28515625" style="33" customWidth="1"/>
    <col min="9503" max="9503" width="10.42578125" style="33" customWidth="1"/>
    <col min="9504" max="9504" width="5.28515625" style="33" bestFit="1" customWidth="1"/>
    <col min="9505" max="9505" width="9.7109375" style="33" bestFit="1" customWidth="1"/>
    <col min="9506" max="9506" width="11" style="33" bestFit="1" customWidth="1"/>
    <col min="9507" max="9507" width="10.85546875" style="33" bestFit="1" customWidth="1"/>
    <col min="9508" max="9508" width="9.140625" style="33"/>
    <col min="9509" max="9509" width="3.85546875" style="33" bestFit="1" customWidth="1"/>
    <col min="9510" max="9510" width="7.28515625" style="33" bestFit="1" customWidth="1"/>
    <col min="9511" max="9513" width="9.140625" style="33"/>
    <col min="9514" max="9514" width="9.28515625" style="33" customWidth="1"/>
    <col min="9515" max="9515" width="9.28515625" style="33" bestFit="1" customWidth="1"/>
    <col min="9516" max="9728" width="9.140625" style="33"/>
    <col min="9729" max="9729" width="7.85546875" style="33" customWidth="1"/>
    <col min="9730" max="9730" width="12.140625" style="33" customWidth="1"/>
    <col min="9731" max="9731" width="6.28515625" style="33" customWidth="1"/>
    <col min="9732" max="9732" width="11.5703125" style="33" customWidth="1"/>
    <col min="9733" max="9733" width="7.85546875" style="33" customWidth="1"/>
    <col min="9734" max="9734" width="12.28515625" style="33" customWidth="1"/>
    <col min="9735" max="9735" width="5.28515625" style="33" customWidth="1"/>
    <col min="9736" max="9736" width="12.140625" style="33" bestFit="1" customWidth="1"/>
    <col min="9737" max="9737" width="5.7109375" style="33" customWidth="1"/>
    <col min="9738" max="9738" width="11.85546875" style="33" bestFit="1" customWidth="1"/>
    <col min="9739" max="9739" width="8" style="33" customWidth="1"/>
    <col min="9740" max="9740" width="12.5703125" style="33" customWidth="1"/>
    <col min="9741" max="9741" width="9" style="33" customWidth="1"/>
    <col min="9742" max="9742" width="11.7109375" style="33" bestFit="1" customWidth="1"/>
    <col min="9743" max="9743" width="9.42578125" style="33" customWidth="1"/>
    <col min="9744" max="9744" width="4.140625" style="33" customWidth="1"/>
    <col min="9745" max="9745" width="3.28515625" style="33" bestFit="1" customWidth="1"/>
    <col min="9746" max="9746" width="8.85546875" style="33" customWidth="1"/>
    <col min="9747" max="9747" width="10" style="33" bestFit="1" customWidth="1"/>
    <col min="9748" max="9749" width="9.42578125" style="33" customWidth="1"/>
    <col min="9750" max="9750" width="9.5703125" style="33" customWidth="1"/>
    <col min="9751" max="9751" width="9.85546875" style="33" customWidth="1"/>
    <col min="9752" max="9753" width="9.42578125" style="33" customWidth="1"/>
    <col min="9754" max="9754" width="9.85546875" style="33" customWidth="1"/>
    <col min="9755" max="9756" width="9.28515625" style="33" customWidth="1"/>
    <col min="9757" max="9757" width="9.85546875" style="33" customWidth="1"/>
    <col min="9758" max="9758" width="9.28515625" style="33" customWidth="1"/>
    <col min="9759" max="9759" width="10.42578125" style="33" customWidth="1"/>
    <col min="9760" max="9760" width="5.28515625" style="33" bestFit="1" customWidth="1"/>
    <col min="9761" max="9761" width="9.7109375" style="33" bestFit="1" customWidth="1"/>
    <col min="9762" max="9762" width="11" style="33" bestFit="1" customWidth="1"/>
    <col min="9763" max="9763" width="10.85546875" style="33" bestFit="1" customWidth="1"/>
    <col min="9764" max="9764" width="9.140625" style="33"/>
    <col min="9765" max="9765" width="3.85546875" style="33" bestFit="1" customWidth="1"/>
    <col min="9766" max="9766" width="7.28515625" style="33" bestFit="1" customWidth="1"/>
    <col min="9767" max="9769" width="9.140625" style="33"/>
    <col min="9770" max="9770" width="9.28515625" style="33" customWidth="1"/>
    <col min="9771" max="9771" width="9.28515625" style="33" bestFit="1" customWidth="1"/>
    <col min="9772" max="9984" width="9.140625" style="33"/>
    <col min="9985" max="9985" width="7.85546875" style="33" customWidth="1"/>
    <col min="9986" max="9986" width="12.140625" style="33" customWidth="1"/>
    <col min="9987" max="9987" width="6.28515625" style="33" customWidth="1"/>
    <col min="9988" max="9988" width="11.5703125" style="33" customWidth="1"/>
    <col min="9989" max="9989" width="7.85546875" style="33" customWidth="1"/>
    <col min="9990" max="9990" width="12.28515625" style="33" customWidth="1"/>
    <col min="9991" max="9991" width="5.28515625" style="33" customWidth="1"/>
    <col min="9992" max="9992" width="12.140625" style="33" bestFit="1" customWidth="1"/>
    <col min="9993" max="9993" width="5.7109375" style="33" customWidth="1"/>
    <col min="9994" max="9994" width="11.85546875" style="33" bestFit="1" customWidth="1"/>
    <col min="9995" max="9995" width="8" style="33" customWidth="1"/>
    <col min="9996" max="9996" width="12.5703125" style="33" customWidth="1"/>
    <col min="9997" max="9997" width="9" style="33" customWidth="1"/>
    <col min="9998" max="9998" width="11.7109375" style="33" bestFit="1" customWidth="1"/>
    <col min="9999" max="9999" width="9.42578125" style="33" customWidth="1"/>
    <col min="10000" max="10000" width="4.140625" style="33" customWidth="1"/>
    <col min="10001" max="10001" width="3.28515625" style="33" bestFit="1" customWidth="1"/>
    <col min="10002" max="10002" width="8.85546875" style="33" customWidth="1"/>
    <col min="10003" max="10003" width="10" style="33" bestFit="1" customWidth="1"/>
    <col min="10004" max="10005" width="9.42578125" style="33" customWidth="1"/>
    <col min="10006" max="10006" width="9.5703125" style="33" customWidth="1"/>
    <col min="10007" max="10007" width="9.85546875" style="33" customWidth="1"/>
    <col min="10008" max="10009" width="9.42578125" style="33" customWidth="1"/>
    <col min="10010" max="10010" width="9.85546875" style="33" customWidth="1"/>
    <col min="10011" max="10012" width="9.28515625" style="33" customWidth="1"/>
    <col min="10013" max="10013" width="9.85546875" style="33" customWidth="1"/>
    <col min="10014" max="10014" width="9.28515625" style="33" customWidth="1"/>
    <col min="10015" max="10015" width="10.42578125" style="33" customWidth="1"/>
    <col min="10016" max="10016" width="5.28515625" style="33" bestFit="1" customWidth="1"/>
    <col min="10017" max="10017" width="9.7109375" style="33" bestFit="1" customWidth="1"/>
    <col min="10018" max="10018" width="11" style="33" bestFit="1" customWidth="1"/>
    <col min="10019" max="10019" width="10.85546875" style="33" bestFit="1" customWidth="1"/>
    <col min="10020" max="10020" width="9.140625" style="33"/>
    <col min="10021" max="10021" width="3.85546875" style="33" bestFit="1" customWidth="1"/>
    <col min="10022" max="10022" width="7.28515625" style="33" bestFit="1" customWidth="1"/>
    <col min="10023" max="10025" width="9.140625" style="33"/>
    <col min="10026" max="10026" width="9.28515625" style="33" customWidth="1"/>
    <col min="10027" max="10027" width="9.28515625" style="33" bestFit="1" customWidth="1"/>
    <col min="10028" max="10240" width="9.140625" style="33"/>
    <col min="10241" max="10241" width="7.85546875" style="33" customWidth="1"/>
    <col min="10242" max="10242" width="12.140625" style="33" customWidth="1"/>
    <col min="10243" max="10243" width="6.28515625" style="33" customWidth="1"/>
    <col min="10244" max="10244" width="11.5703125" style="33" customWidth="1"/>
    <col min="10245" max="10245" width="7.85546875" style="33" customWidth="1"/>
    <col min="10246" max="10246" width="12.28515625" style="33" customWidth="1"/>
    <col min="10247" max="10247" width="5.28515625" style="33" customWidth="1"/>
    <col min="10248" max="10248" width="12.140625" style="33" bestFit="1" customWidth="1"/>
    <col min="10249" max="10249" width="5.7109375" style="33" customWidth="1"/>
    <col min="10250" max="10250" width="11.85546875" style="33" bestFit="1" customWidth="1"/>
    <col min="10251" max="10251" width="8" style="33" customWidth="1"/>
    <col min="10252" max="10252" width="12.5703125" style="33" customWidth="1"/>
    <col min="10253" max="10253" width="9" style="33" customWidth="1"/>
    <col min="10254" max="10254" width="11.7109375" style="33" bestFit="1" customWidth="1"/>
    <col min="10255" max="10255" width="9.42578125" style="33" customWidth="1"/>
    <col min="10256" max="10256" width="4.140625" style="33" customWidth="1"/>
    <col min="10257" max="10257" width="3.28515625" style="33" bestFit="1" customWidth="1"/>
    <col min="10258" max="10258" width="8.85546875" style="33" customWidth="1"/>
    <col min="10259" max="10259" width="10" style="33" bestFit="1" customWidth="1"/>
    <col min="10260" max="10261" width="9.42578125" style="33" customWidth="1"/>
    <col min="10262" max="10262" width="9.5703125" style="33" customWidth="1"/>
    <col min="10263" max="10263" width="9.85546875" style="33" customWidth="1"/>
    <col min="10264" max="10265" width="9.42578125" style="33" customWidth="1"/>
    <col min="10266" max="10266" width="9.85546875" style="33" customWidth="1"/>
    <col min="10267" max="10268" width="9.28515625" style="33" customWidth="1"/>
    <col min="10269" max="10269" width="9.85546875" style="33" customWidth="1"/>
    <col min="10270" max="10270" width="9.28515625" style="33" customWidth="1"/>
    <col min="10271" max="10271" width="10.42578125" style="33" customWidth="1"/>
    <col min="10272" max="10272" width="5.28515625" style="33" bestFit="1" customWidth="1"/>
    <col min="10273" max="10273" width="9.7109375" style="33" bestFit="1" customWidth="1"/>
    <col min="10274" max="10274" width="11" style="33" bestFit="1" customWidth="1"/>
    <col min="10275" max="10275" width="10.85546875" style="33" bestFit="1" customWidth="1"/>
    <col min="10276" max="10276" width="9.140625" style="33"/>
    <col min="10277" max="10277" width="3.85546875" style="33" bestFit="1" customWidth="1"/>
    <col min="10278" max="10278" width="7.28515625" style="33" bestFit="1" customWidth="1"/>
    <col min="10279" max="10281" width="9.140625" style="33"/>
    <col min="10282" max="10282" width="9.28515625" style="33" customWidth="1"/>
    <col min="10283" max="10283" width="9.28515625" style="33" bestFit="1" customWidth="1"/>
    <col min="10284" max="10496" width="9.140625" style="33"/>
    <col min="10497" max="10497" width="7.85546875" style="33" customWidth="1"/>
    <col min="10498" max="10498" width="12.140625" style="33" customWidth="1"/>
    <col min="10499" max="10499" width="6.28515625" style="33" customWidth="1"/>
    <col min="10500" max="10500" width="11.5703125" style="33" customWidth="1"/>
    <col min="10501" max="10501" width="7.85546875" style="33" customWidth="1"/>
    <col min="10502" max="10502" width="12.28515625" style="33" customWidth="1"/>
    <col min="10503" max="10503" width="5.28515625" style="33" customWidth="1"/>
    <col min="10504" max="10504" width="12.140625" style="33" bestFit="1" customWidth="1"/>
    <col min="10505" max="10505" width="5.7109375" style="33" customWidth="1"/>
    <col min="10506" max="10506" width="11.85546875" style="33" bestFit="1" customWidth="1"/>
    <col min="10507" max="10507" width="8" style="33" customWidth="1"/>
    <col min="10508" max="10508" width="12.5703125" style="33" customWidth="1"/>
    <col min="10509" max="10509" width="9" style="33" customWidth="1"/>
    <col min="10510" max="10510" width="11.7109375" style="33" bestFit="1" customWidth="1"/>
    <col min="10511" max="10511" width="9.42578125" style="33" customWidth="1"/>
    <col min="10512" max="10512" width="4.140625" style="33" customWidth="1"/>
    <col min="10513" max="10513" width="3.28515625" style="33" bestFit="1" customWidth="1"/>
    <col min="10514" max="10514" width="8.85546875" style="33" customWidth="1"/>
    <col min="10515" max="10515" width="10" style="33" bestFit="1" customWidth="1"/>
    <col min="10516" max="10517" width="9.42578125" style="33" customWidth="1"/>
    <col min="10518" max="10518" width="9.5703125" style="33" customWidth="1"/>
    <col min="10519" max="10519" width="9.85546875" style="33" customWidth="1"/>
    <col min="10520" max="10521" width="9.42578125" style="33" customWidth="1"/>
    <col min="10522" max="10522" width="9.85546875" style="33" customWidth="1"/>
    <col min="10523" max="10524" width="9.28515625" style="33" customWidth="1"/>
    <col min="10525" max="10525" width="9.85546875" style="33" customWidth="1"/>
    <col min="10526" max="10526" width="9.28515625" style="33" customWidth="1"/>
    <col min="10527" max="10527" width="10.42578125" style="33" customWidth="1"/>
    <col min="10528" max="10528" width="5.28515625" style="33" bestFit="1" customWidth="1"/>
    <col min="10529" max="10529" width="9.7109375" style="33" bestFit="1" customWidth="1"/>
    <col min="10530" max="10530" width="11" style="33" bestFit="1" customWidth="1"/>
    <col min="10531" max="10531" width="10.85546875" style="33" bestFit="1" customWidth="1"/>
    <col min="10532" max="10532" width="9.140625" style="33"/>
    <col min="10533" max="10533" width="3.85546875" style="33" bestFit="1" customWidth="1"/>
    <col min="10534" max="10534" width="7.28515625" style="33" bestFit="1" customWidth="1"/>
    <col min="10535" max="10537" width="9.140625" style="33"/>
    <col min="10538" max="10538" width="9.28515625" style="33" customWidth="1"/>
    <col min="10539" max="10539" width="9.28515625" style="33" bestFit="1" customWidth="1"/>
    <col min="10540" max="10752" width="9.140625" style="33"/>
    <col min="10753" max="10753" width="7.85546875" style="33" customWidth="1"/>
    <col min="10754" max="10754" width="12.140625" style="33" customWidth="1"/>
    <col min="10755" max="10755" width="6.28515625" style="33" customWidth="1"/>
    <col min="10756" max="10756" width="11.5703125" style="33" customWidth="1"/>
    <col min="10757" max="10757" width="7.85546875" style="33" customWidth="1"/>
    <col min="10758" max="10758" width="12.28515625" style="33" customWidth="1"/>
    <col min="10759" max="10759" width="5.28515625" style="33" customWidth="1"/>
    <col min="10760" max="10760" width="12.140625" style="33" bestFit="1" customWidth="1"/>
    <col min="10761" max="10761" width="5.7109375" style="33" customWidth="1"/>
    <col min="10762" max="10762" width="11.85546875" style="33" bestFit="1" customWidth="1"/>
    <col min="10763" max="10763" width="8" style="33" customWidth="1"/>
    <col min="10764" max="10764" width="12.5703125" style="33" customWidth="1"/>
    <col min="10765" max="10765" width="9" style="33" customWidth="1"/>
    <col min="10766" max="10766" width="11.7109375" style="33" bestFit="1" customWidth="1"/>
    <col min="10767" max="10767" width="9.42578125" style="33" customWidth="1"/>
    <col min="10768" max="10768" width="4.140625" style="33" customWidth="1"/>
    <col min="10769" max="10769" width="3.28515625" style="33" bestFit="1" customWidth="1"/>
    <col min="10770" max="10770" width="8.85546875" style="33" customWidth="1"/>
    <col min="10771" max="10771" width="10" style="33" bestFit="1" customWidth="1"/>
    <col min="10772" max="10773" width="9.42578125" style="33" customWidth="1"/>
    <col min="10774" max="10774" width="9.5703125" style="33" customWidth="1"/>
    <col min="10775" max="10775" width="9.85546875" style="33" customWidth="1"/>
    <col min="10776" max="10777" width="9.42578125" style="33" customWidth="1"/>
    <col min="10778" max="10778" width="9.85546875" style="33" customWidth="1"/>
    <col min="10779" max="10780" width="9.28515625" style="33" customWidth="1"/>
    <col min="10781" max="10781" width="9.85546875" style="33" customWidth="1"/>
    <col min="10782" max="10782" width="9.28515625" style="33" customWidth="1"/>
    <col min="10783" max="10783" width="10.42578125" style="33" customWidth="1"/>
    <col min="10784" max="10784" width="5.28515625" style="33" bestFit="1" customWidth="1"/>
    <col min="10785" max="10785" width="9.7109375" style="33" bestFit="1" customWidth="1"/>
    <col min="10786" max="10786" width="11" style="33" bestFit="1" customWidth="1"/>
    <col min="10787" max="10787" width="10.85546875" style="33" bestFit="1" customWidth="1"/>
    <col min="10788" max="10788" width="9.140625" style="33"/>
    <col min="10789" max="10789" width="3.85546875" style="33" bestFit="1" customWidth="1"/>
    <col min="10790" max="10790" width="7.28515625" style="33" bestFit="1" customWidth="1"/>
    <col min="10791" max="10793" width="9.140625" style="33"/>
    <col min="10794" max="10794" width="9.28515625" style="33" customWidth="1"/>
    <col min="10795" max="10795" width="9.28515625" style="33" bestFit="1" customWidth="1"/>
    <col min="10796" max="11008" width="9.140625" style="33"/>
    <col min="11009" max="11009" width="7.85546875" style="33" customWidth="1"/>
    <col min="11010" max="11010" width="12.140625" style="33" customWidth="1"/>
    <col min="11011" max="11011" width="6.28515625" style="33" customWidth="1"/>
    <col min="11012" max="11012" width="11.5703125" style="33" customWidth="1"/>
    <col min="11013" max="11013" width="7.85546875" style="33" customWidth="1"/>
    <col min="11014" max="11014" width="12.28515625" style="33" customWidth="1"/>
    <col min="11015" max="11015" width="5.28515625" style="33" customWidth="1"/>
    <col min="11016" max="11016" width="12.140625" style="33" bestFit="1" customWidth="1"/>
    <col min="11017" max="11017" width="5.7109375" style="33" customWidth="1"/>
    <col min="11018" max="11018" width="11.85546875" style="33" bestFit="1" customWidth="1"/>
    <col min="11019" max="11019" width="8" style="33" customWidth="1"/>
    <col min="11020" max="11020" width="12.5703125" style="33" customWidth="1"/>
    <col min="11021" max="11021" width="9" style="33" customWidth="1"/>
    <col min="11022" max="11022" width="11.7109375" style="33" bestFit="1" customWidth="1"/>
    <col min="11023" max="11023" width="9.42578125" style="33" customWidth="1"/>
    <col min="11024" max="11024" width="4.140625" style="33" customWidth="1"/>
    <col min="11025" max="11025" width="3.28515625" style="33" bestFit="1" customWidth="1"/>
    <col min="11026" max="11026" width="8.85546875" style="33" customWidth="1"/>
    <col min="11027" max="11027" width="10" style="33" bestFit="1" customWidth="1"/>
    <col min="11028" max="11029" width="9.42578125" style="33" customWidth="1"/>
    <col min="11030" max="11030" width="9.5703125" style="33" customWidth="1"/>
    <col min="11031" max="11031" width="9.85546875" style="33" customWidth="1"/>
    <col min="11032" max="11033" width="9.42578125" style="33" customWidth="1"/>
    <col min="11034" max="11034" width="9.85546875" style="33" customWidth="1"/>
    <col min="11035" max="11036" width="9.28515625" style="33" customWidth="1"/>
    <col min="11037" max="11037" width="9.85546875" style="33" customWidth="1"/>
    <col min="11038" max="11038" width="9.28515625" style="33" customWidth="1"/>
    <col min="11039" max="11039" width="10.42578125" style="33" customWidth="1"/>
    <col min="11040" max="11040" width="5.28515625" style="33" bestFit="1" customWidth="1"/>
    <col min="11041" max="11041" width="9.7109375" style="33" bestFit="1" customWidth="1"/>
    <col min="11042" max="11042" width="11" style="33" bestFit="1" customWidth="1"/>
    <col min="11043" max="11043" width="10.85546875" style="33" bestFit="1" customWidth="1"/>
    <col min="11044" max="11044" width="9.140625" style="33"/>
    <col min="11045" max="11045" width="3.85546875" style="33" bestFit="1" customWidth="1"/>
    <col min="11046" max="11046" width="7.28515625" style="33" bestFit="1" customWidth="1"/>
    <col min="11047" max="11049" width="9.140625" style="33"/>
    <col min="11050" max="11050" width="9.28515625" style="33" customWidth="1"/>
    <col min="11051" max="11051" width="9.28515625" style="33" bestFit="1" customWidth="1"/>
    <col min="11052" max="11264" width="9.140625" style="33"/>
    <col min="11265" max="11265" width="7.85546875" style="33" customWidth="1"/>
    <col min="11266" max="11266" width="12.140625" style="33" customWidth="1"/>
    <col min="11267" max="11267" width="6.28515625" style="33" customWidth="1"/>
    <col min="11268" max="11268" width="11.5703125" style="33" customWidth="1"/>
    <col min="11269" max="11269" width="7.85546875" style="33" customWidth="1"/>
    <col min="11270" max="11270" width="12.28515625" style="33" customWidth="1"/>
    <col min="11271" max="11271" width="5.28515625" style="33" customWidth="1"/>
    <col min="11272" max="11272" width="12.140625" style="33" bestFit="1" customWidth="1"/>
    <col min="11273" max="11273" width="5.7109375" style="33" customWidth="1"/>
    <col min="11274" max="11274" width="11.85546875" style="33" bestFit="1" customWidth="1"/>
    <col min="11275" max="11275" width="8" style="33" customWidth="1"/>
    <col min="11276" max="11276" width="12.5703125" style="33" customWidth="1"/>
    <col min="11277" max="11277" width="9" style="33" customWidth="1"/>
    <col min="11278" max="11278" width="11.7109375" style="33" bestFit="1" customWidth="1"/>
    <col min="11279" max="11279" width="9.42578125" style="33" customWidth="1"/>
    <col min="11280" max="11280" width="4.140625" style="33" customWidth="1"/>
    <col min="11281" max="11281" width="3.28515625" style="33" bestFit="1" customWidth="1"/>
    <col min="11282" max="11282" width="8.85546875" style="33" customWidth="1"/>
    <col min="11283" max="11283" width="10" style="33" bestFit="1" customWidth="1"/>
    <col min="11284" max="11285" width="9.42578125" style="33" customWidth="1"/>
    <col min="11286" max="11286" width="9.5703125" style="33" customWidth="1"/>
    <col min="11287" max="11287" width="9.85546875" style="33" customWidth="1"/>
    <col min="11288" max="11289" width="9.42578125" style="33" customWidth="1"/>
    <col min="11290" max="11290" width="9.85546875" style="33" customWidth="1"/>
    <col min="11291" max="11292" width="9.28515625" style="33" customWidth="1"/>
    <col min="11293" max="11293" width="9.85546875" style="33" customWidth="1"/>
    <col min="11294" max="11294" width="9.28515625" style="33" customWidth="1"/>
    <col min="11295" max="11295" width="10.42578125" style="33" customWidth="1"/>
    <col min="11296" max="11296" width="5.28515625" style="33" bestFit="1" customWidth="1"/>
    <col min="11297" max="11297" width="9.7109375" style="33" bestFit="1" customWidth="1"/>
    <col min="11298" max="11298" width="11" style="33" bestFit="1" customWidth="1"/>
    <col min="11299" max="11299" width="10.85546875" style="33" bestFit="1" customWidth="1"/>
    <col min="11300" max="11300" width="9.140625" style="33"/>
    <col min="11301" max="11301" width="3.85546875" style="33" bestFit="1" customWidth="1"/>
    <col min="11302" max="11302" width="7.28515625" style="33" bestFit="1" customWidth="1"/>
    <col min="11303" max="11305" width="9.140625" style="33"/>
    <col min="11306" max="11306" width="9.28515625" style="33" customWidth="1"/>
    <col min="11307" max="11307" width="9.28515625" style="33" bestFit="1" customWidth="1"/>
    <col min="11308" max="11520" width="9.140625" style="33"/>
    <col min="11521" max="11521" width="7.85546875" style="33" customWidth="1"/>
    <col min="11522" max="11522" width="12.140625" style="33" customWidth="1"/>
    <col min="11523" max="11523" width="6.28515625" style="33" customWidth="1"/>
    <col min="11524" max="11524" width="11.5703125" style="33" customWidth="1"/>
    <col min="11525" max="11525" width="7.85546875" style="33" customWidth="1"/>
    <col min="11526" max="11526" width="12.28515625" style="33" customWidth="1"/>
    <col min="11527" max="11527" width="5.28515625" style="33" customWidth="1"/>
    <col min="11528" max="11528" width="12.140625" style="33" bestFit="1" customWidth="1"/>
    <col min="11529" max="11529" width="5.7109375" style="33" customWidth="1"/>
    <col min="11530" max="11530" width="11.85546875" style="33" bestFit="1" customWidth="1"/>
    <col min="11531" max="11531" width="8" style="33" customWidth="1"/>
    <col min="11532" max="11532" width="12.5703125" style="33" customWidth="1"/>
    <col min="11533" max="11533" width="9" style="33" customWidth="1"/>
    <col min="11534" max="11534" width="11.7109375" style="33" bestFit="1" customWidth="1"/>
    <col min="11535" max="11535" width="9.42578125" style="33" customWidth="1"/>
    <col min="11536" max="11536" width="4.140625" style="33" customWidth="1"/>
    <col min="11537" max="11537" width="3.28515625" style="33" bestFit="1" customWidth="1"/>
    <col min="11538" max="11538" width="8.85546875" style="33" customWidth="1"/>
    <col min="11539" max="11539" width="10" style="33" bestFit="1" customWidth="1"/>
    <col min="11540" max="11541" width="9.42578125" style="33" customWidth="1"/>
    <col min="11542" max="11542" width="9.5703125" style="33" customWidth="1"/>
    <col min="11543" max="11543" width="9.85546875" style="33" customWidth="1"/>
    <col min="11544" max="11545" width="9.42578125" style="33" customWidth="1"/>
    <col min="11546" max="11546" width="9.85546875" style="33" customWidth="1"/>
    <col min="11547" max="11548" width="9.28515625" style="33" customWidth="1"/>
    <col min="11549" max="11549" width="9.85546875" style="33" customWidth="1"/>
    <col min="11550" max="11550" width="9.28515625" style="33" customWidth="1"/>
    <col min="11551" max="11551" width="10.42578125" style="33" customWidth="1"/>
    <col min="11552" max="11552" width="5.28515625" style="33" bestFit="1" customWidth="1"/>
    <col min="11553" max="11553" width="9.7109375" style="33" bestFit="1" customWidth="1"/>
    <col min="11554" max="11554" width="11" style="33" bestFit="1" customWidth="1"/>
    <col min="11555" max="11555" width="10.85546875" style="33" bestFit="1" customWidth="1"/>
    <col min="11556" max="11556" width="9.140625" style="33"/>
    <col min="11557" max="11557" width="3.85546875" style="33" bestFit="1" customWidth="1"/>
    <col min="11558" max="11558" width="7.28515625" style="33" bestFit="1" customWidth="1"/>
    <col min="11559" max="11561" width="9.140625" style="33"/>
    <col min="11562" max="11562" width="9.28515625" style="33" customWidth="1"/>
    <col min="11563" max="11563" width="9.28515625" style="33" bestFit="1" customWidth="1"/>
    <col min="11564" max="11776" width="9.140625" style="33"/>
    <col min="11777" max="11777" width="7.85546875" style="33" customWidth="1"/>
    <col min="11778" max="11778" width="12.140625" style="33" customWidth="1"/>
    <col min="11779" max="11779" width="6.28515625" style="33" customWidth="1"/>
    <col min="11780" max="11780" width="11.5703125" style="33" customWidth="1"/>
    <col min="11781" max="11781" width="7.85546875" style="33" customWidth="1"/>
    <col min="11782" max="11782" width="12.28515625" style="33" customWidth="1"/>
    <col min="11783" max="11783" width="5.28515625" style="33" customWidth="1"/>
    <col min="11784" max="11784" width="12.140625" style="33" bestFit="1" customWidth="1"/>
    <col min="11785" max="11785" width="5.7109375" style="33" customWidth="1"/>
    <col min="11786" max="11786" width="11.85546875" style="33" bestFit="1" customWidth="1"/>
    <col min="11787" max="11787" width="8" style="33" customWidth="1"/>
    <col min="11788" max="11788" width="12.5703125" style="33" customWidth="1"/>
    <col min="11789" max="11789" width="9" style="33" customWidth="1"/>
    <col min="11790" max="11790" width="11.7109375" style="33" bestFit="1" customWidth="1"/>
    <col min="11791" max="11791" width="9.42578125" style="33" customWidth="1"/>
    <col min="11792" max="11792" width="4.140625" style="33" customWidth="1"/>
    <col min="11793" max="11793" width="3.28515625" style="33" bestFit="1" customWidth="1"/>
    <col min="11794" max="11794" width="8.85546875" style="33" customWidth="1"/>
    <col min="11795" max="11795" width="10" style="33" bestFit="1" customWidth="1"/>
    <col min="11796" max="11797" width="9.42578125" style="33" customWidth="1"/>
    <col min="11798" max="11798" width="9.5703125" style="33" customWidth="1"/>
    <col min="11799" max="11799" width="9.85546875" style="33" customWidth="1"/>
    <col min="11800" max="11801" width="9.42578125" style="33" customWidth="1"/>
    <col min="11802" max="11802" width="9.85546875" style="33" customWidth="1"/>
    <col min="11803" max="11804" width="9.28515625" style="33" customWidth="1"/>
    <col min="11805" max="11805" width="9.85546875" style="33" customWidth="1"/>
    <col min="11806" max="11806" width="9.28515625" style="33" customWidth="1"/>
    <col min="11807" max="11807" width="10.42578125" style="33" customWidth="1"/>
    <col min="11808" max="11808" width="5.28515625" style="33" bestFit="1" customWidth="1"/>
    <col min="11809" max="11809" width="9.7109375" style="33" bestFit="1" customWidth="1"/>
    <col min="11810" max="11810" width="11" style="33" bestFit="1" customWidth="1"/>
    <col min="11811" max="11811" width="10.85546875" style="33" bestFit="1" customWidth="1"/>
    <col min="11812" max="11812" width="9.140625" style="33"/>
    <col min="11813" max="11813" width="3.85546875" style="33" bestFit="1" customWidth="1"/>
    <col min="11814" max="11814" width="7.28515625" style="33" bestFit="1" customWidth="1"/>
    <col min="11815" max="11817" width="9.140625" style="33"/>
    <col min="11818" max="11818" width="9.28515625" style="33" customWidth="1"/>
    <col min="11819" max="11819" width="9.28515625" style="33" bestFit="1" customWidth="1"/>
    <col min="11820" max="12032" width="9.140625" style="33"/>
    <col min="12033" max="12033" width="7.85546875" style="33" customWidth="1"/>
    <col min="12034" max="12034" width="12.140625" style="33" customWidth="1"/>
    <col min="12035" max="12035" width="6.28515625" style="33" customWidth="1"/>
    <col min="12036" max="12036" width="11.5703125" style="33" customWidth="1"/>
    <col min="12037" max="12037" width="7.85546875" style="33" customWidth="1"/>
    <col min="12038" max="12038" width="12.28515625" style="33" customWidth="1"/>
    <col min="12039" max="12039" width="5.28515625" style="33" customWidth="1"/>
    <col min="12040" max="12040" width="12.140625" style="33" bestFit="1" customWidth="1"/>
    <col min="12041" max="12041" width="5.7109375" style="33" customWidth="1"/>
    <col min="12042" max="12042" width="11.85546875" style="33" bestFit="1" customWidth="1"/>
    <col min="12043" max="12043" width="8" style="33" customWidth="1"/>
    <col min="12044" max="12044" width="12.5703125" style="33" customWidth="1"/>
    <col min="12045" max="12045" width="9" style="33" customWidth="1"/>
    <col min="12046" max="12046" width="11.7109375" style="33" bestFit="1" customWidth="1"/>
    <col min="12047" max="12047" width="9.42578125" style="33" customWidth="1"/>
    <col min="12048" max="12048" width="4.140625" style="33" customWidth="1"/>
    <col min="12049" max="12049" width="3.28515625" style="33" bestFit="1" customWidth="1"/>
    <col min="12050" max="12050" width="8.85546875" style="33" customWidth="1"/>
    <col min="12051" max="12051" width="10" style="33" bestFit="1" customWidth="1"/>
    <col min="12052" max="12053" width="9.42578125" style="33" customWidth="1"/>
    <col min="12054" max="12054" width="9.5703125" style="33" customWidth="1"/>
    <col min="12055" max="12055" width="9.85546875" style="33" customWidth="1"/>
    <col min="12056" max="12057" width="9.42578125" style="33" customWidth="1"/>
    <col min="12058" max="12058" width="9.85546875" style="33" customWidth="1"/>
    <col min="12059" max="12060" width="9.28515625" style="33" customWidth="1"/>
    <col min="12061" max="12061" width="9.85546875" style="33" customWidth="1"/>
    <col min="12062" max="12062" width="9.28515625" style="33" customWidth="1"/>
    <col min="12063" max="12063" width="10.42578125" style="33" customWidth="1"/>
    <col min="12064" max="12064" width="5.28515625" style="33" bestFit="1" customWidth="1"/>
    <col min="12065" max="12065" width="9.7109375" style="33" bestFit="1" customWidth="1"/>
    <col min="12066" max="12066" width="11" style="33" bestFit="1" customWidth="1"/>
    <col min="12067" max="12067" width="10.85546875" style="33" bestFit="1" customWidth="1"/>
    <col min="12068" max="12068" width="9.140625" style="33"/>
    <col min="12069" max="12069" width="3.85546875" style="33" bestFit="1" customWidth="1"/>
    <col min="12070" max="12070" width="7.28515625" style="33" bestFit="1" customWidth="1"/>
    <col min="12071" max="12073" width="9.140625" style="33"/>
    <col min="12074" max="12074" width="9.28515625" style="33" customWidth="1"/>
    <col min="12075" max="12075" width="9.28515625" style="33" bestFit="1" customWidth="1"/>
    <col min="12076" max="12288" width="9.140625" style="33"/>
    <col min="12289" max="12289" width="7.85546875" style="33" customWidth="1"/>
    <col min="12290" max="12290" width="12.140625" style="33" customWidth="1"/>
    <col min="12291" max="12291" width="6.28515625" style="33" customWidth="1"/>
    <col min="12292" max="12292" width="11.5703125" style="33" customWidth="1"/>
    <col min="12293" max="12293" width="7.85546875" style="33" customWidth="1"/>
    <col min="12294" max="12294" width="12.28515625" style="33" customWidth="1"/>
    <col min="12295" max="12295" width="5.28515625" style="33" customWidth="1"/>
    <col min="12296" max="12296" width="12.140625" style="33" bestFit="1" customWidth="1"/>
    <col min="12297" max="12297" width="5.7109375" style="33" customWidth="1"/>
    <col min="12298" max="12298" width="11.85546875" style="33" bestFit="1" customWidth="1"/>
    <col min="12299" max="12299" width="8" style="33" customWidth="1"/>
    <col min="12300" max="12300" width="12.5703125" style="33" customWidth="1"/>
    <col min="12301" max="12301" width="9" style="33" customWidth="1"/>
    <col min="12302" max="12302" width="11.7109375" style="33" bestFit="1" customWidth="1"/>
    <col min="12303" max="12303" width="9.42578125" style="33" customWidth="1"/>
    <col min="12304" max="12304" width="4.140625" style="33" customWidth="1"/>
    <col min="12305" max="12305" width="3.28515625" style="33" bestFit="1" customWidth="1"/>
    <col min="12306" max="12306" width="8.85546875" style="33" customWidth="1"/>
    <col min="12307" max="12307" width="10" style="33" bestFit="1" customWidth="1"/>
    <col min="12308" max="12309" width="9.42578125" style="33" customWidth="1"/>
    <col min="12310" max="12310" width="9.5703125" style="33" customWidth="1"/>
    <col min="12311" max="12311" width="9.85546875" style="33" customWidth="1"/>
    <col min="12312" max="12313" width="9.42578125" style="33" customWidth="1"/>
    <col min="12314" max="12314" width="9.85546875" style="33" customWidth="1"/>
    <col min="12315" max="12316" width="9.28515625" style="33" customWidth="1"/>
    <col min="12317" max="12317" width="9.85546875" style="33" customWidth="1"/>
    <col min="12318" max="12318" width="9.28515625" style="33" customWidth="1"/>
    <col min="12319" max="12319" width="10.42578125" style="33" customWidth="1"/>
    <col min="12320" max="12320" width="5.28515625" style="33" bestFit="1" customWidth="1"/>
    <col min="12321" max="12321" width="9.7109375" style="33" bestFit="1" customWidth="1"/>
    <col min="12322" max="12322" width="11" style="33" bestFit="1" customWidth="1"/>
    <col min="12323" max="12323" width="10.85546875" style="33" bestFit="1" customWidth="1"/>
    <col min="12324" max="12324" width="9.140625" style="33"/>
    <col min="12325" max="12325" width="3.85546875" style="33" bestFit="1" customWidth="1"/>
    <col min="12326" max="12326" width="7.28515625" style="33" bestFit="1" customWidth="1"/>
    <col min="12327" max="12329" width="9.140625" style="33"/>
    <col min="12330" max="12330" width="9.28515625" style="33" customWidth="1"/>
    <col min="12331" max="12331" width="9.28515625" style="33" bestFit="1" customWidth="1"/>
    <col min="12332" max="12544" width="9.140625" style="33"/>
    <col min="12545" max="12545" width="7.85546875" style="33" customWidth="1"/>
    <col min="12546" max="12546" width="12.140625" style="33" customWidth="1"/>
    <col min="12547" max="12547" width="6.28515625" style="33" customWidth="1"/>
    <col min="12548" max="12548" width="11.5703125" style="33" customWidth="1"/>
    <col min="12549" max="12549" width="7.85546875" style="33" customWidth="1"/>
    <col min="12550" max="12550" width="12.28515625" style="33" customWidth="1"/>
    <col min="12551" max="12551" width="5.28515625" style="33" customWidth="1"/>
    <col min="12552" max="12552" width="12.140625" style="33" bestFit="1" customWidth="1"/>
    <col min="12553" max="12553" width="5.7109375" style="33" customWidth="1"/>
    <col min="12554" max="12554" width="11.85546875" style="33" bestFit="1" customWidth="1"/>
    <col min="12555" max="12555" width="8" style="33" customWidth="1"/>
    <col min="12556" max="12556" width="12.5703125" style="33" customWidth="1"/>
    <col min="12557" max="12557" width="9" style="33" customWidth="1"/>
    <col min="12558" max="12558" width="11.7109375" style="33" bestFit="1" customWidth="1"/>
    <col min="12559" max="12559" width="9.42578125" style="33" customWidth="1"/>
    <col min="12560" max="12560" width="4.140625" style="33" customWidth="1"/>
    <col min="12561" max="12561" width="3.28515625" style="33" bestFit="1" customWidth="1"/>
    <col min="12562" max="12562" width="8.85546875" style="33" customWidth="1"/>
    <col min="12563" max="12563" width="10" style="33" bestFit="1" customWidth="1"/>
    <col min="12564" max="12565" width="9.42578125" style="33" customWidth="1"/>
    <col min="12566" max="12566" width="9.5703125" style="33" customWidth="1"/>
    <col min="12567" max="12567" width="9.85546875" style="33" customWidth="1"/>
    <col min="12568" max="12569" width="9.42578125" style="33" customWidth="1"/>
    <col min="12570" max="12570" width="9.85546875" style="33" customWidth="1"/>
    <col min="12571" max="12572" width="9.28515625" style="33" customWidth="1"/>
    <col min="12573" max="12573" width="9.85546875" style="33" customWidth="1"/>
    <col min="12574" max="12574" width="9.28515625" style="33" customWidth="1"/>
    <col min="12575" max="12575" width="10.42578125" style="33" customWidth="1"/>
    <col min="12576" max="12576" width="5.28515625" style="33" bestFit="1" customWidth="1"/>
    <col min="12577" max="12577" width="9.7109375" style="33" bestFit="1" customWidth="1"/>
    <col min="12578" max="12578" width="11" style="33" bestFit="1" customWidth="1"/>
    <col min="12579" max="12579" width="10.85546875" style="33" bestFit="1" customWidth="1"/>
    <col min="12580" max="12580" width="9.140625" style="33"/>
    <col min="12581" max="12581" width="3.85546875" style="33" bestFit="1" customWidth="1"/>
    <col min="12582" max="12582" width="7.28515625" style="33" bestFit="1" customWidth="1"/>
    <col min="12583" max="12585" width="9.140625" style="33"/>
    <col min="12586" max="12586" width="9.28515625" style="33" customWidth="1"/>
    <col min="12587" max="12587" width="9.28515625" style="33" bestFit="1" customWidth="1"/>
    <col min="12588" max="12800" width="9.140625" style="33"/>
    <col min="12801" max="12801" width="7.85546875" style="33" customWidth="1"/>
    <col min="12802" max="12802" width="12.140625" style="33" customWidth="1"/>
    <col min="12803" max="12803" width="6.28515625" style="33" customWidth="1"/>
    <col min="12804" max="12804" width="11.5703125" style="33" customWidth="1"/>
    <col min="12805" max="12805" width="7.85546875" style="33" customWidth="1"/>
    <col min="12806" max="12806" width="12.28515625" style="33" customWidth="1"/>
    <col min="12807" max="12807" width="5.28515625" style="33" customWidth="1"/>
    <col min="12808" max="12808" width="12.140625" style="33" bestFit="1" customWidth="1"/>
    <col min="12809" max="12809" width="5.7109375" style="33" customWidth="1"/>
    <col min="12810" max="12810" width="11.85546875" style="33" bestFit="1" customWidth="1"/>
    <col min="12811" max="12811" width="8" style="33" customWidth="1"/>
    <col min="12812" max="12812" width="12.5703125" style="33" customWidth="1"/>
    <col min="12813" max="12813" width="9" style="33" customWidth="1"/>
    <col min="12814" max="12814" width="11.7109375" style="33" bestFit="1" customWidth="1"/>
    <col min="12815" max="12815" width="9.42578125" style="33" customWidth="1"/>
    <col min="12816" max="12816" width="4.140625" style="33" customWidth="1"/>
    <col min="12817" max="12817" width="3.28515625" style="33" bestFit="1" customWidth="1"/>
    <col min="12818" max="12818" width="8.85546875" style="33" customWidth="1"/>
    <col min="12819" max="12819" width="10" style="33" bestFit="1" customWidth="1"/>
    <col min="12820" max="12821" width="9.42578125" style="33" customWidth="1"/>
    <col min="12822" max="12822" width="9.5703125" style="33" customWidth="1"/>
    <col min="12823" max="12823" width="9.85546875" style="33" customWidth="1"/>
    <col min="12824" max="12825" width="9.42578125" style="33" customWidth="1"/>
    <col min="12826" max="12826" width="9.85546875" style="33" customWidth="1"/>
    <col min="12827" max="12828" width="9.28515625" style="33" customWidth="1"/>
    <col min="12829" max="12829" width="9.85546875" style="33" customWidth="1"/>
    <col min="12830" max="12830" width="9.28515625" style="33" customWidth="1"/>
    <col min="12831" max="12831" width="10.42578125" style="33" customWidth="1"/>
    <col min="12832" max="12832" width="5.28515625" style="33" bestFit="1" customWidth="1"/>
    <col min="12833" max="12833" width="9.7109375" style="33" bestFit="1" customWidth="1"/>
    <col min="12834" max="12834" width="11" style="33" bestFit="1" customWidth="1"/>
    <col min="12835" max="12835" width="10.85546875" style="33" bestFit="1" customWidth="1"/>
    <col min="12836" max="12836" width="9.140625" style="33"/>
    <col min="12837" max="12837" width="3.85546875" style="33" bestFit="1" customWidth="1"/>
    <col min="12838" max="12838" width="7.28515625" style="33" bestFit="1" customWidth="1"/>
    <col min="12839" max="12841" width="9.140625" style="33"/>
    <col min="12842" max="12842" width="9.28515625" style="33" customWidth="1"/>
    <col min="12843" max="12843" width="9.28515625" style="33" bestFit="1" customWidth="1"/>
    <col min="12844" max="13056" width="9.140625" style="33"/>
    <col min="13057" max="13057" width="7.85546875" style="33" customWidth="1"/>
    <col min="13058" max="13058" width="12.140625" style="33" customWidth="1"/>
    <col min="13059" max="13059" width="6.28515625" style="33" customWidth="1"/>
    <col min="13060" max="13060" width="11.5703125" style="33" customWidth="1"/>
    <col min="13061" max="13061" width="7.85546875" style="33" customWidth="1"/>
    <col min="13062" max="13062" width="12.28515625" style="33" customWidth="1"/>
    <col min="13063" max="13063" width="5.28515625" style="33" customWidth="1"/>
    <col min="13064" max="13064" width="12.140625" style="33" bestFit="1" customWidth="1"/>
    <col min="13065" max="13065" width="5.7109375" style="33" customWidth="1"/>
    <col min="13066" max="13066" width="11.85546875" style="33" bestFit="1" customWidth="1"/>
    <col min="13067" max="13067" width="8" style="33" customWidth="1"/>
    <col min="13068" max="13068" width="12.5703125" style="33" customWidth="1"/>
    <col min="13069" max="13069" width="9" style="33" customWidth="1"/>
    <col min="13070" max="13070" width="11.7109375" style="33" bestFit="1" customWidth="1"/>
    <col min="13071" max="13071" width="9.42578125" style="33" customWidth="1"/>
    <col min="13072" max="13072" width="4.140625" style="33" customWidth="1"/>
    <col min="13073" max="13073" width="3.28515625" style="33" bestFit="1" customWidth="1"/>
    <col min="13074" max="13074" width="8.85546875" style="33" customWidth="1"/>
    <col min="13075" max="13075" width="10" style="33" bestFit="1" customWidth="1"/>
    <col min="13076" max="13077" width="9.42578125" style="33" customWidth="1"/>
    <col min="13078" max="13078" width="9.5703125" style="33" customWidth="1"/>
    <col min="13079" max="13079" width="9.85546875" style="33" customWidth="1"/>
    <col min="13080" max="13081" width="9.42578125" style="33" customWidth="1"/>
    <col min="13082" max="13082" width="9.85546875" style="33" customWidth="1"/>
    <col min="13083" max="13084" width="9.28515625" style="33" customWidth="1"/>
    <col min="13085" max="13085" width="9.85546875" style="33" customWidth="1"/>
    <col min="13086" max="13086" width="9.28515625" style="33" customWidth="1"/>
    <col min="13087" max="13087" width="10.42578125" style="33" customWidth="1"/>
    <col min="13088" max="13088" width="5.28515625" style="33" bestFit="1" customWidth="1"/>
    <col min="13089" max="13089" width="9.7109375" style="33" bestFit="1" customWidth="1"/>
    <col min="13090" max="13090" width="11" style="33" bestFit="1" customWidth="1"/>
    <col min="13091" max="13091" width="10.85546875" style="33" bestFit="1" customWidth="1"/>
    <col min="13092" max="13092" width="9.140625" style="33"/>
    <col min="13093" max="13093" width="3.85546875" style="33" bestFit="1" customWidth="1"/>
    <col min="13094" max="13094" width="7.28515625" style="33" bestFit="1" customWidth="1"/>
    <col min="13095" max="13097" width="9.140625" style="33"/>
    <col min="13098" max="13098" width="9.28515625" style="33" customWidth="1"/>
    <col min="13099" max="13099" width="9.28515625" style="33" bestFit="1" customWidth="1"/>
    <col min="13100" max="13312" width="9.140625" style="33"/>
    <col min="13313" max="13313" width="7.85546875" style="33" customWidth="1"/>
    <col min="13314" max="13314" width="12.140625" style="33" customWidth="1"/>
    <col min="13315" max="13315" width="6.28515625" style="33" customWidth="1"/>
    <col min="13316" max="13316" width="11.5703125" style="33" customWidth="1"/>
    <col min="13317" max="13317" width="7.85546875" style="33" customWidth="1"/>
    <col min="13318" max="13318" width="12.28515625" style="33" customWidth="1"/>
    <col min="13319" max="13319" width="5.28515625" style="33" customWidth="1"/>
    <col min="13320" max="13320" width="12.140625" style="33" bestFit="1" customWidth="1"/>
    <col min="13321" max="13321" width="5.7109375" style="33" customWidth="1"/>
    <col min="13322" max="13322" width="11.85546875" style="33" bestFit="1" customWidth="1"/>
    <col min="13323" max="13323" width="8" style="33" customWidth="1"/>
    <col min="13324" max="13324" width="12.5703125" style="33" customWidth="1"/>
    <col min="13325" max="13325" width="9" style="33" customWidth="1"/>
    <col min="13326" max="13326" width="11.7109375" style="33" bestFit="1" customWidth="1"/>
    <col min="13327" max="13327" width="9.42578125" style="33" customWidth="1"/>
    <col min="13328" max="13328" width="4.140625" style="33" customWidth="1"/>
    <col min="13329" max="13329" width="3.28515625" style="33" bestFit="1" customWidth="1"/>
    <col min="13330" max="13330" width="8.85546875" style="33" customWidth="1"/>
    <col min="13331" max="13331" width="10" style="33" bestFit="1" customWidth="1"/>
    <col min="13332" max="13333" width="9.42578125" style="33" customWidth="1"/>
    <col min="13334" max="13334" width="9.5703125" style="33" customWidth="1"/>
    <col min="13335" max="13335" width="9.85546875" style="33" customWidth="1"/>
    <col min="13336" max="13337" width="9.42578125" style="33" customWidth="1"/>
    <col min="13338" max="13338" width="9.85546875" style="33" customWidth="1"/>
    <col min="13339" max="13340" width="9.28515625" style="33" customWidth="1"/>
    <col min="13341" max="13341" width="9.85546875" style="33" customWidth="1"/>
    <col min="13342" max="13342" width="9.28515625" style="33" customWidth="1"/>
    <col min="13343" max="13343" width="10.42578125" style="33" customWidth="1"/>
    <col min="13344" max="13344" width="5.28515625" style="33" bestFit="1" customWidth="1"/>
    <col min="13345" max="13345" width="9.7109375" style="33" bestFit="1" customWidth="1"/>
    <col min="13346" max="13346" width="11" style="33" bestFit="1" customWidth="1"/>
    <col min="13347" max="13347" width="10.85546875" style="33" bestFit="1" customWidth="1"/>
    <col min="13348" max="13348" width="9.140625" style="33"/>
    <col min="13349" max="13349" width="3.85546875" style="33" bestFit="1" customWidth="1"/>
    <col min="13350" max="13350" width="7.28515625" style="33" bestFit="1" customWidth="1"/>
    <col min="13351" max="13353" width="9.140625" style="33"/>
    <col min="13354" max="13354" width="9.28515625" style="33" customWidth="1"/>
    <col min="13355" max="13355" width="9.28515625" style="33" bestFit="1" customWidth="1"/>
    <col min="13356" max="13568" width="9.140625" style="33"/>
    <col min="13569" max="13569" width="7.85546875" style="33" customWidth="1"/>
    <col min="13570" max="13570" width="12.140625" style="33" customWidth="1"/>
    <col min="13571" max="13571" width="6.28515625" style="33" customWidth="1"/>
    <col min="13572" max="13572" width="11.5703125" style="33" customWidth="1"/>
    <col min="13573" max="13573" width="7.85546875" style="33" customWidth="1"/>
    <col min="13574" max="13574" width="12.28515625" style="33" customWidth="1"/>
    <col min="13575" max="13575" width="5.28515625" style="33" customWidth="1"/>
    <col min="13576" max="13576" width="12.140625" style="33" bestFit="1" customWidth="1"/>
    <col min="13577" max="13577" width="5.7109375" style="33" customWidth="1"/>
    <col min="13578" max="13578" width="11.85546875" style="33" bestFit="1" customWidth="1"/>
    <col min="13579" max="13579" width="8" style="33" customWidth="1"/>
    <col min="13580" max="13580" width="12.5703125" style="33" customWidth="1"/>
    <col min="13581" max="13581" width="9" style="33" customWidth="1"/>
    <col min="13582" max="13582" width="11.7109375" style="33" bestFit="1" customWidth="1"/>
    <col min="13583" max="13583" width="9.42578125" style="33" customWidth="1"/>
    <col min="13584" max="13584" width="4.140625" style="33" customWidth="1"/>
    <col min="13585" max="13585" width="3.28515625" style="33" bestFit="1" customWidth="1"/>
    <col min="13586" max="13586" width="8.85546875" style="33" customWidth="1"/>
    <col min="13587" max="13587" width="10" style="33" bestFit="1" customWidth="1"/>
    <col min="13588" max="13589" width="9.42578125" style="33" customWidth="1"/>
    <col min="13590" max="13590" width="9.5703125" style="33" customWidth="1"/>
    <col min="13591" max="13591" width="9.85546875" style="33" customWidth="1"/>
    <col min="13592" max="13593" width="9.42578125" style="33" customWidth="1"/>
    <col min="13594" max="13594" width="9.85546875" style="33" customWidth="1"/>
    <col min="13595" max="13596" width="9.28515625" style="33" customWidth="1"/>
    <col min="13597" max="13597" width="9.85546875" style="33" customWidth="1"/>
    <col min="13598" max="13598" width="9.28515625" style="33" customWidth="1"/>
    <col min="13599" max="13599" width="10.42578125" style="33" customWidth="1"/>
    <col min="13600" max="13600" width="5.28515625" style="33" bestFit="1" customWidth="1"/>
    <col min="13601" max="13601" width="9.7109375" style="33" bestFit="1" customWidth="1"/>
    <col min="13602" max="13602" width="11" style="33" bestFit="1" customWidth="1"/>
    <col min="13603" max="13603" width="10.85546875" style="33" bestFit="1" customWidth="1"/>
    <col min="13604" max="13604" width="9.140625" style="33"/>
    <col min="13605" max="13605" width="3.85546875" style="33" bestFit="1" customWidth="1"/>
    <col min="13606" max="13606" width="7.28515625" style="33" bestFit="1" customWidth="1"/>
    <col min="13607" max="13609" width="9.140625" style="33"/>
    <col min="13610" max="13610" width="9.28515625" style="33" customWidth="1"/>
    <col min="13611" max="13611" width="9.28515625" style="33" bestFit="1" customWidth="1"/>
    <col min="13612" max="13824" width="9.140625" style="33"/>
    <col min="13825" max="13825" width="7.85546875" style="33" customWidth="1"/>
    <col min="13826" max="13826" width="12.140625" style="33" customWidth="1"/>
    <col min="13827" max="13827" width="6.28515625" style="33" customWidth="1"/>
    <col min="13828" max="13828" width="11.5703125" style="33" customWidth="1"/>
    <col min="13829" max="13829" width="7.85546875" style="33" customWidth="1"/>
    <col min="13830" max="13830" width="12.28515625" style="33" customWidth="1"/>
    <col min="13831" max="13831" width="5.28515625" style="33" customWidth="1"/>
    <col min="13832" max="13832" width="12.140625" style="33" bestFit="1" customWidth="1"/>
    <col min="13833" max="13833" width="5.7109375" style="33" customWidth="1"/>
    <col min="13834" max="13834" width="11.85546875" style="33" bestFit="1" customWidth="1"/>
    <col min="13835" max="13835" width="8" style="33" customWidth="1"/>
    <col min="13836" max="13836" width="12.5703125" style="33" customWidth="1"/>
    <col min="13837" max="13837" width="9" style="33" customWidth="1"/>
    <col min="13838" max="13838" width="11.7109375" style="33" bestFit="1" customWidth="1"/>
    <col min="13839" max="13839" width="9.42578125" style="33" customWidth="1"/>
    <col min="13840" max="13840" width="4.140625" style="33" customWidth="1"/>
    <col min="13841" max="13841" width="3.28515625" style="33" bestFit="1" customWidth="1"/>
    <col min="13842" max="13842" width="8.85546875" style="33" customWidth="1"/>
    <col min="13843" max="13843" width="10" style="33" bestFit="1" customWidth="1"/>
    <col min="13844" max="13845" width="9.42578125" style="33" customWidth="1"/>
    <col min="13846" max="13846" width="9.5703125" style="33" customWidth="1"/>
    <col min="13847" max="13847" width="9.85546875" style="33" customWidth="1"/>
    <col min="13848" max="13849" width="9.42578125" style="33" customWidth="1"/>
    <col min="13850" max="13850" width="9.85546875" style="33" customWidth="1"/>
    <col min="13851" max="13852" width="9.28515625" style="33" customWidth="1"/>
    <col min="13853" max="13853" width="9.85546875" style="33" customWidth="1"/>
    <col min="13854" max="13854" width="9.28515625" style="33" customWidth="1"/>
    <col min="13855" max="13855" width="10.42578125" style="33" customWidth="1"/>
    <col min="13856" max="13856" width="5.28515625" style="33" bestFit="1" customWidth="1"/>
    <col min="13857" max="13857" width="9.7109375" style="33" bestFit="1" customWidth="1"/>
    <col min="13858" max="13858" width="11" style="33" bestFit="1" customWidth="1"/>
    <col min="13859" max="13859" width="10.85546875" style="33" bestFit="1" customWidth="1"/>
    <col min="13860" max="13860" width="9.140625" style="33"/>
    <col min="13861" max="13861" width="3.85546875" style="33" bestFit="1" customWidth="1"/>
    <col min="13862" max="13862" width="7.28515625" style="33" bestFit="1" customWidth="1"/>
    <col min="13863" max="13865" width="9.140625" style="33"/>
    <col min="13866" max="13866" width="9.28515625" style="33" customWidth="1"/>
    <col min="13867" max="13867" width="9.28515625" style="33" bestFit="1" customWidth="1"/>
    <col min="13868" max="14080" width="9.140625" style="33"/>
    <col min="14081" max="14081" width="7.85546875" style="33" customWidth="1"/>
    <col min="14082" max="14082" width="12.140625" style="33" customWidth="1"/>
    <col min="14083" max="14083" width="6.28515625" style="33" customWidth="1"/>
    <col min="14084" max="14084" width="11.5703125" style="33" customWidth="1"/>
    <col min="14085" max="14085" width="7.85546875" style="33" customWidth="1"/>
    <col min="14086" max="14086" width="12.28515625" style="33" customWidth="1"/>
    <col min="14087" max="14087" width="5.28515625" style="33" customWidth="1"/>
    <col min="14088" max="14088" width="12.140625" style="33" bestFit="1" customWidth="1"/>
    <col min="14089" max="14089" width="5.7109375" style="33" customWidth="1"/>
    <col min="14090" max="14090" width="11.85546875" style="33" bestFit="1" customWidth="1"/>
    <col min="14091" max="14091" width="8" style="33" customWidth="1"/>
    <col min="14092" max="14092" width="12.5703125" style="33" customWidth="1"/>
    <col min="14093" max="14093" width="9" style="33" customWidth="1"/>
    <col min="14094" max="14094" width="11.7109375" style="33" bestFit="1" customWidth="1"/>
    <col min="14095" max="14095" width="9.42578125" style="33" customWidth="1"/>
    <col min="14096" max="14096" width="4.140625" style="33" customWidth="1"/>
    <col min="14097" max="14097" width="3.28515625" style="33" bestFit="1" customWidth="1"/>
    <col min="14098" max="14098" width="8.85546875" style="33" customWidth="1"/>
    <col min="14099" max="14099" width="10" style="33" bestFit="1" customWidth="1"/>
    <col min="14100" max="14101" width="9.42578125" style="33" customWidth="1"/>
    <col min="14102" max="14102" width="9.5703125" style="33" customWidth="1"/>
    <col min="14103" max="14103" width="9.85546875" style="33" customWidth="1"/>
    <col min="14104" max="14105" width="9.42578125" style="33" customWidth="1"/>
    <col min="14106" max="14106" width="9.85546875" style="33" customWidth="1"/>
    <col min="14107" max="14108" width="9.28515625" style="33" customWidth="1"/>
    <col min="14109" max="14109" width="9.85546875" style="33" customWidth="1"/>
    <col min="14110" max="14110" width="9.28515625" style="33" customWidth="1"/>
    <col min="14111" max="14111" width="10.42578125" style="33" customWidth="1"/>
    <col min="14112" max="14112" width="5.28515625" style="33" bestFit="1" customWidth="1"/>
    <col min="14113" max="14113" width="9.7109375" style="33" bestFit="1" customWidth="1"/>
    <col min="14114" max="14114" width="11" style="33" bestFit="1" customWidth="1"/>
    <col min="14115" max="14115" width="10.85546875" style="33" bestFit="1" customWidth="1"/>
    <col min="14116" max="14116" width="9.140625" style="33"/>
    <col min="14117" max="14117" width="3.85546875" style="33" bestFit="1" customWidth="1"/>
    <col min="14118" max="14118" width="7.28515625" style="33" bestFit="1" customWidth="1"/>
    <col min="14119" max="14121" width="9.140625" style="33"/>
    <col min="14122" max="14122" width="9.28515625" style="33" customWidth="1"/>
    <col min="14123" max="14123" width="9.28515625" style="33" bestFit="1" customWidth="1"/>
    <col min="14124" max="14336" width="9.140625" style="33"/>
    <col min="14337" max="14337" width="7.85546875" style="33" customWidth="1"/>
    <col min="14338" max="14338" width="12.140625" style="33" customWidth="1"/>
    <col min="14339" max="14339" width="6.28515625" style="33" customWidth="1"/>
    <col min="14340" max="14340" width="11.5703125" style="33" customWidth="1"/>
    <col min="14341" max="14341" width="7.85546875" style="33" customWidth="1"/>
    <col min="14342" max="14342" width="12.28515625" style="33" customWidth="1"/>
    <col min="14343" max="14343" width="5.28515625" style="33" customWidth="1"/>
    <col min="14344" max="14344" width="12.140625" style="33" bestFit="1" customWidth="1"/>
    <col min="14345" max="14345" width="5.7109375" style="33" customWidth="1"/>
    <col min="14346" max="14346" width="11.85546875" style="33" bestFit="1" customWidth="1"/>
    <col min="14347" max="14347" width="8" style="33" customWidth="1"/>
    <col min="14348" max="14348" width="12.5703125" style="33" customWidth="1"/>
    <col min="14349" max="14349" width="9" style="33" customWidth="1"/>
    <col min="14350" max="14350" width="11.7109375" style="33" bestFit="1" customWidth="1"/>
    <col min="14351" max="14351" width="9.42578125" style="33" customWidth="1"/>
    <col min="14352" max="14352" width="4.140625" style="33" customWidth="1"/>
    <col min="14353" max="14353" width="3.28515625" style="33" bestFit="1" customWidth="1"/>
    <col min="14354" max="14354" width="8.85546875" style="33" customWidth="1"/>
    <col min="14355" max="14355" width="10" style="33" bestFit="1" customWidth="1"/>
    <col min="14356" max="14357" width="9.42578125" style="33" customWidth="1"/>
    <col min="14358" max="14358" width="9.5703125" style="33" customWidth="1"/>
    <col min="14359" max="14359" width="9.85546875" style="33" customWidth="1"/>
    <col min="14360" max="14361" width="9.42578125" style="33" customWidth="1"/>
    <col min="14362" max="14362" width="9.85546875" style="33" customWidth="1"/>
    <col min="14363" max="14364" width="9.28515625" style="33" customWidth="1"/>
    <col min="14365" max="14365" width="9.85546875" style="33" customWidth="1"/>
    <col min="14366" max="14366" width="9.28515625" style="33" customWidth="1"/>
    <col min="14367" max="14367" width="10.42578125" style="33" customWidth="1"/>
    <col min="14368" max="14368" width="5.28515625" style="33" bestFit="1" customWidth="1"/>
    <col min="14369" max="14369" width="9.7109375" style="33" bestFit="1" customWidth="1"/>
    <col min="14370" max="14370" width="11" style="33" bestFit="1" customWidth="1"/>
    <col min="14371" max="14371" width="10.85546875" style="33" bestFit="1" customWidth="1"/>
    <col min="14372" max="14372" width="9.140625" style="33"/>
    <col min="14373" max="14373" width="3.85546875" style="33" bestFit="1" customWidth="1"/>
    <col min="14374" max="14374" width="7.28515625" style="33" bestFit="1" customWidth="1"/>
    <col min="14375" max="14377" width="9.140625" style="33"/>
    <col min="14378" max="14378" width="9.28515625" style="33" customWidth="1"/>
    <col min="14379" max="14379" width="9.28515625" style="33" bestFit="1" customWidth="1"/>
    <col min="14380" max="14592" width="9.140625" style="33"/>
    <col min="14593" max="14593" width="7.85546875" style="33" customWidth="1"/>
    <col min="14594" max="14594" width="12.140625" style="33" customWidth="1"/>
    <col min="14595" max="14595" width="6.28515625" style="33" customWidth="1"/>
    <col min="14596" max="14596" width="11.5703125" style="33" customWidth="1"/>
    <col min="14597" max="14597" width="7.85546875" style="33" customWidth="1"/>
    <col min="14598" max="14598" width="12.28515625" style="33" customWidth="1"/>
    <col min="14599" max="14599" width="5.28515625" style="33" customWidth="1"/>
    <col min="14600" max="14600" width="12.140625" style="33" bestFit="1" customWidth="1"/>
    <col min="14601" max="14601" width="5.7109375" style="33" customWidth="1"/>
    <col min="14602" max="14602" width="11.85546875" style="33" bestFit="1" customWidth="1"/>
    <col min="14603" max="14603" width="8" style="33" customWidth="1"/>
    <col min="14604" max="14604" width="12.5703125" style="33" customWidth="1"/>
    <col min="14605" max="14605" width="9" style="33" customWidth="1"/>
    <col min="14606" max="14606" width="11.7109375" style="33" bestFit="1" customWidth="1"/>
    <col min="14607" max="14607" width="9.42578125" style="33" customWidth="1"/>
    <col min="14608" max="14608" width="4.140625" style="33" customWidth="1"/>
    <col min="14609" max="14609" width="3.28515625" style="33" bestFit="1" customWidth="1"/>
    <col min="14610" max="14610" width="8.85546875" style="33" customWidth="1"/>
    <col min="14611" max="14611" width="10" style="33" bestFit="1" customWidth="1"/>
    <col min="14612" max="14613" width="9.42578125" style="33" customWidth="1"/>
    <col min="14614" max="14614" width="9.5703125" style="33" customWidth="1"/>
    <col min="14615" max="14615" width="9.85546875" style="33" customWidth="1"/>
    <col min="14616" max="14617" width="9.42578125" style="33" customWidth="1"/>
    <col min="14618" max="14618" width="9.85546875" style="33" customWidth="1"/>
    <col min="14619" max="14620" width="9.28515625" style="33" customWidth="1"/>
    <col min="14621" max="14621" width="9.85546875" style="33" customWidth="1"/>
    <col min="14622" max="14622" width="9.28515625" style="33" customWidth="1"/>
    <col min="14623" max="14623" width="10.42578125" style="33" customWidth="1"/>
    <col min="14624" max="14624" width="5.28515625" style="33" bestFit="1" customWidth="1"/>
    <col min="14625" max="14625" width="9.7109375" style="33" bestFit="1" customWidth="1"/>
    <col min="14626" max="14626" width="11" style="33" bestFit="1" customWidth="1"/>
    <col min="14627" max="14627" width="10.85546875" style="33" bestFit="1" customWidth="1"/>
    <col min="14628" max="14628" width="9.140625" style="33"/>
    <col min="14629" max="14629" width="3.85546875" style="33" bestFit="1" customWidth="1"/>
    <col min="14630" max="14630" width="7.28515625" style="33" bestFit="1" customWidth="1"/>
    <col min="14631" max="14633" width="9.140625" style="33"/>
    <col min="14634" max="14634" width="9.28515625" style="33" customWidth="1"/>
    <col min="14635" max="14635" width="9.28515625" style="33" bestFit="1" customWidth="1"/>
    <col min="14636" max="14848" width="9.140625" style="33"/>
    <col min="14849" max="14849" width="7.85546875" style="33" customWidth="1"/>
    <col min="14850" max="14850" width="12.140625" style="33" customWidth="1"/>
    <col min="14851" max="14851" width="6.28515625" style="33" customWidth="1"/>
    <col min="14852" max="14852" width="11.5703125" style="33" customWidth="1"/>
    <col min="14853" max="14853" width="7.85546875" style="33" customWidth="1"/>
    <col min="14854" max="14854" width="12.28515625" style="33" customWidth="1"/>
    <col min="14855" max="14855" width="5.28515625" style="33" customWidth="1"/>
    <col min="14856" max="14856" width="12.140625" style="33" bestFit="1" customWidth="1"/>
    <col min="14857" max="14857" width="5.7109375" style="33" customWidth="1"/>
    <col min="14858" max="14858" width="11.85546875" style="33" bestFit="1" customWidth="1"/>
    <col min="14859" max="14859" width="8" style="33" customWidth="1"/>
    <col min="14860" max="14860" width="12.5703125" style="33" customWidth="1"/>
    <col min="14861" max="14861" width="9" style="33" customWidth="1"/>
    <col min="14862" max="14862" width="11.7109375" style="33" bestFit="1" customWidth="1"/>
    <col min="14863" max="14863" width="9.42578125" style="33" customWidth="1"/>
    <col min="14864" max="14864" width="4.140625" style="33" customWidth="1"/>
    <col min="14865" max="14865" width="3.28515625" style="33" bestFit="1" customWidth="1"/>
    <col min="14866" max="14866" width="8.85546875" style="33" customWidth="1"/>
    <col min="14867" max="14867" width="10" style="33" bestFit="1" customWidth="1"/>
    <col min="14868" max="14869" width="9.42578125" style="33" customWidth="1"/>
    <col min="14870" max="14870" width="9.5703125" style="33" customWidth="1"/>
    <col min="14871" max="14871" width="9.85546875" style="33" customWidth="1"/>
    <col min="14872" max="14873" width="9.42578125" style="33" customWidth="1"/>
    <col min="14874" max="14874" width="9.85546875" style="33" customWidth="1"/>
    <col min="14875" max="14876" width="9.28515625" style="33" customWidth="1"/>
    <col min="14877" max="14877" width="9.85546875" style="33" customWidth="1"/>
    <col min="14878" max="14878" width="9.28515625" style="33" customWidth="1"/>
    <col min="14879" max="14879" width="10.42578125" style="33" customWidth="1"/>
    <col min="14880" max="14880" width="5.28515625" style="33" bestFit="1" customWidth="1"/>
    <col min="14881" max="14881" width="9.7109375" style="33" bestFit="1" customWidth="1"/>
    <col min="14882" max="14882" width="11" style="33" bestFit="1" customWidth="1"/>
    <col min="14883" max="14883" width="10.85546875" style="33" bestFit="1" customWidth="1"/>
    <col min="14884" max="14884" width="9.140625" style="33"/>
    <col min="14885" max="14885" width="3.85546875" style="33" bestFit="1" customWidth="1"/>
    <col min="14886" max="14886" width="7.28515625" style="33" bestFit="1" customWidth="1"/>
    <col min="14887" max="14889" width="9.140625" style="33"/>
    <col min="14890" max="14890" width="9.28515625" style="33" customWidth="1"/>
    <col min="14891" max="14891" width="9.28515625" style="33" bestFit="1" customWidth="1"/>
    <col min="14892" max="15104" width="9.140625" style="33"/>
    <col min="15105" max="15105" width="7.85546875" style="33" customWidth="1"/>
    <col min="15106" max="15106" width="12.140625" style="33" customWidth="1"/>
    <col min="15107" max="15107" width="6.28515625" style="33" customWidth="1"/>
    <col min="15108" max="15108" width="11.5703125" style="33" customWidth="1"/>
    <col min="15109" max="15109" width="7.85546875" style="33" customWidth="1"/>
    <col min="15110" max="15110" width="12.28515625" style="33" customWidth="1"/>
    <col min="15111" max="15111" width="5.28515625" style="33" customWidth="1"/>
    <col min="15112" max="15112" width="12.140625" style="33" bestFit="1" customWidth="1"/>
    <col min="15113" max="15113" width="5.7109375" style="33" customWidth="1"/>
    <col min="15114" max="15114" width="11.85546875" style="33" bestFit="1" customWidth="1"/>
    <col min="15115" max="15115" width="8" style="33" customWidth="1"/>
    <col min="15116" max="15116" width="12.5703125" style="33" customWidth="1"/>
    <col min="15117" max="15117" width="9" style="33" customWidth="1"/>
    <col min="15118" max="15118" width="11.7109375" style="33" bestFit="1" customWidth="1"/>
    <col min="15119" max="15119" width="9.42578125" style="33" customWidth="1"/>
    <col min="15120" max="15120" width="4.140625" style="33" customWidth="1"/>
    <col min="15121" max="15121" width="3.28515625" style="33" bestFit="1" customWidth="1"/>
    <col min="15122" max="15122" width="8.85546875" style="33" customWidth="1"/>
    <col min="15123" max="15123" width="10" style="33" bestFit="1" customWidth="1"/>
    <col min="15124" max="15125" width="9.42578125" style="33" customWidth="1"/>
    <col min="15126" max="15126" width="9.5703125" style="33" customWidth="1"/>
    <col min="15127" max="15127" width="9.85546875" style="33" customWidth="1"/>
    <col min="15128" max="15129" width="9.42578125" style="33" customWidth="1"/>
    <col min="15130" max="15130" width="9.85546875" style="33" customWidth="1"/>
    <col min="15131" max="15132" width="9.28515625" style="33" customWidth="1"/>
    <col min="15133" max="15133" width="9.85546875" style="33" customWidth="1"/>
    <col min="15134" max="15134" width="9.28515625" style="33" customWidth="1"/>
    <col min="15135" max="15135" width="10.42578125" style="33" customWidth="1"/>
    <col min="15136" max="15136" width="5.28515625" style="33" bestFit="1" customWidth="1"/>
    <col min="15137" max="15137" width="9.7109375" style="33" bestFit="1" customWidth="1"/>
    <col min="15138" max="15138" width="11" style="33" bestFit="1" customWidth="1"/>
    <col min="15139" max="15139" width="10.85546875" style="33" bestFit="1" customWidth="1"/>
    <col min="15140" max="15140" width="9.140625" style="33"/>
    <col min="15141" max="15141" width="3.85546875" style="33" bestFit="1" customWidth="1"/>
    <col min="15142" max="15142" width="7.28515625" style="33" bestFit="1" customWidth="1"/>
    <col min="15143" max="15145" width="9.140625" style="33"/>
    <col min="15146" max="15146" width="9.28515625" style="33" customWidth="1"/>
    <col min="15147" max="15147" width="9.28515625" style="33" bestFit="1" customWidth="1"/>
    <col min="15148" max="15360" width="9.140625" style="33"/>
    <col min="15361" max="15361" width="7.85546875" style="33" customWidth="1"/>
    <col min="15362" max="15362" width="12.140625" style="33" customWidth="1"/>
    <col min="15363" max="15363" width="6.28515625" style="33" customWidth="1"/>
    <col min="15364" max="15364" width="11.5703125" style="33" customWidth="1"/>
    <col min="15365" max="15365" width="7.85546875" style="33" customWidth="1"/>
    <col min="15366" max="15366" width="12.28515625" style="33" customWidth="1"/>
    <col min="15367" max="15367" width="5.28515625" style="33" customWidth="1"/>
    <col min="15368" max="15368" width="12.140625" style="33" bestFit="1" customWidth="1"/>
    <col min="15369" max="15369" width="5.7109375" style="33" customWidth="1"/>
    <col min="15370" max="15370" width="11.85546875" style="33" bestFit="1" customWidth="1"/>
    <col min="15371" max="15371" width="8" style="33" customWidth="1"/>
    <col min="15372" max="15372" width="12.5703125" style="33" customWidth="1"/>
    <col min="15373" max="15373" width="9" style="33" customWidth="1"/>
    <col min="15374" max="15374" width="11.7109375" style="33" bestFit="1" customWidth="1"/>
    <col min="15375" max="15375" width="9.42578125" style="33" customWidth="1"/>
    <col min="15376" max="15376" width="4.140625" style="33" customWidth="1"/>
    <col min="15377" max="15377" width="3.28515625" style="33" bestFit="1" customWidth="1"/>
    <col min="15378" max="15378" width="8.85546875" style="33" customWidth="1"/>
    <col min="15379" max="15379" width="10" style="33" bestFit="1" customWidth="1"/>
    <col min="15380" max="15381" width="9.42578125" style="33" customWidth="1"/>
    <col min="15382" max="15382" width="9.5703125" style="33" customWidth="1"/>
    <col min="15383" max="15383" width="9.85546875" style="33" customWidth="1"/>
    <col min="15384" max="15385" width="9.42578125" style="33" customWidth="1"/>
    <col min="15386" max="15386" width="9.85546875" style="33" customWidth="1"/>
    <col min="15387" max="15388" width="9.28515625" style="33" customWidth="1"/>
    <col min="15389" max="15389" width="9.85546875" style="33" customWidth="1"/>
    <col min="15390" max="15390" width="9.28515625" style="33" customWidth="1"/>
    <col min="15391" max="15391" width="10.42578125" style="33" customWidth="1"/>
    <col min="15392" max="15392" width="5.28515625" style="33" bestFit="1" customWidth="1"/>
    <col min="15393" max="15393" width="9.7109375" style="33" bestFit="1" customWidth="1"/>
    <col min="15394" max="15394" width="11" style="33" bestFit="1" customWidth="1"/>
    <col min="15395" max="15395" width="10.85546875" style="33" bestFit="1" customWidth="1"/>
    <col min="15396" max="15396" width="9.140625" style="33"/>
    <col min="15397" max="15397" width="3.85546875" style="33" bestFit="1" customWidth="1"/>
    <col min="15398" max="15398" width="7.28515625" style="33" bestFit="1" customWidth="1"/>
    <col min="15399" max="15401" width="9.140625" style="33"/>
    <col min="15402" max="15402" width="9.28515625" style="33" customWidth="1"/>
    <col min="15403" max="15403" width="9.28515625" style="33" bestFit="1" customWidth="1"/>
    <col min="15404" max="15616" width="9.140625" style="33"/>
    <col min="15617" max="15617" width="7.85546875" style="33" customWidth="1"/>
    <col min="15618" max="15618" width="12.140625" style="33" customWidth="1"/>
    <col min="15619" max="15619" width="6.28515625" style="33" customWidth="1"/>
    <col min="15620" max="15620" width="11.5703125" style="33" customWidth="1"/>
    <col min="15621" max="15621" width="7.85546875" style="33" customWidth="1"/>
    <col min="15622" max="15622" width="12.28515625" style="33" customWidth="1"/>
    <col min="15623" max="15623" width="5.28515625" style="33" customWidth="1"/>
    <col min="15624" max="15624" width="12.140625" style="33" bestFit="1" customWidth="1"/>
    <col min="15625" max="15625" width="5.7109375" style="33" customWidth="1"/>
    <col min="15626" max="15626" width="11.85546875" style="33" bestFit="1" customWidth="1"/>
    <col min="15627" max="15627" width="8" style="33" customWidth="1"/>
    <col min="15628" max="15628" width="12.5703125" style="33" customWidth="1"/>
    <col min="15629" max="15629" width="9" style="33" customWidth="1"/>
    <col min="15630" max="15630" width="11.7109375" style="33" bestFit="1" customWidth="1"/>
    <col min="15631" max="15631" width="9.42578125" style="33" customWidth="1"/>
    <col min="15632" max="15632" width="4.140625" style="33" customWidth="1"/>
    <col min="15633" max="15633" width="3.28515625" style="33" bestFit="1" customWidth="1"/>
    <col min="15634" max="15634" width="8.85546875" style="33" customWidth="1"/>
    <col min="15635" max="15635" width="10" style="33" bestFit="1" customWidth="1"/>
    <col min="15636" max="15637" width="9.42578125" style="33" customWidth="1"/>
    <col min="15638" max="15638" width="9.5703125" style="33" customWidth="1"/>
    <col min="15639" max="15639" width="9.85546875" style="33" customWidth="1"/>
    <col min="15640" max="15641" width="9.42578125" style="33" customWidth="1"/>
    <col min="15642" max="15642" width="9.85546875" style="33" customWidth="1"/>
    <col min="15643" max="15644" width="9.28515625" style="33" customWidth="1"/>
    <col min="15645" max="15645" width="9.85546875" style="33" customWidth="1"/>
    <col min="15646" max="15646" width="9.28515625" style="33" customWidth="1"/>
    <col min="15647" max="15647" width="10.42578125" style="33" customWidth="1"/>
    <col min="15648" max="15648" width="5.28515625" style="33" bestFit="1" customWidth="1"/>
    <col min="15649" max="15649" width="9.7109375" style="33" bestFit="1" customWidth="1"/>
    <col min="15650" max="15650" width="11" style="33" bestFit="1" customWidth="1"/>
    <col min="15651" max="15651" width="10.85546875" style="33" bestFit="1" customWidth="1"/>
    <col min="15652" max="15652" width="9.140625" style="33"/>
    <col min="15653" max="15653" width="3.85546875" style="33" bestFit="1" customWidth="1"/>
    <col min="15654" max="15654" width="7.28515625" style="33" bestFit="1" customWidth="1"/>
    <col min="15655" max="15657" width="9.140625" style="33"/>
    <col min="15658" max="15658" width="9.28515625" style="33" customWidth="1"/>
    <col min="15659" max="15659" width="9.28515625" style="33" bestFit="1" customWidth="1"/>
    <col min="15660" max="15872" width="9.140625" style="33"/>
    <col min="15873" max="15873" width="7.85546875" style="33" customWidth="1"/>
    <col min="15874" max="15874" width="12.140625" style="33" customWidth="1"/>
    <col min="15875" max="15875" width="6.28515625" style="33" customWidth="1"/>
    <col min="15876" max="15876" width="11.5703125" style="33" customWidth="1"/>
    <col min="15877" max="15877" width="7.85546875" style="33" customWidth="1"/>
    <col min="15878" max="15878" width="12.28515625" style="33" customWidth="1"/>
    <col min="15879" max="15879" width="5.28515625" style="33" customWidth="1"/>
    <col min="15880" max="15880" width="12.140625" style="33" bestFit="1" customWidth="1"/>
    <col min="15881" max="15881" width="5.7109375" style="33" customWidth="1"/>
    <col min="15882" max="15882" width="11.85546875" style="33" bestFit="1" customWidth="1"/>
    <col min="15883" max="15883" width="8" style="33" customWidth="1"/>
    <col min="15884" max="15884" width="12.5703125" style="33" customWidth="1"/>
    <col min="15885" max="15885" width="9" style="33" customWidth="1"/>
    <col min="15886" max="15886" width="11.7109375" style="33" bestFit="1" customWidth="1"/>
    <col min="15887" max="15887" width="9.42578125" style="33" customWidth="1"/>
    <col min="15888" max="15888" width="4.140625" style="33" customWidth="1"/>
    <col min="15889" max="15889" width="3.28515625" style="33" bestFit="1" customWidth="1"/>
    <col min="15890" max="15890" width="8.85546875" style="33" customWidth="1"/>
    <col min="15891" max="15891" width="10" style="33" bestFit="1" customWidth="1"/>
    <col min="15892" max="15893" width="9.42578125" style="33" customWidth="1"/>
    <col min="15894" max="15894" width="9.5703125" style="33" customWidth="1"/>
    <col min="15895" max="15895" width="9.85546875" style="33" customWidth="1"/>
    <col min="15896" max="15897" width="9.42578125" style="33" customWidth="1"/>
    <col min="15898" max="15898" width="9.85546875" style="33" customWidth="1"/>
    <col min="15899" max="15900" width="9.28515625" style="33" customWidth="1"/>
    <col min="15901" max="15901" width="9.85546875" style="33" customWidth="1"/>
    <col min="15902" max="15902" width="9.28515625" style="33" customWidth="1"/>
    <col min="15903" max="15903" width="10.42578125" style="33" customWidth="1"/>
    <col min="15904" max="15904" width="5.28515625" style="33" bestFit="1" customWidth="1"/>
    <col min="15905" max="15905" width="9.7109375" style="33" bestFit="1" customWidth="1"/>
    <col min="15906" max="15906" width="11" style="33" bestFit="1" customWidth="1"/>
    <col min="15907" max="15907" width="10.85546875" style="33" bestFit="1" customWidth="1"/>
    <col min="15908" max="15908" width="9.140625" style="33"/>
    <col min="15909" max="15909" width="3.85546875" style="33" bestFit="1" customWidth="1"/>
    <col min="15910" max="15910" width="7.28515625" style="33" bestFit="1" customWidth="1"/>
    <col min="15911" max="15913" width="9.140625" style="33"/>
    <col min="15914" max="15914" width="9.28515625" style="33" customWidth="1"/>
    <col min="15915" max="15915" width="9.28515625" style="33" bestFit="1" customWidth="1"/>
    <col min="15916" max="16128" width="9.140625" style="33"/>
    <col min="16129" max="16129" width="7.85546875" style="33" customWidth="1"/>
    <col min="16130" max="16130" width="12.140625" style="33" customWidth="1"/>
    <col min="16131" max="16131" width="6.28515625" style="33" customWidth="1"/>
    <col min="16132" max="16132" width="11.5703125" style="33" customWidth="1"/>
    <col min="16133" max="16133" width="7.85546875" style="33" customWidth="1"/>
    <col min="16134" max="16134" width="12.28515625" style="33" customWidth="1"/>
    <col min="16135" max="16135" width="5.28515625" style="33" customWidth="1"/>
    <col min="16136" max="16136" width="12.140625" style="33" bestFit="1" customWidth="1"/>
    <col min="16137" max="16137" width="5.7109375" style="33" customWidth="1"/>
    <col min="16138" max="16138" width="11.85546875" style="33" bestFit="1" customWidth="1"/>
    <col min="16139" max="16139" width="8" style="33" customWidth="1"/>
    <col min="16140" max="16140" width="12.5703125" style="33" customWidth="1"/>
    <col min="16141" max="16141" width="9" style="33" customWidth="1"/>
    <col min="16142" max="16142" width="11.7109375" style="33" bestFit="1" customWidth="1"/>
    <col min="16143" max="16143" width="9.42578125" style="33" customWidth="1"/>
    <col min="16144" max="16144" width="4.140625" style="33" customWidth="1"/>
    <col min="16145" max="16145" width="3.28515625" style="33" bestFit="1" customWidth="1"/>
    <col min="16146" max="16146" width="8.85546875" style="33" customWidth="1"/>
    <col min="16147" max="16147" width="10" style="33" bestFit="1" customWidth="1"/>
    <col min="16148" max="16149" width="9.42578125" style="33" customWidth="1"/>
    <col min="16150" max="16150" width="9.5703125" style="33" customWidth="1"/>
    <col min="16151" max="16151" width="9.85546875" style="33" customWidth="1"/>
    <col min="16152" max="16153" width="9.42578125" style="33" customWidth="1"/>
    <col min="16154" max="16154" width="9.85546875" style="33" customWidth="1"/>
    <col min="16155" max="16156" width="9.28515625" style="33" customWidth="1"/>
    <col min="16157" max="16157" width="9.85546875" style="33" customWidth="1"/>
    <col min="16158" max="16158" width="9.28515625" style="33" customWidth="1"/>
    <col min="16159" max="16159" width="10.42578125" style="33" customWidth="1"/>
    <col min="16160" max="16160" width="5.28515625" style="33" bestFit="1" customWidth="1"/>
    <col min="16161" max="16161" width="9.7109375" style="33" bestFit="1" customWidth="1"/>
    <col min="16162" max="16162" width="11" style="33" bestFit="1" customWidth="1"/>
    <col min="16163" max="16163" width="10.85546875" style="33" bestFit="1" customWidth="1"/>
    <col min="16164" max="16164" width="9.140625" style="33"/>
    <col min="16165" max="16165" width="3.85546875" style="33" bestFit="1" customWidth="1"/>
    <col min="16166" max="16166" width="7.28515625" style="33" bestFit="1" customWidth="1"/>
    <col min="16167" max="16169" width="9.140625" style="33"/>
    <col min="16170" max="16170" width="9.28515625" style="33" customWidth="1"/>
    <col min="16171" max="16171" width="9.28515625" style="33" bestFit="1" customWidth="1"/>
    <col min="16172" max="16384" width="9.140625" style="33"/>
  </cols>
  <sheetData>
    <row r="1" spans="1:35" x14ac:dyDescent="0.15">
      <c r="A1" s="168"/>
      <c r="B1" s="168"/>
      <c r="C1" s="168"/>
      <c r="D1" s="168"/>
      <c r="E1" s="169" t="s">
        <v>813</v>
      </c>
      <c r="F1" s="168"/>
      <c r="G1" s="168"/>
      <c r="H1" s="168"/>
      <c r="I1" s="168"/>
      <c r="J1" s="168"/>
      <c r="K1" s="168"/>
      <c r="L1" s="168"/>
      <c r="M1" s="168"/>
      <c r="N1" s="168"/>
      <c r="O1" s="168"/>
      <c r="U1" s="78" t="s">
        <v>811</v>
      </c>
    </row>
    <row r="2" spans="1:35" x14ac:dyDescent="0.15">
      <c r="A2" s="168"/>
      <c r="B2" s="168"/>
      <c r="C2" s="168"/>
      <c r="D2" s="168"/>
      <c r="E2" s="168"/>
      <c r="F2" s="168"/>
      <c r="G2" s="168"/>
      <c r="H2" s="168"/>
      <c r="I2" s="168"/>
      <c r="J2" s="168"/>
      <c r="K2" s="168"/>
      <c r="L2" s="168"/>
      <c r="M2" s="168"/>
      <c r="N2" s="168"/>
      <c r="O2" s="168"/>
      <c r="U2" s="78" t="s">
        <v>815</v>
      </c>
    </row>
    <row r="3" spans="1:35" x14ac:dyDescent="0.15">
      <c r="A3" s="170" t="s">
        <v>166</v>
      </c>
      <c r="B3" s="1205" t="s">
        <v>167</v>
      </c>
      <c r="C3" s="1205"/>
      <c r="D3" s="1205"/>
      <c r="E3" s="1205"/>
      <c r="F3" s="1205"/>
      <c r="G3" s="1205"/>
      <c r="H3" s="1205"/>
      <c r="I3" s="1205"/>
      <c r="J3" s="1205"/>
      <c r="K3" s="1205"/>
      <c r="L3" s="1205" t="s">
        <v>168</v>
      </c>
      <c r="M3" s="1205"/>
      <c r="N3" s="1206" t="s">
        <v>169</v>
      </c>
      <c r="O3" s="1207"/>
      <c r="P3" s="171"/>
      <c r="Q3" s="66" t="s">
        <v>50</v>
      </c>
      <c r="R3" s="172" t="s">
        <v>51</v>
      </c>
      <c r="S3" s="66" t="s">
        <v>170</v>
      </c>
      <c r="T3" s="66" t="s">
        <v>171</v>
      </c>
      <c r="U3" s="66" t="s">
        <v>172</v>
      </c>
      <c r="V3" s="66" t="s">
        <v>173</v>
      </c>
      <c r="W3" s="66" t="s">
        <v>174</v>
      </c>
      <c r="X3" s="66" t="s">
        <v>175</v>
      </c>
      <c r="Y3" s="66" t="s">
        <v>176</v>
      </c>
      <c r="Z3" s="66" t="s">
        <v>177</v>
      </c>
      <c r="AA3" s="66" t="s">
        <v>178</v>
      </c>
      <c r="AB3" s="66" t="s">
        <v>179</v>
      </c>
      <c r="AC3" s="66" t="s">
        <v>180</v>
      </c>
      <c r="AD3" s="66" t="s">
        <v>181</v>
      </c>
      <c r="AE3" s="66" t="s">
        <v>182</v>
      </c>
    </row>
    <row r="4" spans="1:35" s="58" customFormat="1" x14ac:dyDescent="0.15">
      <c r="A4" s="173" t="s">
        <v>183</v>
      </c>
      <c r="B4" s="173">
        <v>2018</v>
      </c>
      <c r="C4" s="174" t="s">
        <v>184</v>
      </c>
      <c r="D4" s="173">
        <v>2019</v>
      </c>
      <c r="E4" s="174" t="s">
        <v>184</v>
      </c>
      <c r="F4" s="173">
        <v>2020</v>
      </c>
      <c r="G4" s="174" t="s">
        <v>184</v>
      </c>
      <c r="H4" s="173">
        <v>2021</v>
      </c>
      <c r="I4" s="173" t="s">
        <v>184</v>
      </c>
      <c r="J4" s="173">
        <v>2022</v>
      </c>
      <c r="K4" s="173" t="s">
        <v>184</v>
      </c>
      <c r="L4" s="173">
        <v>2023</v>
      </c>
      <c r="M4" s="173" t="s">
        <v>184</v>
      </c>
      <c r="N4" s="173">
        <v>2024</v>
      </c>
      <c r="O4" s="173">
        <v>2025</v>
      </c>
      <c r="P4" s="36"/>
      <c r="Q4" s="66">
        <v>1</v>
      </c>
      <c r="R4" s="73" t="s">
        <v>54</v>
      </c>
      <c r="S4" s="26">
        <f>5609368/12</f>
        <v>467447.33333333331</v>
      </c>
      <c r="T4" s="26">
        <f t="shared" ref="T4:AD4" si="0">5609368/12</f>
        <v>467447.33333333331</v>
      </c>
      <c r="U4" s="26">
        <f t="shared" si="0"/>
        <v>467447.33333333331</v>
      </c>
      <c r="V4" s="26">
        <f t="shared" si="0"/>
        <v>467447.33333333331</v>
      </c>
      <c r="W4" s="26">
        <f t="shared" si="0"/>
        <v>467447.33333333331</v>
      </c>
      <c r="X4" s="26">
        <f t="shared" si="0"/>
        <v>467447.33333333331</v>
      </c>
      <c r="Y4" s="26">
        <f t="shared" si="0"/>
        <v>467447.33333333331</v>
      </c>
      <c r="Z4" s="26">
        <f t="shared" si="0"/>
        <v>467447.33333333331</v>
      </c>
      <c r="AA4" s="26">
        <f t="shared" si="0"/>
        <v>467447.33333333331</v>
      </c>
      <c r="AB4" s="26">
        <f t="shared" si="0"/>
        <v>467447.33333333331</v>
      </c>
      <c r="AC4" s="26">
        <f t="shared" si="0"/>
        <v>467447.33333333331</v>
      </c>
      <c r="AD4" s="26">
        <f t="shared" si="0"/>
        <v>467447.33333333331</v>
      </c>
      <c r="AE4" s="26">
        <f>SUM(S4:AD4)</f>
        <v>5609367.9999999991</v>
      </c>
      <c r="AF4" s="175">
        <f>AE4/$AE$20</f>
        <v>2.3867701930803661E-2</v>
      </c>
      <c r="AG4" s="403"/>
      <c r="AH4" s="404"/>
      <c r="AI4" s="423"/>
    </row>
    <row r="5" spans="1:35" x14ac:dyDescent="0.15">
      <c r="A5" s="170" t="s">
        <v>38</v>
      </c>
      <c r="B5" s="26">
        <v>7522241.2699999996</v>
      </c>
      <c r="C5" s="176">
        <f>B5/B17</f>
        <v>7.9831482089003813E-2</v>
      </c>
      <c r="D5" s="26">
        <v>10690469.82</v>
      </c>
      <c r="E5" s="176">
        <f>D5/D17</f>
        <v>9.2128811723208082E-2</v>
      </c>
      <c r="F5" s="26">
        <v>10229896.279999999</v>
      </c>
      <c r="G5" s="176">
        <f>F5/F17</f>
        <v>8.258854573464873E-2</v>
      </c>
      <c r="H5" s="26">
        <v>11654886.960000001</v>
      </c>
      <c r="I5" s="176">
        <f>H5/H17</f>
        <v>7.5735840465239151E-2</v>
      </c>
      <c r="J5" s="26">
        <f>26446557.48-J6</f>
        <v>13016876.310000001</v>
      </c>
      <c r="K5" s="176">
        <f>J5/J17</f>
        <v>7.1782613276187485E-2</v>
      </c>
      <c r="L5" s="26">
        <f>16075870.88</f>
        <v>16075870.880000001</v>
      </c>
      <c r="M5" s="176">
        <f>L5/L17</f>
        <v>6.8402375176987718E-2</v>
      </c>
      <c r="N5" s="177">
        <f>((F5+H5+J5+L5)/3.15)-354050.16</f>
        <v>15829292.833650796</v>
      </c>
      <c r="O5" s="177">
        <f>(H5+J5+L5+N5)/3.15</f>
        <v>17960929.201158985</v>
      </c>
      <c r="P5" s="178"/>
      <c r="Q5" s="66">
        <v>2</v>
      </c>
      <c r="R5" s="73" t="s">
        <v>55</v>
      </c>
      <c r="S5" s="179">
        <f>3806795.39*M5</f>
        <v>260393.84648880729</v>
      </c>
      <c r="T5" s="179">
        <f>3806795.39*M6</f>
        <v>231595.71343510426</v>
      </c>
      <c r="U5" s="179">
        <f>3806795.39*M7</f>
        <v>302976.7240934365</v>
      </c>
      <c r="V5" s="179">
        <f>3806795.39*M8</f>
        <v>313279.41421585984</v>
      </c>
      <c r="W5" s="179">
        <f>3806795.39*M9</f>
        <v>329322.85872291715</v>
      </c>
      <c r="X5" s="179">
        <f>3806795.39*M10</f>
        <v>302239.22346527851</v>
      </c>
      <c r="Y5" s="179">
        <f>3806795.39*M11</f>
        <v>349233.39070324413</v>
      </c>
      <c r="Z5" s="179">
        <f>3806795.39*M12</f>
        <v>299680.46440522472</v>
      </c>
      <c r="AA5" s="179">
        <f>3806795.39*M13</f>
        <v>297329.63454599457</v>
      </c>
      <c r="AB5" s="179">
        <f>3806795.39*M14</f>
        <v>307009.02034588071</v>
      </c>
      <c r="AC5" s="179">
        <f>3806795.39*M15</f>
        <v>313006.77913361834</v>
      </c>
      <c r="AD5" s="179">
        <f>3806795.39*M16</f>
        <v>500728.32044463482</v>
      </c>
      <c r="AE5" s="26">
        <f>SUM(S5:AD5)</f>
        <v>3806795.3900000006</v>
      </c>
      <c r="AF5" s="175">
        <f t="shared" ref="AF5:AF19" si="1">AE5/$AE$20</f>
        <v>1.6197806540786324E-2</v>
      </c>
      <c r="AG5" s="338"/>
      <c r="AH5" s="404"/>
      <c r="AI5" s="423"/>
    </row>
    <row r="6" spans="1:35" x14ac:dyDescent="0.15">
      <c r="A6" s="170" t="s">
        <v>39</v>
      </c>
      <c r="B6" s="26">
        <f>7197732.78</f>
        <v>7197732.7800000003</v>
      </c>
      <c r="C6" s="176">
        <f>B6/B17</f>
        <v>7.6387562547299906E-2</v>
      </c>
      <c r="D6" s="26">
        <f>8384491.75</f>
        <v>8384491.75</v>
      </c>
      <c r="E6" s="176">
        <f>D6/D17</f>
        <v>7.2256250177650416E-2</v>
      </c>
      <c r="F6" s="26">
        <f>10875208.14</f>
        <v>10875208.140000001</v>
      </c>
      <c r="G6" s="176">
        <f>F6/F17</f>
        <v>8.7798311953580663E-2</v>
      </c>
      <c r="H6" s="26">
        <v>11908059.57</v>
      </c>
      <c r="I6" s="176">
        <f>H6/H17</f>
        <v>7.7381007893025863E-2</v>
      </c>
      <c r="J6" s="26">
        <f>13429681.17</f>
        <v>13429681.17</v>
      </c>
      <c r="K6" s="176">
        <f>J6/J17</f>
        <v>7.405905893935677E-2</v>
      </c>
      <c r="L6" s="26">
        <f>14297967.62</f>
        <v>14297967.619999999</v>
      </c>
      <c r="M6" s="176">
        <f>L6/L17</f>
        <v>6.0837447172358859E-2</v>
      </c>
      <c r="N6" s="177">
        <f t="shared" ref="N6:N16" si="2">(F6+H6+J6+L6)/3.15</f>
        <v>16035211.587301588</v>
      </c>
      <c r="O6" s="177">
        <f>(H6+J6+L6+N6)/3.15</f>
        <v>17673307.919778284</v>
      </c>
      <c r="P6" s="178"/>
      <c r="Q6" s="66">
        <v>3</v>
      </c>
      <c r="R6" s="73" t="s">
        <v>56</v>
      </c>
      <c r="S6" s="179">
        <f>2042326.11*M5</f>
        <v>139699.95680997788</v>
      </c>
      <c r="T6" s="179">
        <f>2042326.11*M6</f>
        <v>124249.90682585418</v>
      </c>
      <c r="U6" s="179">
        <f>2042326.11*M7</f>
        <v>162545.45121173206</v>
      </c>
      <c r="V6" s="179">
        <f>2042326.11*M8</f>
        <v>168072.79137178836</v>
      </c>
      <c r="W6" s="179">
        <f>2042326.11*M9</f>
        <v>176680.01667661339</v>
      </c>
      <c r="X6" s="179">
        <f>2042326.11*M10</f>
        <v>162149.78592512768</v>
      </c>
      <c r="Y6" s="179">
        <f>2042326.11*M11</f>
        <v>187361.91448342244</v>
      </c>
      <c r="Z6" s="179">
        <f>2042326.11*M12</f>
        <v>160777.02487490824</v>
      </c>
      <c r="AA6" s="179">
        <f>2042326.11*M13</f>
        <v>159515.81676945416</v>
      </c>
      <c r="AB6" s="179">
        <f>2042326.11*M14</f>
        <v>164708.75737240855</v>
      </c>
      <c r="AC6" s="179">
        <f>2042326.11*M15</f>
        <v>167926.5240550772</v>
      </c>
      <c r="AD6" s="179">
        <f>2042326.11*M16</f>
        <v>268638.16362363636</v>
      </c>
      <c r="AE6" s="26">
        <f t="shared" ref="AE6:AE18" si="3">SUM(S6:AD6)</f>
        <v>2042326.1100000006</v>
      </c>
      <c r="AF6" s="175">
        <f t="shared" si="1"/>
        <v>8.6900397404801669E-3</v>
      </c>
      <c r="AG6" s="338"/>
      <c r="AH6" s="404"/>
      <c r="AI6" s="423"/>
    </row>
    <row r="7" spans="1:35" x14ac:dyDescent="0.15">
      <c r="A7" s="170" t="s">
        <v>40</v>
      </c>
      <c r="B7" s="26">
        <v>7899052.6200000001</v>
      </c>
      <c r="C7" s="176">
        <f>B7/B17</f>
        <v>8.3830477529156511E-2</v>
      </c>
      <c r="D7" s="26">
        <v>8599525.3800000008</v>
      </c>
      <c r="E7" s="176">
        <f>D7/D17</f>
        <v>7.4109376667504542E-2</v>
      </c>
      <c r="F7" s="26">
        <v>9752914.3900000006</v>
      </c>
      <c r="G7" s="176">
        <f>F7/F17</f>
        <v>7.8737750031677628E-2</v>
      </c>
      <c r="H7" s="26">
        <f>11176115.04</f>
        <v>11176115.039999999</v>
      </c>
      <c r="I7" s="176">
        <f>H7/H17</f>
        <v>7.2624682555531173E-2</v>
      </c>
      <c r="J7" s="26">
        <f>14988868.06</f>
        <v>14988868.060000001</v>
      </c>
      <c r="K7" s="176">
        <f>J7/J17</f>
        <v>8.2657320679324978E-2</v>
      </c>
      <c r="L7" s="177">
        <f>((D7+F7+H7+J7)/2.38)</f>
        <v>18704799.525210086</v>
      </c>
      <c r="M7" s="176">
        <f>L7/L17</f>
        <v>7.9588392086772097E-2</v>
      </c>
      <c r="N7" s="177">
        <f t="shared" si="2"/>
        <v>17340538.73498733</v>
      </c>
      <c r="O7" s="177">
        <f t="shared" ref="O7:O16" si="4">(H7+J7+L7+N7)/3.15</f>
        <v>19749308.368316643</v>
      </c>
      <c r="P7" s="178"/>
      <c r="Q7" s="66">
        <v>4</v>
      </c>
      <c r="R7" s="73" t="s">
        <v>57</v>
      </c>
      <c r="S7" s="179">
        <f>2874054.3*M5</f>
        <v>196592.14050763479</v>
      </c>
      <c r="T7" s="179">
        <f>2874054.3*M6</f>
        <v>174850.1266467408</v>
      </c>
      <c r="U7" s="179">
        <f>2874054.3*M7</f>
        <v>228741.36050707332</v>
      </c>
      <c r="V7" s="179">
        <f>2874054.3*M8</f>
        <v>236519.68526960234</v>
      </c>
      <c r="W7" s="179">
        <f>2874054.3*M9</f>
        <v>248632.1646514583</v>
      </c>
      <c r="X7" s="179">
        <f>2874054.3*M10</f>
        <v>228184.56229901142</v>
      </c>
      <c r="Y7" s="179">
        <f>2874054.3*M11</f>
        <v>263664.2176490181</v>
      </c>
      <c r="Z7" s="179">
        <f>2874054.3*M12</f>
        <v>226252.75044000539</v>
      </c>
      <c r="AA7" s="179">
        <f>2874054.3*M13</f>
        <v>224477.92096447406</v>
      </c>
      <c r="AB7" s="179">
        <f>2874054.3*M14</f>
        <v>231785.66344325268</v>
      </c>
      <c r="AC7" s="179">
        <f>2874054.3*M15</f>
        <v>236313.85124119476</v>
      </c>
      <c r="AD7" s="179">
        <f>2874054.3*M16</f>
        <v>378039.85638053442</v>
      </c>
      <c r="AE7" s="26">
        <f t="shared" si="3"/>
        <v>2874054.3000000007</v>
      </c>
      <c r="AF7" s="175">
        <f t="shared" si="1"/>
        <v>1.2229019626693167E-2</v>
      </c>
      <c r="AG7" s="338"/>
      <c r="AH7" s="404"/>
      <c r="AI7" s="423"/>
    </row>
    <row r="8" spans="1:35" x14ac:dyDescent="0.15">
      <c r="A8" s="170" t="s">
        <v>41</v>
      </c>
      <c r="B8" s="26">
        <v>7799663.9400000004</v>
      </c>
      <c r="C8" s="176">
        <f>B8/B17</f>
        <v>8.2775692745941265E-2</v>
      </c>
      <c r="D8" s="26">
        <f>10080023.23</f>
        <v>10080023.23</v>
      </c>
      <c r="E8" s="176">
        <f>D8/D17</f>
        <v>8.6868077639101718E-2</v>
      </c>
      <c r="F8" s="26">
        <f>9810398.72</f>
        <v>9810398.7200000007</v>
      </c>
      <c r="G8" s="176">
        <f>F8/F17</f>
        <v>7.9201835598851203E-2</v>
      </c>
      <c r="H8" s="26">
        <f>11782970.82</f>
        <v>11782970.82</v>
      </c>
      <c r="I8" s="176">
        <f>H8/H17</f>
        <v>7.6568155597974849E-2</v>
      </c>
      <c r="J8" s="26">
        <v>14357840.16</v>
      </c>
      <c r="K8" s="176">
        <f>J8/J17</f>
        <v>7.9177466478253244E-2</v>
      </c>
      <c r="L8" s="177">
        <f t="shared" ref="L8:L15" si="5">((D8+F8+H8+J8)/2.38)</f>
        <v>19340854.172268912</v>
      </c>
      <c r="M8" s="176">
        <f>L8/L17</f>
        <v>8.2294786591054436E-2</v>
      </c>
      <c r="N8" s="177">
        <f t="shared" si="2"/>
        <v>17553036.14992664</v>
      </c>
      <c r="O8" s="177">
        <f t="shared" si="4"/>
        <v>20011016.286411289</v>
      </c>
      <c r="P8" s="178"/>
      <c r="Q8" s="66">
        <v>5</v>
      </c>
      <c r="R8" s="73" t="s">
        <v>58</v>
      </c>
      <c r="S8" s="179">
        <f>15453195.76*M5</f>
        <v>1057035.2940589557</v>
      </c>
      <c r="T8" s="179">
        <f>15453195.76*M6</f>
        <v>940132.98069311993</v>
      </c>
      <c r="U8" s="179">
        <f>15453195.76*M7</f>
        <v>1229895.003140524</v>
      </c>
      <c r="V8" s="179">
        <f>15453195.76*M8</f>
        <v>1271717.4472189872</v>
      </c>
      <c r="W8" s="179">
        <f>15453195.76*M9</f>
        <v>1336843.7445985407</v>
      </c>
      <c r="X8" s="179">
        <f>15453195.76*M10</f>
        <v>1226901.2142938774</v>
      </c>
      <c r="Y8" s="179">
        <f>15453195.76*M11</f>
        <v>1417667.9856875089</v>
      </c>
      <c r="Z8" s="179">
        <f>15453195.76*M12</f>
        <v>1216514.2613303545</v>
      </c>
      <c r="AA8" s="179">
        <f>15453195.76*M13</f>
        <v>1206971.3701866474</v>
      </c>
      <c r="AB8" s="179">
        <f>15453195.76*M14</f>
        <v>1246263.5906183328</v>
      </c>
      <c r="AC8" s="179">
        <f>15453195.76*M15</f>
        <v>1270610.7202044521</v>
      </c>
      <c r="AD8" s="179">
        <f>15453195.76*M16</f>
        <v>2032642.1479687018</v>
      </c>
      <c r="AE8" s="26">
        <f t="shared" si="3"/>
        <v>15453195.760000004</v>
      </c>
      <c r="AF8" s="175">
        <f t="shared" si="1"/>
        <v>6.5752910181332211E-2</v>
      </c>
      <c r="AG8" s="338"/>
      <c r="AH8" s="404"/>
      <c r="AI8" s="423"/>
    </row>
    <row r="9" spans="1:35" x14ac:dyDescent="0.15">
      <c r="A9" s="170" t="s">
        <v>185</v>
      </c>
      <c r="B9" s="26">
        <f>7664973.99</f>
        <v>7664973.9900000002</v>
      </c>
      <c r="C9" s="176">
        <f>B9/B17</f>
        <v>8.1346265272792179E-2</v>
      </c>
      <c r="D9" s="26">
        <f>9454030.45</f>
        <v>9454030.4499999993</v>
      </c>
      <c r="E9" s="176">
        <f>D9/D17</f>
        <v>8.1473368899471446E-2</v>
      </c>
      <c r="F9" s="26">
        <f>10655694.71</f>
        <v>10655694.710000001</v>
      </c>
      <c r="G9" s="176">
        <f>F9/F17</f>
        <v>8.6026124391095957E-2</v>
      </c>
      <c r="H9" s="26">
        <v>11989284.640000001</v>
      </c>
      <c r="I9" s="176">
        <f>H9/H17</f>
        <v>7.790882501938759E-2</v>
      </c>
      <c r="J9" s="26">
        <f>16289542.18</f>
        <v>16289542.18</v>
      </c>
      <c r="K9" s="176">
        <f>J9/J17</f>
        <v>8.9829992918868243E-2</v>
      </c>
      <c r="L9" s="177">
        <f t="shared" si="5"/>
        <v>20331324.361344539</v>
      </c>
      <c r="M9" s="176">
        <f>L9/L17</f>
        <v>8.6509209186290709E-2</v>
      </c>
      <c r="N9" s="177">
        <f t="shared" si="2"/>
        <v>18814554.251220491</v>
      </c>
      <c r="O9" s="177">
        <f>((H9+J9+L9+N9)/3.15)-5409.33</f>
        <v>21399259.061290488</v>
      </c>
      <c r="P9" s="178"/>
      <c r="Q9" s="66">
        <v>6</v>
      </c>
      <c r="R9" s="73" t="s">
        <v>59</v>
      </c>
      <c r="S9" s="179">
        <f>4949756.38*M5</f>
        <v>338575.0929394486</v>
      </c>
      <c r="T9" s="179">
        <f>4949756.38*M6</f>
        <v>301130.54228429624</v>
      </c>
      <c r="U9" s="179">
        <f>4949756.38*M7</f>
        <v>393943.1515054417</v>
      </c>
      <c r="V9" s="179">
        <f>4949756.38*M8</f>
        <v>407339.14496981015</v>
      </c>
      <c r="W9" s="179">
        <f>4949756.38*M9</f>
        <v>428199.51009859703</v>
      </c>
      <c r="X9" s="179">
        <f>4949756.38*M10</f>
        <v>392984.22199505393</v>
      </c>
      <c r="Y9" s="179">
        <f>4949756.38*M11</f>
        <v>454088.02592419216</v>
      </c>
      <c r="Z9" s="179">
        <f>4949756.38*M12</f>
        <v>389657.2152387533</v>
      </c>
      <c r="AA9" s="179">
        <f>4949756.38*M13</f>
        <v>386600.56682403019</v>
      </c>
      <c r="AB9" s="179">
        <f>4949756.38*M14</f>
        <v>399186.11364467704</v>
      </c>
      <c r="AC9" s="179">
        <f>4949756.38*M15</f>
        <v>406984.65330438426</v>
      </c>
      <c r="AD9" s="179">
        <f>4949756.38*M16</f>
        <v>651068.14127131633</v>
      </c>
      <c r="AE9" s="26">
        <f t="shared" si="3"/>
        <v>4949756.3800000008</v>
      </c>
      <c r="AF9" s="175">
        <f t="shared" si="1"/>
        <v>2.1061073174007086E-2</v>
      </c>
      <c r="AG9" s="338"/>
      <c r="AH9" s="404"/>
      <c r="AI9" s="423"/>
    </row>
    <row r="10" spans="1:35" x14ac:dyDescent="0.15">
      <c r="A10" s="170" t="s">
        <v>186</v>
      </c>
      <c r="B10" s="26">
        <f>7453635.72+55.15</f>
        <v>7453690.8700000001</v>
      </c>
      <c r="C10" s="176">
        <f>B10/B17</f>
        <v>7.9103975507738039E-2</v>
      </c>
      <c r="D10" s="26">
        <f>8906802.9</f>
        <v>8906802.9000000004</v>
      </c>
      <c r="E10" s="176">
        <f>D10/D17</f>
        <v>7.6757446702171578E-2</v>
      </c>
      <c r="F10" s="26">
        <f>8869527.04</f>
        <v>8869527.0399999991</v>
      </c>
      <c r="G10" s="176">
        <f>F10/F17</f>
        <v>7.1605940034784363E-2</v>
      </c>
      <c r="H10" s="26">
        <v>11272675.199999999</v>
      </c>
      <c r="I10" s="176">
        <f>H10/H17</f>
        <v>7.3252150234810826E-2</v>
      </c>
      <c r="J10" s="26">
        <f>15360054.2</f>
        <v>15360054.199999999</v>
      </c>
      <c r="K10" s="176">
        <f>J10/J17</f>
        <v>8.4704256557530361E-2</v>
      </c>
      <c r="L10" s="177">
        <f t="shared" si="5"/>
        <v>18659268.630252101</v>
      </c>
      <c r="M10" s="176">
        <f>L10/L17</f>
        <v>7.939465941858212E-2</v>
      </c>
      <c r="N10" s="177">
        <f t="shared" si="2"/>
        <v>17194134.942937173</v>
      </c>
      <c r="O10" s="177">
        <f t="shared" si="4"/>
        <v>19836867.610536277</v>
      </c>
      <c r="P10" s="178"/>
      <c r="Q10" s="66">
        <v>7</v>
      </c>
      <c r="R10" s="73" t="s">
        <v>60</v>
      </c>
      <c r="S10" s="179">
        <f>1888719.63*M5</f>
        <v>129192.90873540142</v>
      </c>
      <c r="T10" s="179">
        <f>1888719.63*M6</f>
        <v>114904.88071352216</v>
      </c>
      <c r="U10" s="179">
        <f>1888719.63*M7</f>
        <v>150320.1584544231</v>
      </c>
      <c r="V10" s="179">
        <f>1888719.63*M8</f>
        <v>155431.77888118528</v>
      </c>
      <c r="W10" s="179">
        <f>1888719.63*M9</f>
        <v>163391.64156592358</v>
      </c>
      <c r="X10" s="179">
        <f>1888719.63*M10</f>
        <v>149954.25176104042</v>
      </c>
      <c r="Y10" s="179">
        <f>1888719.63*M11</f>
        <v>173270.13745088008</v>
      </c>
      <c r="Z10" s="179">
        <f>1888719.63*M12</f>
        <v>148684.73817545106</v>
      </c>
      <c r="AA10" s="179">
        <f>1888719.63*M13</f>
        <v>147518.38746651052</v>
      </c>
      <c r="AB10" s="179">
        <f>1888719.63*M14</f>
        <v>152320.75903988478</v>
      </c>
      <c r="AC10" s="179">
        <f>1888719.63*M15</f>
        <v>155296.51255376227</v>
      </c>
      <c r="AD10" s="179">
        <f>1888719.63*M16</f>
        <v>248433.47520201554</v>
      </c>
      <c r="AE10" s="26">
        <f t="shared" si="3"/>
        <v>1888719.6300000004</v>
      </c>
      <c r="AF10" s="175">
        <f t="shared" si="1"/>
        <v>8.0364485196367571E-3</v>
      </c>
      <c r="AG10" s="338"/>
      <c r="AH10" s="404"/>
      <c r="AI10" s="423"/>
    </row>
    <row r="11" spans="1:35" x14ac:dyDescent="0.15">
      <c r="A11" s="170" t="s">
        <v>187</v>
      </c>
      <c r="B11" s="26">
        <v>8077958.0199999996</v>
      </c>
      <c r="C11" s="176">
        <f>B11/B17</f>
        <v>8.57291514380467E-2</v>
      </c>
      <c r="D11" s="26">
        <v>9979327.3900000006</v>
      </c>
      <c r="E11" s="176">
        <f>D11/D17</f>
        <v>8.6000296499369702E-2</v>
      </c>
      <c r="F11" s="26">
        <f>10817635.8</f>
        <v>10817635.800000001</v>
      </c>
      <c r="G11" s="176">
        <f>F11/F17</f>
        <v>8.7333515859368382E-2</v>
      </c>
      <c r="H11" s="26">
        <f>14253541.57</f>
        <v>14253541.57</v>
      </c>
      <c r="I11" s="176">
        <f>H11/H17</f>
        <v>9.2622429897009861E-2</v>
      </c>
      <c r="J11" s="26">
        <f>16263570.87</f>
        <v>16263570.869999999</v>
      </c>
      <c r="K11" s="176">
        <f>J11/J17</f>
        <v>8.9686772037175316E-2</v>
      </c>
      <c r="L11" s="177">
        <f t="shared" si="5"/>
        <v>21560535.978991598</v>
      </c>
      <c r="M11" s="176">
        <f>L11/L17</f>
        <v>9.1739469796732129E-2</v>
      </c>
      <c r="N11" s="177">
        <f t="shared" si="2"/>
        <v>19966756.894917969</v>
      </c>
      <c r="O11" s="177">
        <f t="shared" si="4"/>
        <v>22871239.782193512</v>
      </c>
      <c r="P11" s="178"/>
      <c r="Q11" s="66">
        <v>8</v>
      </c>
      <c r="R11" s="73" t="s">
        <v>61</v>
      </c>
      <c r="S11" s="179">
        <f>21839394.67*M5</f>
        <v>1493866.467855646</v>
      </c>
      <c r="T11" s="179">
        <f>21839394.67*M6</f>
        <v>1328653.0195124208</v>
      </c>
      <c r="U11" s="179">
        <f>21839394.67*M7</f>
        <v>1738162.3059337209</v>
      </c>
      <c r="V11" s="179">
        <f>21839394.67*M8</f>
        <v>1797268.3236454618</v>
      </c>
      <c r="W11" s="179">
        <f>21839394.67*M9</f>
        <v>1889308.7620089925</v>
      </c>
      <c r="X11" s="179">
        <f>21839394.67*M10</f>
        <v>1733931.3017326477</v>
      </c>
      <c r="Y11" s="179">
        <f>21839394.67*M11</f>
        <v>2003534.4877073779</v>
      </c>
      <c r="Z11" s="179">
        <f>21839394.67*M12</f>
        <v>1719251.8290389623</v>
      </c>
      <c r="AA11" s="179">
        <f>21839394.67*M13</f>
        <v>1705765.2357661498</v>
      </c>
      <c r="AB11" s="179">
        <f>21839394.67*M14</f>
        <v>1761295.3877680693</v>
      </c>
      <c r="AC11" s="179">
        <f>21839394.67*M15</f>
        <v>1795704.2298206135</v>
      </c>
      <c r="AD11" s="179">
        <f>21839394.67*M16</f>
        <v>2872653.3192099435</v>
      </c>
      <c r="AE11" s="26">
        <f t="shared" si="3"/>
        <v>21839394.670000009</v>
      </c>
      <c r="AF11" s="175">
        <f t="shared" si="1"/>
        <v>9.2926005627147742E-2</v>
      </c>
      <c r="AG11" s="338"/>
      <c r="AH11" s="404"/>
      <c r="AI11" s="423"/>
    </row>
    <row r="12" spans="1:35" x14ac:dyDescent="0.15">
      <c r="A12" s="170" t="s">
        <v>188</v>
      </c>
      <c r="B12" s="26">
        <v>7400073.3700000001</v>
      </c>
      <c r="C12" s="176">
        <f>B12/B17</f>
        <v>7.8534947695777527E-2</v>
      </c>
      <c r="D12" s="26">
        <v>8879675.7799999993</v>
      </c>
      <c r="E12" s="176">
        <f>D12/D17</f>
        <v>7.6523669387128096E-2</v>
      </c>
      <c r="F12" s="26">
        <f>9516468.8</f>
        <v>9516468.8000000007</v>
      </c>
      <c r="G12" s="176">
        <f>F12/F17</f>
        <v>7.6828864849562084E-2</v>
      </c>
      <c r="H12" s="26">
        <f>11797731.93</f>
        <v>11797731.93</v>
      </c>
      <c r="I12" s="176">
        <f>H12/H17</f>
        <v>7.6664076311396323E-2</v>
      </c>
      <c r="J12" s="26">
        <f>13839215.47</f>
        <v>13839215.470000001</v>
      </c>
      <c r="K12" s="176">
        <f>J12/J17</f>
        <v>7.6317468835873203E-2</v>
      </c>
      <c r="L12" s="177">
        <f t="shared" si="5"/>
        <v>18501299.151260503</v>
      </c>
      <c r="M12" s="176">
        <f>L12/L17</f>
        <v>7.8722503760630197E-2</v>
      </c>
      <c r="N12" s="177">
        <f t="shared" si="2"/>
        <v>17033242.96865413</v>
      </c>
      <c r="O12" s="177">
        <f t="shared" si="4"/>
        <v>19419520.482512582</v>
      </c>
      <c r="P12" s="178"/>
      <c r="Q12" s="66">
        <v>9</v>
      </c>
      <c r="R12" s="73" t="s">
        <v>62</v>
      </c>
      <c r="S12" s="179">
        <f>63110336.7*M5</f>
        <v>4316896.9284994174</v>
      </c>
      <c r="T12" s="179">
        <f>63110336.7*M6</f>
        <v>3839471.7750160308</v>
      </c>
      <c r="U12" s="179">
        <f>63110336.7*M7</f>
        <v>5022850.2220078027</v>
      </c>
      <c r="V12" s="179">
        <f>63110336.7*M8</f>
        <v>5193651.6904160911</v>
      </c>
      <c r="W12" s="179">
        <f>63110336.7*M9</f>
        <v>5459625.3193975398</v>
      </c>
      <c r="X12" s="179">
        <f>63110336.7*M10</f>
        <v>5010623.6880885437</v>
      </c>
      <c r="Y12" s="179">
        <f>63110336.7*M11</f>
        <v>5789708.8275512457</v>
      </c>
      <c r="Z12" s="179">
        <f>63110336.7*M12</f>
        <v>4968203.7182003884</v>
      </c>
      <c r="AA12" s="179">
        <f>63110336.7*M13</f>
        <v>4929230.8686665902</v>
      </c>
      <c r="AB12" s="179">
        <f>63110336.7*M14</f>
        <v>5089698.9879893912</v>
      </c>
      <c r="AC12" s="179">
        <f>63110336.7*M15</f>
        <v>5189131.8541565193</v>
      </c>
      <c r="AD12" s="179">
        <f>63110336.7*M16</f>
        <v>8301242.8200104544</v>
      </c>
      <c r="AE12" s="26">
        <f t="shared" si="3"/>
        <v>63110336.700000003</v>
      </c>
      <c r="AF12" s="175">
        <f t="shared" si="1"/>
        <v>0.26853269478990494</v>
      </c>
      <c r="AG12" s="338"/>
      <c r="AH12" s="404"/>
      <c r="AI12" s="423"/>
    </row>
    <row r="13" spans="1:35" x14ac:dyDescent="0.15">
      <c r="A13" s="170" t="s">
        <v>189</v>
      </c>
      <c r="B13" s="26">
        <f>6729771.56</f>
        <v>6729771.5599999996</v>
      </c>
      <c r="C13" s="176">
        <f>B13/B17</f>
        <v>7.1421218553287272E-2</v>
      </c>
      <c r="D13" s="26">
        <f>8643003.18</f>
        <v>8643003.1799999997</v>
      </c>
      <c r="E13" s="176">
        <f>D13/D17</f>
        <v>7.4484061608183716E-2</v>
      </c>
      <c r="F13" s="26">
        <f>10310037.68</f>
        <v>10310037.68</v>
      </c>
      <c r="G13" s="176">
        <f>F13/F17</f>
        <v>8.3235547571028926E-2</v>
      </c>
      <c r="H13" s="26">
        <f>10677554.69</f>
        <v>10677554.689999999</v>
      </c>
      <c r="I13" s="176">
        <f>H13/H17</f>
        <v>6.9384935378275517E-2</v>
      </c>
      <c r="J13" s="26">
        <f>14057080.83</f>
        <v>14057080.83</v>
      </c>
      <c r="K13" s="176">
        <f>J13/J17</f>
        <v>7.7518904918594755E-2</v>
      </c>
      <c r="L13" s="177">
        <f t="shared" si="5"/>
        <v>18356166.546218485</v>
      </c>
      <c r="M13" s="176">
        <f>L13/L17</f>
        <v>7.8104968637674688E-2</v>
      </c>
      <c r="N13" s="177">
        <f t="shared" si="2"/>
        <v>16952647.538482059</v>
      </c>
      <c r="O13" s="177">
        <f>(H13+J13+L13+N13)/3.15</f>
        <v>19061412.572920807</v>
      </c>
      <c r="P13" s="178"/>
      <c r="Q13" s="66">
        <v>10</v>
      </c>
      <c r="R13" s="73" t="s">
        <v>190</v>
      </c>
      <c r="S13" s="179">
        <f>42269862.09*M5</f>
        <v>2891358.9653597106</v>
      </c>
      <c r="T13" s="179">
        <f>42269862.09*M6</f>
        <v>2571590.5018832698</v>
      </c>
      <c r="U13" s="179">
        <f>42269862.09*M7</f>
        <v>3364190.3574727043</v>
      </c>
      <c r="V13" s="179">
        <f>42269862.09*M8</f>
        <v>3478589.2799298526</v>
      </c>
      <c r="W13" s="179">
        <f>42269862.09*M9</f>
        <v>3656732.3418194698</v>
      </c>
      <c r="X13" s="179">
        <f>42269862.09*M10</f>
        <v>3356001.304305986</v>
      </c>
      <c r="Y13" s="179">
        <f>42269862.09*M11</f>
        <v>3877814.7365175877</v>
      </c>
      <c r="Z13" s="179">
        <f>42269862.09*M12</f>
        <v>3327589.377341345</v>
      </c>
      <c r="AA13" s="179">
        <f>42269862.09*M13</f>
        <v>3301486.2528582844</v>
      </c>
      <c r="AB13" s="179">
        <f>42269862.09*M14</f>
        <v>3408964.1341102868</v>
      </c>
      <c r="AC13" s="179">
        <f>42269862.09*M15</f>
        <v>3475561.9968356476</v>
      </c>
      <c r="AD13" s="179">
        <f>42269862.09*M16</f>
        <v>5559982.841565867</v>
      </c>
      <c r="AE13" s="26">
        <f t="shared" si="3"/>
        <v>42269862.090000011</v>
      </c>
      <c r="AF13" s="175">
        <f t="shared" si="1"/>
        <v>0.17985706571939974</v>
      </c>
      <c r="AG13" s="338"/>
      <c r="AH13" s="404"/>
      <c r="AI13" s="423"/>
    </row>
    <row r="14" spans="1:35" x14ac:dyDescent="0.15">
      <c r="A14" s="170" t="s">
        <v>191</v>
      </c>
      <c r="B14" s="26">
        <f>7115297.7</f>
        <v>7115297.7000000002</v>
      </c>
      <c r="C14" s="176">
        <f>B14/B17</f>
        <v>7.5512701667900653E-2</v>
      </c>
      <c r="D14" s="26">
        <f>10001253.91</f>
        <v>10001253.91</v>
      </c>
      <c r="E14" s="176">
        <f>D14/D17</f>
        <v>8.6189255849785332E-2</v>
      </c>
      <c r="F14" s="26">
        <v>9354372.8800000008</v>
      </c>
      <c r="G14" s="176">
        <f>F14/F17</f>
        <v>7.5520223399453468E-2</v>
      </c>
      <c r="H14" s="26">
        <v>13448877.529999999</v>
      </c>
      <c r="I14" s="176">
        <f>H14/H17</f>
        <v>8.7393558302569702E-2</v>
      </c>
      <c r="J14" s="26">
        <f>12305397.85</f>
        <v>12305397.85</v>
      </c>
      <c r="K14" s="176">
        <f>J14/J17</f>
        <v>6.7859107979507172E-2</v>
      </c>
      <c r="L14" s="177">
        <f t="shared" si="5"/>
        <v>18953740.407563027</v>
      </c>
      <c r="M14" s="176">
        <f>L14/L17</f>
        <v>8.0647628488874648E-2</v>
      </c>
      <c r="N14" s="177">
        <f t="shared" si="2"/>
        <v>17162663.069067627</v>
      </c>
      <c r="O14" s="177">
        <f t="shared" si="4"/>
        <v>19641485.351311319</v>
      </c>
      <c r="P14" s="178"/>
      <c r="Q14" s="66">
        <v>11</v>
      </c>
      <c r="R14" s="73" t="s">
        <v>64</v>
      </c>
      <c r="S14" s="179">
        <f>5894592.14*M5</f>
        <v>403204.10307560291</v>
      </c>
      <c r="T14" s="179">
        <f>5894592.14*M6</f>
        <v>358611.93791985174</v>
      </c>
      <c r="U14" s="179">
        <f>5894592.14*M7</f>
        <v>469141.11042992497</v>
      </c>
      <c r="V14" s="179">
        <f>5894592.14*M8</f>
        <v>485094.20220260683</v>
      </c>
      <c r="W14" s="179">
        <f>5894592.14*M9</f>
        <v>509936.50450712501</v>
      </c>
      <c r="X14" s="179">
        <f>5894592.14*M10</f>
        <v>467999.13536675111</v>
      </c>
      <c r="Y14" s="179">
        <f>5894592.14*M11</f>
        <v>540766.75759158458</v>
      </c>
      <c r="Z14" s="179">
        <f>5894592.14*M12</f>
        <v>464037.05190853117</v>
      </c>
      <c r="AA14" s="179">
        <f>5894592.14*M13</f>
        <v>460396.93422658369</v>
      </c>
      <c r="AB14" s="179">
        <f>5894592.14*M14</f>
        <v>475384.87700016057</v>
      </c>
      <c r="AC14" s="179">
        <f>5894592.14*M15</f>
        <v>484672.04328723921</v>
      </c>
      <c r="AD14" s="179">
        <f>5894592.14*M16</f>
        <v>775347.48248403904</v>
      </c>
      <c r="AE14" s="26">
        <f t="shared" si="3"/>
        <v>5894592.1400000006</v>
      </c>
      <c r="AF14" s="175">
        <f t="shared" si="1"/>
        <v>2.5081322566317298E-2</v>
      </c>
      <c r="AG14" s="338"/>
      <c r="AH14" s="404"/>
      <c r="AI14" s="423"/>
    </row>
    <row r="15" spans="1:35" x14ac:dyDescent="0.15">
      <c r="A15" s="170" t="s">
        <v>192</v>
      </c>
      <c r="B15" s="26">
        <v>8267235.1900000004</v>
      </c>
      <c r="C15" s="176">
        <f>B15/B17</f>
        <v>8.7737898095372718E-2</v>
      </c>
      <c r="D15" s="26">
        <v>7399552.2000000002</v>
      </c>
      <c r="E15" s="176">
        <f>D15/D17</f>
        <v>6.3768193816373372E-2</v>
      </c>
      <c r="F15" s="26">
        <f>9067503.09</f>
        <v>9067503.0899999999</v>
      </c>
      <c r="G15" s="176">
        <f>F15/F17</f>
        <v>7.3204250869250628E-2</v>
      </c>
      <c r="H15" s="26">
        <v>13400302.84</v>
      </c>
      <c r="I15" s="176">
        <f>H15/H17</f>
        <v>8.7077910026862326E-2</v>
      </c>
      <c r="J15" s="26">
        <f>16123815.58</f>
        <v>16123815.58</v>
      </c>
      <c r="K15" s="176">
        <f>J15/J17</f>
        <v>8.8916080229366978E-2</v>
      </c>
      <c r="L15" s="177">
        <f t="shared" si="5"/>
        <v>19324022.56722689</v>
      </c>
      <c r="M15" s="176">
        <f>L15/L17</f>
        <v>8.2223168588427431E-2</v>
      </c>
      <c r="N15" s="177">
        <f t="shared" si="2"/>
        <v>18385918.754675206</v>
      </c>
      <c r="O15" s="177">
        <f t="shared" si="4"/>
        <v>21344145.949810192</v>
      </c>
      <c r="P15" s="178"/>
      <c r="Q15" s="66">
        <v>12</v>
      </c>
      <c r="R15" s="73" t="s">
        <v>65</v>
      </c>
      <c r="S15" s="179">
        <f>2703810.45*M5</f>
        <v>184947.05680836001</v>
      </c>
      <c r="T15" s="179">
        <f>2703810.45*M6</f>
        <v>164492.92541594684</v>
      </c>
      <c r="U15" s="179">
        <f>2703810.45*M7</f>
        <v>215191.92622291172</v>
      </c>
      <c r="V15" s="179">
        <f>2703810.45*M8</f>
        <v>222509.50396541288</v>
      </c>
      <c r="W15" s="179">
        <f>2703810.45*M9</f>
        <v>233904.50381912882</v>
      </c>
      <c r="X15" s="179">
        <f>2703810.45*M10</f>
        <v>214668.10981015328</v>
      </c>
      <c r="Y15" s="179">
        <f>2703810.45*M11</f>
        <v>248046.13711386372</v>
      </c>
      <c r="Z15" s="179">
        <f>2703810.45*M12</f>
        <v>212850.72831815624</v>
      </c>
      <c r="AA15" s="179">
        <f>2703810.45*M13</f>
        <v>211181.0303994671</v>
      </c>
      <c r="AB15" s="179">
        <f>2703810.45*M14</f>
        <v>218055.90067593701</v>
      </c>
      <c r="AC15" s="179">
        <f>2703810.45*M15</f>
        <v>222315.86246150185</v>
      </c>
      <c r="AD15" s="179">
        <f>2703810.45*M16</f>
        <v>355646.76498916122</v>
      </c>
      <c r="AE15" s="26">
        <f t="shared" si="3"/>
        <v>2703810.4500000007</v>
      </c>
      <c r="AF15" s="175">
        <f t="shared" si="1"/>
        <v>1.1504636867823994E-2</v>
      </c>
      <c r="AG15" s="338"/>
      <c r="AH15" s="404"/>
      <c r="AI15" s="423"/>
    </row>
    <row r="16" spans="1:35" x14ac:dyDescent="0.15">
      <c r="A16" s="170" t="s">
        <v>193</v>
      </c>
      <c r="B16" s="26">
        <v>11098810.23</v>
      </c>
      <c r="C16" s="176">
        <f>B16/B17</f>
        <v>0.11778862685768351</v>
      </c>
      <c r="D16" s="26">
        <f>15020134.53</f>
        <v>15020134.529999999</v>
      </c>
      <c r="E16" s="176">
        <f>D16/D17</f>
        <v>0.12944119103005206</v>
      </c>
      <c r="F16" s="26">
        <v>14606142.369999999</v>
      </c>
      <c r="G16" s="176">
        <f>F16/F17</f>
        <v>0.11791908970669795</v>
      </c>
      <c r="H16" s="26">
        <f>20526658.64</f>
        <v>20526658.640000001</v>
      </c>
      <c r="I16" s="176">
        <f>H16/H17</f>
        <v>0.13338642831791675</v>
      </c>
      <c r="J16" s="26">
        <f>21305511</f>
        <v>21305511</v>
      </c>
      <c r="K16" s="176">
        <f>J16/J17</f>
        <v>0.11749095714996145</v>
      </c>
      <c r="L16" s="177">
        <f>((D16+F16+H16+J16)/2.38)+888783.84</f>
        <v>30913341.209747896</v>
      </c>
      <c r="M16" s="176">
        <f>L16/L17</f>
        <v>0.13153539109561516</v>
      </c>
      <c r="N16" s="177">
        <f t="shared" si="2"/>
        <v>27730683.561824732</v>
      </c>
      <c r="O16" s="177">
        <f t="shared" si="4"/>
        <v>31897204.575102426</v>
      </c>
      <c r="P16" s="178"/>
      <c r="Q16" s="66">
        <v>13</v>
      </c>
      <c r="R16" s="73" t="s">
        <v>66</v>
      </c>
      <c r="S16" s="179">
        <f>3681020.2*M5</f>
        <v>251790.52475447039</v>
      </c>
      <c r="T16" s="179">
        <f>3681020.2*M6</f>
        <v>223943.87195788586</v>
      </c>
      <c r="U16" s="179">
        <f>3681020.2*M7</f>
        <v>292966.47895692824</v>
      </c>
      <c r="V16" s="179">
        <f>3681020.2*M8</f>
        <v>302928.77179636055</v>
      </c>
      <c r="W16" s="179">
        <f>3681020.2*M9</f>
        <v>318442.14650076168</v>
      </c>
      <c r="X16" s="179">
        <f>3681020.2*M10</f>
        <v>292253.34509192104</v>
      </c>
      <c r="Y16" s="179">
        <f>3681020.2*M11</f>
        <v>337694.8414590609</v>
      </c>
      <c r="Z16" s="179">
        <f>3681020.2*M12</f>
        <v>289779.12653745571</v>
      </c>
      <c r="AA16" s="179">
        <f>3681020.2*M13</f>
        <v>287505.96727564704</v>
      </c>
      <c r="AB16" s="179">
        <f>3681020.2*M14</f>
        <v>296865.54954964307</v>
      </c>
      <c r="AC16" s="179">
        <f>3681020.2*M15</f>
        <v>302665.1444820069</v>
      </c>
      <c r="AD16" s="179">
        <f>3681020.2*M16</f>
        <v>484184.43163785955</v>
      </c>
      <c r="AE16" s="26">
        <f>SUM(S16:AD16)</f>
        <v>3681020.2000000007</v>
      </c>
      <c r="AF16" s="175">
        <f t="shared" si="1"/>
        <v>1.5662636670453305E-2</v>
      </c>
      <c r="AG16" s="338"/>
      <c r="AH16" s="404"/>
      <c r="AI16" s="423"/>
    </row>
    <row r="17" spans="1:35" x14ac:dyDescent="0.15">
      <c r="A17" s="73" t="s">
        <v>160</v>
      </c>
      <c r="B17" s="26">
        <f>SUM(B5:B16)</f>
        <v>94226501.539999992</v>
      </c>
      <c r="C17" s="176">
        <f>B17/B17</f>
        <v>1</v>
      </c>
      <c r="D17" s="26">
        <f>SUM(D5:D16)</f>
        <v>116038290.52</v>
      </c>
      <c r="E17" s="176">
        <f>D17/D17</f>
        <v>1</v>
      </c>
      <c r="F17" s="26">
        <f>SUM(F5:F16)</f>
        <v>123865799.90000001</v>
      </c>
      <c r="G17" s="176">
        <f>F17/F17</f>
        <v>1</v>
      </c>
      <c r="H17" s="26">
        <f>SUM(H5:H16)</f>
        <v>153888659.43000001</v>
      </c>
      <c r="I17" s="176">
        <f>H17/H17</f>
        <v>1</v>
      </c>
      <c r="J17" s="26">
        <f>SUM(J5:J16)</f>
        <v>181337453.68000001</v>
      </c>
      <c r="K17" s="176">
        <f>J17/J17</f>
        <v>1</v>
      </c>
      <c r="L17" s="177">
        <f>SUM(L5:L16)</f>
        <v>235019191.05008399</v>
      </c>
      <c r="M17" s="176">
        <f>L17/L17</f>
        <v>1</v>
      </c>
      <c r="N17" s="177">
        <f>SUM(N5:N16)</f>
        <v>219998681.28764576</v>
      </c>
      <c r="O17" s="177">
        <f>SUM(O5:O16)</f>
        <v>250865697.16134283</v>
      </c>
      <c r="P17" s="180"/>
      <c r="Q17" s="66">
        <v>14</v>
      </c>
      <c r="R17" s="73" t="s">
        <v>194</v>
      </c>
      <c r="S17" s="179">
        <f>180557.04*M5</f>
        <v>12350.530390926378</v>
      </c>
      <c r="T17" s="179">
        <f>180557.04*M6</f>
        <v>10984.629382597486</v>
      </c>
      <c r="U17" s="179">
        <f>180557.04*M7</f>
        <v>14370.244493546994</v>
      </c>
      <c r="V17" s="179">
        <f>180557.04*M8</f>
        <v>14858.90307431248</v>
      </c>
      <c r="W17" s="179">
        <f>180557.04*M9</f>
        <v>15619.84674341746</v>
      </c>
      <c r="X17" s="179">
        <f>180557.04*M10</f>
        <v>14335.26469642731</v>
      </c>
      <c r="Y17" s="179">
        <f>180557.04*M11</f>
        <v>16564.207117667356</v>
      </c>
      <c r="Z17" s="179">
        <f>180557.04*M12</f>
        <v>14213.902260408258</v>
      </c>
      <c r="AA17" s="179">
        <f>180557.04*M13</f>
        <v>14102.401946511374</v>
      </c>
      <c r="AB17" s="179">
        <f>180557.04*M14</f>
        <v>14561.49708297088</v>
      </c>
      <c r="AC17" s="179">
        <f>180557.04*M15</f>
        <v>14845.971939747436</v>
      </c>
      <c r="AD17" s="179">
        <f>180557.04*M16</f>
        <v>23749.640871466632</v>
      </c>
      <c r="AE17" s="26">
        <f t="shared" si="3"/>
        <v>180557.04000000004</v>
      </c>
      <c r="AF17" s="175">
        <f t="shared" si="1"/>
        <v>7.6826509015421977E-4</v>
      </c>
      <c r="AG17" s="338"/>
      <c r="AH17" s="404"/>
      <c r="AI17" s="423"/>
    </row>
    <row r="18" spans="1:35" x14ac:dyDescent="0.15">
      <c r="A18" s="1208" t="s">
        <v>195</v>
      </c>
      <c r="B18" s="1209"/>
      <c r="C18" s="181"/>
      <c r="D18" s="181">
        <f>(D17-B17)/B17</f>
        <v>0.23148253011113551</v>
      </c>
      <c r="E18" s="182"/>
      <c r="F18" s="181">
        <f>(F17-D17)/D17</f>
        <v>6.7456262453736204E-2</v>
      </c>
      <c r="G18" s="66"/>
      <c r="H18" s="181">
        <f>(H17-F17)/F17</f>
        <v>0.2423821551569377</v>
      </c>
      <c r="I18" s="66"/>
      <c r="J18" s="181">
        <f>(J17-H17)/H17</f>
        <v>0.17836788202372866</v>
      </c>
      <c r="K18" s="183"/>
      <c r="L18" s="181">
        <f>(L17-J17)/J17</f>
        <v>0.29603226625655787</v>
      </c>
      <c r="M18" s="66"/>
      <c r="N18" s="181">
        <f>(N17-L17)/L17</f>
        <v>-6.3911843519354458E-2</v>
      </c>
      <c r="O18" s="181">
        <f>(O17-N17)/N17</f>
        <v>0.14030545861926691</v>
      </c>
      <c r="Q18" s="66">
        <v>15</v>
      </c>
      <c r="R18" s="73" t="s">
        <v>67</v>
      </c>
      <c r="S18" s="179">
        <f>53822953.91*M5</f>
        <v>3681617.886485538</v>
      </c>
      <c r="T18" s="179">
        <f>53822953.91*M6</f>
        <v>3274451.1151599307</v>
      </c>
      <c r="U18" s="179">
        <f>53822953.91*M7</f>
        <v>4283682.3590573426</v>
      </c>
      <c r="V18" s="179">
        <f>53822953.91*M8</f>
        <v>4429348.5057236087</v>
      </c>
      <c r="W18" s="179">
        <f>53822953.91*M9</f>
        <v>4656181.1788242729</v>
      </c>
      <c r="X18" s="179">
        <f>53822953.91*M10</f>
        <v>4273255.0945864925</v>
      </c>
      <c r="Y18" s="179">
        <f>53822953.91*M11</f>
        <v>4937689.25459735</v>
      </c>
      <c r="Z18" s="179">
        <f>53822953.91*M12</f>
        <v>4237077.6915882006</v>
      </c>
      <c r="AA18" s="179">
        <f>53822953.91*M13</f>
        <v>4203840.1271275599</v>
      </c>
      <c r="AB18" s="179">
        <f>53822953.91*M14</f>
        <v>4340693.5911075026</v>
      </c>
      <c r="AC18" s="179">
        <f>53822953.91*M15</f>
        <v>4425493.813269089</v>
      </c>
      <c r="AD18" s="179">
        <f>53822953.91*M16</f>
        <v>7079623.2924731188</v>
      </c>
      <c r="AE18" s="26">
        <f t="shared" si="3"/>
        <v>53822953.909999996</v>
      </c>
      <c r="AF18" s="175">
        <f t="shared" si="1"/>
        <v>0.22901514412305693</v>
      </c>
      <c r="AG18" s="338"/>
      <c r="AH18" s="404"/>
      <c r="AI18" s="423"/>
    </row>
    <row r="19" spans="1:35" x14ac:dyDescent="0.15">
      <c r="A19" s="184"/>
      <c r="B19" s="184"/>
      <c r="C19" s="184"/>
      <c r="D19" s="184"/>
      <c r="E19" s="184"/>
      <c r="F19" s="184"/>
      <c r="G19" s="184"/>
      <c r="H19" s="184"/>
      <c r="I19" s="184"/>
      <c r="J19" s="184"/>
      <c r="K19" s="184"/>
      <c r="L19" s="338">
        <f>235019191.05-L17</f>
        <v>-8.3982944488525391E-5</v>
      </c>
      <c r="M19" s="184"/>
      <c r="N19" s="185"/>
      <c r="O19" s="185"/>
      <c r="P19" s="171"/>
      <c r="Q19" s="66">
        <v>16</v>
      </c>
      <c r="R19" s="73" t="s">
        <v>68</v>
      </c>
      <c r="S19" s="179">
        <f>4892448.28*M5</f>
        <v>334655.08278256829</v>
      </c>
      <c r="T19" s="179">
        <f>4892448.28*M6</f>
        <v>297644.06377799797</v>
      </c>
      <c r="U19" s="179">
        <f>4892448.28*M7</f>
        <v>389382.0919728938</v>
      </c>
      <c r="V19" s="179">
        <f>4892448.28*M8</f>
        <v>402622.98711037135</v>
      </c>
      <c r="W19" s="179">
        <f>4892448.28*M9</f>
        <v>423241.83168762818</v>
      </c>
      <c r="X19" s="179">
        <f>4892448.28*M10</f>
        <v>388434.26491362794</v>
      </c>
      <c r="Y19" s="179">
        <f>4892448.28*M11</f>
        <v>448830.61121513409</v>
      </c>
      <c r="Z19" s="179">
        <f>4892448.28*M12</f>
        <v>385145.77812098875</v>
      </c>
      <c r="AA19" s="179">
        <f>4892448.28*M13</f>
        <v>382124.51947084547</v>
      </c>
      <c r="AB19" s="179">
        <f>4892448.28*M14</f>
        <v>394564.3512864738</v>
      </c>
      <c r="AC19" s="179">
        <f>4892448.28*M15</f>
        <v>402272.59973660181</v>
      </c>
      <c r="AD19" s="179">
        <f>4892448.28*M16</f>
        <v>643530.09792486974</v>
      </c>
      <c r="AE19" s="26">
        <f>SUM(S19:AD19)</f>
        <v>4892448.2800000012</v>
      </c>
      <c r="AF19" s="175">
        <f t="shared" si="1"/>
        <v>2.0817228832002661E-2</v>
      </c>
      <c r="AG19" s="338"/>
      <c r="AH19" s="404"/>
      <c r="AI19" s="423"/>
    </row>
    <row r="20" spans="1:35" x14ac:dyDescent="0.15">
      <c r="A20" s="170" t="s">
        <v>166</v>
      </c>
      <c r="B20" s="1205" t="s">
        <v>196</v>
      </c>
      <c r="C20" s="1205"/>
      <c r="D20" s="1205"/>
      <c r="E20" s="1205"/>
      <c r="F20" s="1205"/>
      <c r="G20" s="1205"/>
      <c r="H20" s="1205"/>
      <c r="I20" s="1205"/>
      <c r="J20" s="1205"/>
      <c r="K20" s="1205"/>
      <c r="L20" s="1205" t="s">
        <v>168</v>
      </c>
      <c r="M20" s="1205"/>
      <c r="N20" s="1205" t="s">
        <v>169</v>
      </c>
      <c r="O20" s="1205"/>
      <c r="P20" s="36"/>
      <c r="Q20" s="186" t="s">
        <v>197</v>
      </c>
      <c r="R20" s="73" t="s">
        <v>182</v>
      </c>
      <c r="S20" s="26">
        <f>SUM(S4:S19)</f>
        <v>16159624.118885797</v>
      </c>
      <c r="T20" s="26">
        <f t="shared" ref="T20:AD20" si="6">SUM(T4:T19)</f>
        <v>14424155.323957901</v>
      </c>
      <c r="U20" s="26">
        <f t="shared" si="6"/>
        <v>18725806.278793745</v>
      </c>
      <c r="V20" s="26">
        <f t="shared" si="6"/>
        <v>19346679.763124648</v>
      </c>
      <c r="W20" s="26">
        <f t="shared" si="6"/>
        <v>20313509.704955719</v>
      </c>
      <c r="X20" s="26">
        <f t="shared" si="6"/>
        <v>18681362.101665273</v>
      </c>
      <c r="Y20" s="26">
        <f>SUM(Y4:Y19)</f>
        <v>21513382.866102468</v>
      </c>
      <c r="Z20" s="26">
        <f>SUM(Z4:Z19)</f>
        <v>18527162.991112463</v>
      </c>
      <c r="AA20" s="26">
        <f>SUM(AA4:AA19)</f>
        <v>18385494.367828082</v>
      </c>
      <c r="AB20" s="26">
        <f>SUM(AB4:AB19)</f>
        <v>18968805.514368206</v>
      </c>
      <c r="AC20" s="26">
        <f>SUM(AC4:AC19)</f>
        <v>19330249.88981479</v>
      </c>
      <c r="AD20" s="26">
        <f t="shared" si="6"/>
        <v>30642958.129390951</v>
      </c>
      <c r="AE20" s="26">
        <f>SUM(AE4:AE19)</f>
        <v>235019191.04999998</v>
      </c>
      <c r="AF20" s="100">
        <f>SUM(AF4:AF19)</f>
        <v>1.0000000000000002</v>
      </c>
      <c r="AG20" s="90"/>
      <c r="AH20" s="404"/>
      <c r="AI20" s="423"/>
    </row>
    <row r="21" spans="1:35" x14ac:dyDescent="0.15">
      <c r="A21" s="173" t="s">
        <v>183</v>
      </c>
      <c r="B21" s="173">
        <f>B4</f>
        <v>2018</v>
      </c>
      <c r="C21" s="174" t="s">
        <v>184</v>
      </c>
      <c r="D21" s="173">
        <f>D4</f>
        <v>2019</v>
      </c>
      <c r="E21" s="173"/>
      <c r="F21" s="173">
        <f>F4</f>
        <v>2020</v>
      </c>
      <c r="G21" s="174" t="s">
        <v>184</v>
      </c>
      <c r="H21" s="173">
        <f>H4</f>
        <v>2021</v>
      </c>
      <c r="I21" s="174" t="s">
        <v>184</v>
      </c>
      <c r="J21" s="173">
        <f>J4</f>
        <v>2022</v>
      </c>
      <c r="K21" s="174" t="s">
        <v>184</v>
      </c>
      <c r="L21" s="173">
        <f>L4</f>
        <v>2023</v>
      </c>
      <c r="M21" s="173" t="s">
        <v>184</v>
      </c>
      <c r="N21" s="173">
        <f>N4</f>
        <v>2024</v>
      </c>
      <c r="O21" s="173">
        <f>O4</f>
        <v>2025</v>
      </c>
      <c r="P21" s="178"/>
      <c r="Q21" s="296"/>
      <c r="R21" s="297" t="s">
        <v>198</v>
      </c>
      <c r="S21" s="181">
        <f>S20/$AE$20</f>
        <v>6.8758742835804673E-2</v>
      </c>
      <c r="T21" s="181">
        <f t="shared" ref="T21:AC21" si="7">T20/$AE$20</f>
        <v>6.1374372277918289E-2</v>
      </c>
      <c r="U21" s="181">
        <f t="shared" si="7"/>
        <v>7.9677775228193415E-2</v>
      </c>
      <c r="V21" s="181">
        <f t="shared" si="7"/>
        <v>8.2319574315140379E-2</v>
      </c>
      <c r="W21" s="181">
        <f t="shared" si="7"/>
        <v>8.6433408328063094E-2</v>
      </c>
      <c r="X21" s="181">
        <f t="shared" si="7"/>
        <v>7.9488666513582037E-2</v>
      </c>
      <c r="Y21" s="181">
        <f t="shared" si="7"/>
        <v>9.1538834637234071E-2</v>
      </c>
      <c r="Z21" s="181">
        <f t="shared" si="7"/>
        <v>7.8832553666525196E-2</v>
      </c>
      <c r="AA21" s="181">
        <f t="shared" si="7"/>
        <v>7.8229757687816204E-2</v>
      </c>
      <c r="AB21" s="181">
        <f>AB20/$AE$20</f>
        <v>8.0711730091576311E-2</v>
      </c>
      <c r="AC21" s="181">
        <f t="shared" si="7"/>
        <v>8.2249665669652944E-2</v>
      </c>
      <c r="AD21" s="181">
        <f>AD20/$AE$20</f>
        <v>0.13038491874849364</v>
      </c>
      <c r="AE21" s="181">
        <f>AE20/$AE$20</f>
        <v>1</v>
      </c>
      <c r="AF21" s="35">
        <f>AE20-235019191.05</f>
        <v>0</v>
      </c>
    </row>
    <row r="22" spans="1:35" x14ac:dyDescent="0.15">
      <c r="A22" s="170" t="s">
        <v>38</v>
      </c>
      <c r="B22" s="26">
        <v>7670864.2400000002</v>
      </c>
      <c r="C22" s="176">
        <f>B22/B34</f>
        <v>7.2802734232698077E-2</v>
      </c>
      <c r="D22" s="26">
        <v>7979821.7400000002</v>
      </c>
      <c r="E22" s="176">
        <f>D22/D34</f>
        <v>6.8577942666855726E-2</v>
      </c>
      <c r="F22" s="26">
        <f>7671797.23</f>
        <v>7671797.2300000004</v>
      </c>
      <c r="G22" s="176">
        <f>F22/F34</f>
        <v>6.2068218910190799E-2</v>
      </c>
      <c r="H22" s="26">
        <v>9502229.8300000001</v>
      </c>
      <c r="I22" s="176">
        <f>H22/H34</f>
        <v>6.8250821360057237E-2</v>
      </c>
      <c r="J22" s="26">
        <f>21974771.81-J23</f>
        <v>10042746.339999998</v>
      </c>
      <c r="K22" s="176">
        <f>J22/J34</f>
        <v>5.5878270828291311E-2</v>
      </c>
      <c r="L22" s="26">
        <f>12473185.97</f>
        <v>12473185.970000001</v>
      </c>
      <c r="M22" s="176">
        <f>L22/L34</f>
        <v>5.3073052945228572E-2</v>
      </c>
      <c r="N22" s="177">
        <f>(F22+H22+J22+L22)/3.2</f>
        <v>12403112.303124998</v>
      </c>
      <c r="O22" s="177">
        <f>(H22+J22+L22+N22)/3.3</f>
        <v>13460992.255492423</v>
      </c>
      <c r="P22" s="178"/>
      <c r="Q22" s="187" t="s">
        <v>199</v>
      </c>
      <c r="R22" s="188"/>
      <c r="S22" s="181" t="s">
        <v>200</v>
      </c>
      <c r="T22" s="189">
        <f>S20+T20</f>
        <v>30583779.442843698</v>
      </c>
      <c r="U22" s="181" t="s">
        <v>201</v>
      </c>
      <c r="V22" s="190">
        <f>U20+V20</f>
        <v>38072486.041918397</v>
      </c>
      <c r="W22" s="181" t="s">
        <v>202</v>
      </c>
      <c r="X22" s="190">
        <f>W20+X20</f>
        <v>38994871.806620993</v>
      </c>
      <c r="Y22" s="181" t="s">
        <v>203</v>
      </c>
      <c r="Z22" s="190">
        <f>Y20+Z20</f>
        <v>40040545.857214928</v>
      </c>
      <c r="AA22" s="181" t="s">
        <v>204</v>
      </c>
      <c r="AB22" s="190">
        <f>AA20+AB20</f>
        <v>37354299.882196292</v>
      </c>
      <c r="AC22" s="181" t="s">
        <v>205</v>
      </c>
      <c r="AD22" s="190">
        <f>AC20+AD20</f>
        <v>49973208.019205742</v>
      </c>
      <c r="AE22" s="26">
        <f>SUM(S22:AD22)</f>
        <v>235019191.05000007</v>
      </c>
      <c r="AG22" s="90"/>
    </row>
    <row r="23" spans="1:35" x14ac:dyDescent="0.15">
      <c r="A23" s="170" t="s">
        <v>39</v>
      </c>
      <c r="B23" s="26">
        <f>7361356.62+32710.31</f>
        <v>7394066.9299999997</v>
      </c>
      <c r="C23" s="176">
        <f>B23/B34</f>
        <v>7.0175702862337666E-2</v>
      </c>
      <c r="D23" s="26">
        <v>7902084.6200000001</v>
      </c>
      <c r="E23" s="176">
        <f>D23/D34</f>
        <v>6.7909876144551864E-2</v>
      </c>
      <c r="F23" s="26">
        <f>8682002.48</f>
        <v>8682002.4800000004</v>
      </c>
      <c r="G23" s="176">
        <f>F23/F34</f>
        <v>7.024122436398901E-2</v>
      </c>
      <c r="H23" s="26">
        <v>9870035.4800000004</v>
      </c>
      <c r="I23" s="176">
        <f>H23/H34</f>
        <v>7.0892626300842351E-2</v>
      </c>
      <c r="J23" s="26">
        <f>11932025.47</f>
        <v>11932025.470000001</v>
      </c>
      <c r="K23" s="176">
        <f>J23/J34</f>
        <v>6.6390300837044752E-2</v>
      </c>
      <c r="L23" s="26">
        <f>14380209.56</f>
        <v>14380209.560000001</v>
      </c>
      <c r="M23" s="176">
        <f>L23/L34</f>
        <v>6.1187384295959636E-2</v>
      </c>
      <c r="N23" s="177">
        <f t="shared" ref="N23:N33" si="8">(F23+H23+J23+L23)/3</f>
        <v>14954757.663333334</v>
      </c>
      <c r="O23" s="177">
        <f t="shared" ref="O23:O33" si="9">(H23+J23+L23+N23)/3.3</f>
        <v>15496069.143434346</v>
      </c>
      <c r="P23" s="178"/>
      <c r="Q23" s="66" t="s">
        <v>50</v>
      </c>
      <c r="R23" s="172" t="s">
        <v>51</v>
      </c>
      <c r="S23" s="66" t="s">
        <v>170</v>
      </c>
      <c r="T23" s="66" t="s">
        <v>171</v>
      </c>
      <c r="U23" s="66" t="s">
        <v>172</v>
      </c>
      <c r="V23" s="66" t="s">
        <v>173</v>
      </c>
      <c r="W23" s="66" t="s">
        <v>174</v>
      </c>
      <c r="X23" s="66" t="s">
        <v>175</v>
      </c>
      <c r="Y23" s="66" t="s">
        <v>176</v>
      </c>
      <c r="Z23" s="66" t="s">
        <v>177</v>
      </c>
      <c r="AA23" s="66" t="s">
        <v>178</v>
      </c>
      <c r="AB23" s="66" t="s">
        <v>179</v>
      </c>
      <c r="AC23" s="66" t="s">
        <v>180</v>
      </c>
      <c r="AD23" s="66" t="s">
        <v>181</v>
      </c>
      <c r="AE23" s="66" t="s">
        <v>182</v>
      </c>
    </row>
    <row r="24" spans="1:35" x14ac:dyDescent="0.15">
      <c r="A24" s="170" t="s">
        <v>40</v>
      </c>
      <c r="B24" s="26">
        <v>8190765.7999999998</v>
      </c>
      <c r="C24" s="176">
        <f>B24/B34</f>
        <v>7.7737022458328961E-2</v>
      </c>
      <c r="D24" s="26">
        <f>9215305.68</f>
        <v>9215305.6799999997</v>
      </c>
      <c r="E24" s="176">
        <f>D24/D34</f>
        <v>7.9195591727665562E-2</v>
      </c>
      <c r="F24" s="26">
        <v>9514390.5500000007</v>
      </c>
      <c r="G24" s="176">
        <f>F24/F34</f>
        <v>7.6975610505603864E-2</v>
      </c>
      <c r="H24" s="26">
        <v>11697778.77</v>
      </c>
      <c r="I24" s="176">
        <f>H24/H34</f>
        <v>8.402059552591773E-2</v>
      </c>
      <c r="J24" s="26">
        <v>12995713.24</v>
      </c>
      <c r="K24" s="176">
        <f>J24/J34</f>
        <v>7.2308705153607544E-2</v>
      </c>
      <c r="L24" s="26">
        <f>((D24+F24+H24+J24)/2.34)</f>
        <v>18556918.051282052</v>
      </c>
      <c r="M24" s="176">
        <f>L24/L34</f>
        <v>7.8959160602971437E-2</v>
      </c>
      <c r="N24" s="177">
        <f t="shared" si="8"/>
        <v>17588266.870427351</v>
      </c>
      <c r="O24" s="177">
        <f t="shared" si="9"/>
        <v>18435962.706578609</v>
      </c>
      <c r="P24" s="178"/>
      <c r="Q24" s="66">
        <v>1</v>
      </c>
      <c r="R24" s="73" t="s">
        <v>54</v>
      </c>
      <c r="S24" s="68">
        <f>380181.05</f>
        <v>380181.05</v>
      </c>
      <c r="T24" s="68">
        <f>407362.01</f>
        <v>407362.01</v>
      </c>
      <c r="U24" s="68">
        <f>405709.43</f>
        <v>405709.43</v>
      </c>
      <c r="V24" s="68">
        <f>394927.16</f>
        <v>394927.16</v>
      </c>
      <c r="W24" s="68">
        <v>415481.05</v>
      </c>
      <c r="X24" s="68">
        <f>407349.63</f>
        <v>407349.63</v>
      </c>
      <c r="Y24" s="68"/>
      <c r="Z24" s="68"/>
      <c r="AA24" s="68"/>
      <c r="AB24" s="68"/>
      <c r="AC24" s="68"/>
      <c r="AD24" s="68"/>
      <c r="AE24" s="26">
        <f>SUM(S24:AD24)</f>
        <v>2411010.33</v>
      </c>
      <c r="AF24" s="181">
        <f>AE24/$AE$40</f>
        <v>2.6518740842326641E-2</v>
      </c>
    </row>
    <row r="25" spans="1:35" x14ac:dyDescent="0.15">
      <c r="A25" s="170" t="s">
        <v>41</v>
      </c>
      <c r="B25" s="26">
        <v>7513399.3099999996</v>
      </c>
      <c r="C25" s="176">
        <f>B25/B34</f>
        <v>7.1308264106374933E-2</v>
      </c>
      <c r="D25" s="26">
        <v>9663995.9100000001</v>
      </c>
      <c r="E25" s="176">
        <f>D25/D34</f>
        <v>8.3051599276540752E-2</v>
      </c>
      <c r="F25" s="26">
        <f>10634576.05</f>
        <v>10634576.050000001</v>
      </c>
      <c r="G25" s="176">
        <f>F25/F34</f>
        <v>8.6038404626665579E-2</v>
      </c>
      <c r="H25" s="26">
        <f>9795349.04</f>
        <v>9795349.0399999991</v>
      </c>
      <c r="I25" s="176">
        <f>H25/H34</f>
        <v>7.0356182648599233E-2</v>
      </c>
      <c r="J25" s="26">
        <v>13061736.99</v>
      </c>
      <c r="K25" s="176">
        <f>J25/J34</f>
        <v>7.2676064126810422E-2</v>
      </c>
      <c r="L25" s="26">
        <f t="shared" ref="L25:L32" si="10">((D25+F25+H25+J25)/2.34)</f>
        <v>18442588.884615388</v>
      </c>
      <c r="M25" s="176">
        <f>L25/L34</f>
        <v>7.8472693237674584E-2</v>
      </c>
      <c r="N25" s="177">
        <f t="shared" si="8"/>
        <v>17311416.988205131</v>
      </c>
      <c r="O25" s="177">
        <f t="shared" si="9"/>
        <v>17760936.940248646</v>
      </c>
      <c r="P25" s="178"/>
      <c r="Q25" s="66">
        <v>2</v>
      </c>
      <c r="R25" s="73" t="s">
        <v>55</v>
      </c>
      <c r="S25" s="68">
        <f>300511.31</f>
        <v>300511.31</v>
      </c>
      <c r="T25" s="68">
        <v>229673.64</v>
      </c>
      <c r="U25" s="68">
        <f>252216.61</f>
        <v>252216.61</v>
      </c>
      <c r="V25" s="68">
        <f>367877.5</f>
        <v>367877.5</v>
      </c>
      <c r="W25" s="68">
        <f>204196.1</f>
        <v>204196.1</v>
      </c>
      <c r="X25" s="68">
        <f>176371.38</f>
        <v>176371.38</v>
      </c>
      <c r="Y25" s="68"/>
      <c r="Z25" s="68"/>
      <c r="AA25" s="68"/>
      <c r="AB25" s="68"/>
      <c r="AC25" s="68"/>
      <c r="AD25" s="68"/>
      <c r="AE25" s="26">
        <f t="shared" ref="AE25:AE39" si="11">SUM(S25:AD25)</f>
        <v>1530846.54</v>
      </c>
      <c r="AF25" s="181">
        <f t="shared" ref="AF25:AF40" si="12">AE25/$AE$40</f>
        <v>1.683780536254792E-2</v>
      </c>
    </row>
    <row r="26" spans="1:35" x14ac:dyDescent="0.15">
      <c r="A26" s="170" t="s">
        <v>185</v>
      </c>
      <c r="B26" s="26">
        <v>8332242.9400000004</v>
      </c>
      <c r="C26" s="176">
        <f>B26/B34</f>
        <v>7.9079755467435411E-2</v>
      </c>
      <c r="D26" s="26">
        <f>9721771.29</f>
        <v>9721771.2899999991</v>
      </c>
      <c r="E26" s="176">
        <f>D26/D34</f>
        <v>8.3548116219686872E-2</v>
      </c>
      <c r="F26" s="26">
        <f>8693274.76</f>
        <v>8693274.7599999998</v>
      </c>
      <c r="G26" s="176">
        <f>F26/F34</f>
        <v>7.0332422074470852E-2</v>
      </c>
      <c r="H26" s="26">
        <v>11144329.4</v>
      </c>
      <c r="I26" s="176">
        <f>H26/H34</f>
        <v>8.0045383943005907E-2</v>
      </c>
      <c r="J26" s="26">
        <f>14078822.64</f>
        <v>14078822.640000001</v>
      </c>
      <c r="K26" s="176">
        <f>J26/J34</f>
        <v>7.8335172251438087E-2</v>
      </c>
      <c r="L26" s="26">
        <f t="shared" si="10"/>
        <v>18648802.602564104</v>
      </c>
      <c r="M26" s="176">
        <f>L26/L34</f>
        <v>7.9350126765647913E-2</v>
      </c>
      <c r="N26" s="177">
        <f t="shared" si="8"/>
        <v>17521743.134188034</v>
      </c>
      <c r="O26" s="177">
        <f t="shared" si="9"/>
        <v>18604150.841440041</v>
      </c>
      <c r="P26" s="178"/>
      <c r="Q26" s="66">
        <v>3</v>
      </c>
      <c r="R26" s="73" t="s">
        <v>56</v>
      </c>
      <c r="S26" s="68">
        <f>54531.16</f>
        <v>54531.16</v>
      </c>
      <c r="T26" s="68">
        <f>63180.25</f>
        <v>63180.25</v>
      </c>
      <c r="U26" s="68">
        <f>83340.97</f>
        <v>83340.97</v>
      </c>
      <c r="V26" s="68">
        <f>70157.45</f>
        <v>70157.45</v>
      </c>
      <c r="W26" s="68">
        <f>72666.56</f>
        <v>72666.559999999998</v>
      </c>
      <c r="X26" s="68">
        <f>58351.64</f>
        <v>58351.64</v>
      </c>
      <c r="Y26" s="68"/>
      <c r="Z26" s="68"/>
      <c r="AA26" s="68"/>
      <c r="AB26" s="68"/>
      <c r="AC26" s="68"/>
      <c r="AD26" s="68"/>
      <c r="AE26" s="26">
        <f t="shared" si="11"/>
        <v>402228.03</v>
      </c>
      <c r="AF26" s="181">
        <f t="shared" si="12"/>
        <v>4.4241124786427548E-3</v>
      </c>
    </row>
    <row r="27" spans="1:35" x14ac:dyDescent="0.15">
      <c r="A27" s="170" t="s">
        <v>186</v>
      </c>
      <c r="B27" s="26">
        <v>9391234.2699999996</v>
      </c>
      <c r="C27" s="176">
        <f>B27/B34</f>
        <v>8.9130443622062613E-2</v>
      </c>
      <c r="D27" s="26">
        <v>9467660.9700000007</v>
      </c>
      <c r="E27" s="176">
        <f>D27/D34</f>
        <v>8.1364312680735101E-2</v>
      </c>
      <c r="F27" s="26">
        <f>10697988.26</f>
        <v>10697988.26</v>
      </c>
      <c r="G27" s="176">
        <f>F27/F34</f>
        <v>8.6551437337758094E-2</v>
      </c>
      <c r="H27" s="26">
        <v>10512021.27</v>
      </c>
      <c r="I27" s="176">
        <f>H27/H34</f>
        <v>7.5503760555946473E-2</v>
      </c>
      <c r="J27" s="26">
        <f>17263926.67</f>
        <v>17263926.670000002</v>
      </c>
      <c r="K27" s="176">
        <f>J27/J34</f>
        <v>9.6057227511933907E-2</v>
      </c>
      <c r="L27" s="26">
        <f t="shared" si="10"/>
        <v>20487862.03846154</v>
      </c>
      <c r="M27" s="176">
        <f>L27/L34</f>
        <v>8.7175272566052175E-2</v>
      </c>
      <c r="N27" s="177">
        <f t="shared" si="8"/>
        <v>19653932.746153846</v>
      </c>
      <c r="O27" s="177">
        <f t="shared" si="9"/>
        <v>20581134.158974364</v>
      </c>
      <c r="P27" s="178"/>
      <c r="Q27" s="66">
        <v>4</v>
      </c>
      <c r="R27" s="73" t="s">
        <v>57</v>
      </c>
      <c r="S27" s="68">
        <f>179704.15</f>
        <v>179704.15</v>
      </c>
      <c r="T27" s="68">
        <f>186728.17</f>
        <v>186728.17</v>
      </c>
      <c r="U27" s="68">
        <f>190483.16</f>
        <v>190483.16</v>
      </c>
      <c r="V27" s="68">
        <f>206115.21</f>
        <v>206115.21</v>
      </c>
      <c r="W27" s="68">
        <f>466686.19</f>
        <v>466686.19</v>
      </c>
      <c r="X27" s="68">
        <f>207274.35</f>
        <v>207274.35</v>
      </c>
      <c r="Y27" s="68"/>
      <c r="Z27" s="68"/>
      <c r="AA27" s="68"/>
      <c r="AB27" s="68"/>
      <c r="AC27" s="68"/>
      <c r="AD27" s="68"/>
      <c r="AE27" s="26">
        <f t="shared" si="11"/>
        <v>1436991.23</v>
      </c>
      <c r="AF27" s="181">
        <f t="shared" si="12"/>
        <v>1.5805489319934269E-2</v>
      </c>
    </row>
    <row r="28" spans="1:35" x14ac:dyDescent="0.15">
      <c r="A28" s="170" t="s">
        <v>187</v>
      </c>
      <c r="B28" s="26">
        <f>8712975.37</f>
        <v>8712975.3699999992</v>
      </c>
      <c r="C28" s="176">
        <f>B28/B34</f>
        <v>8.2693215574123374E-2</v>
      </c>
      <c r="D28" s="26">
        <v>8718239.5999999996</v>
      </c>
      <c r="E28" s="176">
        <f>D28/D34</f>
        <v>7.4923846036278885E-2</v>
      </c>
      <c r="F28" s="26">
        <v>9134531.9900000002</v>
      </c>
      <c r="G28" s="176">
        <f>F28/F34</f>
        <v>7.3902387432815492E-2</v>
      </c>
      <c r="H28" s="26">
        <f>11281097.36</f>
        <v>11281097.359999999</v>
      </c>
      <c r="I28" s="176">
        <f>H28/H34</f>
        <v>8.10277350093071E-2</v>
      </c>
      <c r="J28" s="26">
        <v>14170674.460000001</v>
      </c>
      <c r="K28" s="176">
        <f>J28/J34</f>
        <v>7.8846239712495908E-2</v>
      </c>
      <c r="L28" s="26">
        <f t="shared" si="10"/>
        <v>18506215.132478632</v>
      </c>
      <c r="M28" s="176">
        <f>L28/L34</f>
        <v>7.8743421119843102E-2</v>
      </c>
      <c r="N28" s="177">
        <f t="shared" si="8"/>
        <v>17697506.314159546</v>
      </c>
      <c r="O28" s="177">
        <f t="shared" si="9"/>
        <v>18683482.808072176</v>
      </c>
      <c r="P28" s="178"/>
      <c r="Q28" s="66">
        <v>5</v>
      </c>
      <c r="R28" s="73" t="s">
        <v>58</v>
      </c>
      <c r="S28" s="68">
        <f>1110178.27</f>
        <v>1110178.27</v>
      </c>
      <c r="T28" s="68">
        <f>1231108.2</f>
        <v>1231108.2</v>
      </c>
      <c r="U28" s="68">
        <f>1252851.03</f>
        <v>1252851.03</v>
      </c>
      <c r="V28" s="68">
        <f>1263128.35</f>
        <v>1263128.3500000001</v>
      </c>
      <c r="W28" s="68">
        <f>1251133.28</f>
        <v>1251133.28</v>
      </c>
      <c r="X28" s="68">
        <f>1249517.24</f>
        <v>1249517.24</v>
      </c>
      <c r="Y28" s="68"/>
      <c r="Z28" s="68"/>
      <c r="AA28" s="68"/>
      <c r="AB28" s="68"/>
      <c r="AC28" s="68"/>
      <c r="AD28" s="68"/>
      <c r="AE28" s="26">
        <f t="shared" si="11"/>
        <v>7357916.3700000001</v>
      </c>
      <c r="AF28" s="181">
        <f t="shared" si="12"/>
        <v>8.092983880145499E-2</v>
      </c>
    </row>
    <row r="29" spans="1:35" x14ac:dyDescent="0.15">
      <c r="A29" s="170" t="s">
        <v>188</v>
      </c>
      <c r="B29" s="26">
        <f>8881833.91</f>
        <v>8881833.9100000001</v>
      </c>
      <c r="C29" s="176">
        <f>B29/B34</f>
        <v>8.429582031668123E-2</v>
      </c>
      <c r="D29" s="26">
        <v>9251295.0899999999</v>
      </c>
      <c r="E29" s="176">
        <f>D29/D34</f>
        <v>7.9504881806568256E-2</v>
      </c>
      <c r="F29" s="26">
        <f>9036456.79</f>
        <v>9036456.7899999991</v>
      </c>
      <c r="G29" s="176">
        <f>F29/F34</f>
        <v>7.3108915864060181E-2</v>
      </c>
      <c r="H29" s="26">
        <v>11242671.82</v>
      </c>
      <c r="I29" s="176">
        <f>H29/H34</f>
        <v>8.0751739299550235E-2</v>
      </c>
      <c r="J29" s="26">
        <f>13856574.9</f>
        <v>13856574.9</v>
      </c>
      <c r="K29" s="176">
        <f>J29/J34</f>
        <v>7.7098576305841826E-2</v>
      </c>
      <c r="L29" s="26">
        <f t="shared" si="10"/>
        <v>18541452.393162396</v>
      </c>
      <c r="M29" s="176">
        <f>L29/L34</f>
        <v>7.8893354665804188E-2</v>
      </c>
      <c r="N29" s="177">
        <f t="shared" si="8"/>
        <v>17559051.967720795</v>
      </c>
      <c r="O29" s="177">
        <f t="shared" si="9"/>
        <v>18545379.115419149</v>
      </c>
      <c r="P29" s="178"/>
      <c r="Q29" s="66">
        <v>6</v>
      </c>
      <c r="R29" s="73" t="s">
        <v>59</v>
      </c>
      <c r="S29" s="68">
        <f>308458.48</f>
        <v>308458.48</v>
      </c>
      <c r="T29" s="68">
        <f>309404.82</f>
        <v>309404.82</v>
      </c>
      <c r="U29" s="68">
        <f>309406.06</f>
        <v>309406.06</v>
      </c>
      <c r="V29" s="68">
        <f>348009.02</f>
        <v>348009.02</v>
      </c>
      <c r="W29" s="68">
        <f>325445.15</f>
        <v>325445.15000000002</v>
      </c>
      <c r="X29" s="68">
        <f>316913.05</f>
        <v>316913.05</v>
      </c>
      <c r="Y29" s="68"/>
      <c r="Z29" s="68"/>
      <c r="AA29" s="68"/>
      <c r="AB29" s="68"/>
      <c r="AC29" s="68"/>
      <c r="AD29" s="68"/>
      <c r="AE29" s="26">
        <f t="shared" si="11"/>
        <v>1917636.5800000003</v>
      </c>
      <c r="AF29" s="181">
        <f t="shared" si="12"/>
        <v>2.1092115144436395E-2</v>
      </c>
    </row>
    <row r="30" spans="1:35" x14ac:dyDescent="0.15">
      <c r="A30" s="170" t="s">
        <v>189</v>
      </c>
      <c r="B30" s="26">
        <v>8405663.2300000004</v>
      </c>
      <c r="C30" s="176">
        <f>B30/B34</f>
        <v>7.9776573673692397E-2</v>
      </c>
      <c r="D30" s="26">
        <f>9019781.08</f>
        <v>9019781.0800000001</v>
      </c>
      <c r="E30" s="176">
        <f>D30/D34</f>
        <v>7.7515269128283798E-2</v>
      </c>
      <c r="F30" s="26">
        <f>10105595.49</f>
        <v>10105595.49</v>
      </c>
      <c r="G30" s="176">
        <f>F30/F34</f>
        <v>8.1758718887719711E-2</v>
      </c>
      <c r="H30" s="26">
        <f>10938610.35</f>
        <v>10938610.35</v>
      </c>
      <c r="I30" s="176">
        <f>H30/H34</f>
        <v>7.8567784012978675E-2</v>
      </c>
      <c r="J30" s="26">
        <f>14300806.17</f>
        <v>14300806.17</v>
      </c>
      <c r="K30" s="176">
        <f>J30/J34</f>
        <v>7.9570298121276611E-2</v>
      </c>
      <c r="L30" s="26">
        <f t="shared" si="10"/>
        <v>18959313.286324788</v>
      </c>
      <c r="M30" s="176">
        <f>L30/L34</f>
        <v>8.0671340928487018E-2</v>
      </c>
      <c r="N30" s="177">
        <f t="shared" si="8"/>
        <v>18101441.765441597</v>
      </c>
      <c r="O30" s="177">
        <f t="shared" si="9"/>
        <v>18878839.870232239</v>
      </c>
      <c r="P30" s="178"/>
      <c r="Q30" s="66">
        <v>7</v>
      </c>
      <c r="R30" s="73" t="s">
        <v>60</v>
      </c>
      <c r="S30" s="68">
        <f>57615.15</f>
        <v>57615.15</v>
      </c>
      <c r="T30" s="68">
        <f>278014.38</f>
        <v>278014.38</v>
      </c>
      <c r="U30" s="68">
        <v>116551.82</v>
      </c>
      <c r="V30" s="68">
        <f>90300.2</f>
        <v>90300.2</v>
      </c>
      <c r="W30" s="68">
        <f>83636.01</f>
        <v>83636.009999999995</v>
      </c>
      <c r="X30" s="68">
        <f>96845.27</f>
        <v>96845.27</v>
      </c>
      <c r="Y30" s="68"/>
      <c r="Z30" s="68"/>
      <c r="AA30" s="68"/>
      <c r="AB30" s="68"/>
      <c r="AC30" s="68"/>
      <c r="AD30" s="68"/>
      <c r="AE30" s="26">
        <f t="shared" si="11"/>
        <v>722962.83000000007</v>
      </c>
      <c r="AF30" s="181">
        <f t="shared" si="12"/>
        <v>7.9518796285725796E-3</v>
      </c>
    </row>
    <row r="31" spans="1:35" x14ac:dyDescent="0.15">
      <c r="A31" s="170" t="s">
        <v>191</v>
      </c>
      <c r="B31" s="26">
        <v>8594186.0700000003</v>
      </c>
      <c r="C31" s="176">
        <f>B31/B34</f>
        <v>8.1565808600539885E-2</v>
      </c>
      <c r="D31" s="26">
        <f>9257306.49</f>
        <v>9257306.4900000002</v>
      </c>
      <c r="E31" s="176">
        <f>D31/D34</f>
        <v>7.9556543291997323E-2</v>
      </c>
      <c r="F31" s="26">
        <v>9996580.7100000009</v>
      </c>
      <c r="G31" s="176">
        <f>F31/F34</f>
        <v>8.0876741298032268E-2</v>
      </c>
      <c r="H31" s="26">
        <v>11341397.140000001</v>
      </c>
      <c r="I31" s="176">
        <f>H31/H34</f>
        <v>8.146084487788105E-2</v>
      </c>
      <c r="J31" s="26">
        <f>16297895.01</f>
        <v>16297895.01</v>
      </c>
      <c r="K31" s="176">
        <f>J31/J34</f>
        <v>9.0682185974622326E-2</v>
      </c>
      <c r="L31" s="26">
        <f t="shared" si="10"/>
        <v>20039820.235042736</v>
      </c>
      <c r="M31" s="176">
        <f>L31/L34</f>
        <v>8.5268867385233579E-2</v>
      </c>
      <c r="N31" s="177">
        <f t="shared" si="8"/>
        <v>19225231.031680912</v>
      </c>
      <c r="O31" s="177">
        <f t="shared" si="9"/>
        <v>20274043.459613226</v>
      </c>
      <c r="P31" s="178"/>
      <c r="Q31" s="66">
        <v>8</v>
      </c>
      <c r="R31" s="73" t="s">
        <v>61</v>
      </c>
      <c r="S31" s="68">
        <f>656228.47</f>
        <v>656228.47</v>
      </c>
      <c r="T31" s="68">
        <f>1006098.44</f>
        <v>1006098.44</v>
      </c>
      <c r="U31" s="68">
        <v>923689.09</v>
      </c>
      <c r="V31" s="68">
        <f>1159158.98</f>
        <v>1159158.98</v>
      </c>
      <c r="W31" s="68">
        <f>1344273.15</f>
        <v>1344273.15</v>
      </c>
      <c r="X31" s="68">
        <f>1414412.05</f>
        <v>1414412.05</v>
      </c>
      <c r="Y31" s="68"/>
      <c r="Z31" s="68"/>
      <c r="AA31" s="68"/>
      <c r="AB31" s="68"/>
      <c r="AC31" s="68"/>
      <c r="AD31" s="68"/>
      <c r="AE31" s="26">
        <f t="shared" si="11"/>
        <v>6503860.1799999997</v>
      </c>
      <c r="AF31" s="181">
        <f t="shared" si="12"/>
        <v>7.1536061227969891E-2</v>
      </c>
    </row>
    <row r="32" spans="1:35" x14ac:dyDescent="0.15">
      <c r="A32" s="170" t="s">
        <v>192</v>
      </c>
      <c r="B32" s="26">
        <v>8884947.5199999996</v>
      </c>
      <c r="C32" s="176">
        <f>B32/B34</f>
        <v>8.4325371005396624E-2</v>
      </c>
      <c r="D32" s="26">
        <v>9510627.3300000001</v>
      </c>
      <c r="E32" s="176">
        <f>D32/D34</f>
        <v>8.1733562103678159E-2</v>
      </c>
      <c r="F32" s="26">
        <f>10537885.72</f>
        <v>10537885.720000001</v>
      </c>
      <c r="G32" s="176">
        <f>F32/F34</f>
        <v>8.5256137266226148E-2</v>
      </c>
      <c r="H32" s="26">
        <v>11405835.470000001</v>
      </c>
      <c r="I32" s="176">
        <f>H32/H34</f>
        <v>8.1923680341582983E-2</v>
      </c>
      <c r="J32" s="26">
        <v>14491952.460000001</v>
      </c>
      <c r="K32" s="176">
        <f>J32/J34</f>
        <v>8.063384426680667E-2</v>
      </c>
      <c r="L32" s="26">
        <f t="shared" si="10"/>
        <v>19635171.358974364</v>
      </c>
      <c r="M32" s="176">
        <f>L32/L34</f>
        <v>8.3547097880998081E-2</v>
      </c>
      <c r="N32" s="177">
        <f t="shared" si="8"/>
        <v>18690281.669658124</v>
      </c>
      <c r="O32" s="177">
        <f t="shared" si="9"/>
        <v>19461588.16928257</v>
      </c>
      <c r="P32" s="178"/>
      <c r="Q32" s="66">
        <v>9</v>
      </c>
      <c r="R32" s="73" t="s">
        <v>62</v>
      </c>
      <c r="S32" s="68">
        <f>4202741.77</f>
        <v>4202741.7699999996</v>
      </c>
      <c r="T32" s="68">
        <f>3967290.86</f>
        <v>3967290.86</v>
      </c>
      <c r="U32" s="68">
        <f>5270665.89</f>
        <v>5270665.8899999997</v>
      </c>
      <c r="V32" s="68">
        <v>5200910.9000000004</v>
      </c>
      <c r="W32" s="68">
        <f>4674953.41</f>
        <v>4674953.41</v>
      </c>
      <c r="X32" s="68">
        <f>4713829.83</f>
        <v>4713829.83</v>
      </c>
      <c r="Y32" s="68"/>
      <c r="Z32" s="68"/>
      <c r="AA32" s="68"/>
      <c r="AB32" s="68"/>
      <c r="AC32" s="68"/>
      <c r="AD32" s="68"/>
      <c r="AE32" s="26">
        <f t="shared" si="11"/>
        <v>28030392.660000004</v>
      </c>
      <c r="AF32" s="181">
        <f t="shared" si="12"/>
        <v>0.30830673324373314</v>
      </c>
    </row>
    <row r="33" spans="1:33" x14ac:dyDescent="0.15">
      <c r="A33" s="170" t="s">
        <v>193</v>
      </c>
      <c r="B33" s="26">
        <v>13392877.380000001</v>
      </c>
      <c r="C33" s="176">
        <f>B33/B34</f>
        <v>0.12710928808032895</v>
      </c>
      <c r="D33" s="26">
        <f>15787827.89+865628.68</f>
        <v>16653456.57</v>
      </c>
      <c r="E33" s="176">
        <f>D33/D34</f>
        <v>0.14311845891715769</v>
      </c>
      <c r="F33" s="26">
        <v>18897584.34</v>
      </c>
      <c r="G33" s="176">
        <f>F33/F34</f>
        <v>0.15288978143246798</v>
      </c>
      <c r="H33" s="26">
        <f>20493779.25</f>
        <v>20493779.25</v>
      </c>
      <c r="I33" s="176">
        <f>H33/H34</f>
        <v>0.14719884612433098</v>
      </c>
      <c r="J33" s="26">
        <f>27232557.22</f>
        <v>27232557.219999999</v>
      </c>
      <c r="K33" s="176">
        <f>J33/J34</f>
        <v>0.15152311490983053</v>
      </c>
      <c r="L33" s="26">
        <f>((D33+F33+H33+J33)/2.34)+759028.73</f>
        <v>36347651.541965812</v>
      </c>
      <c r="M33" s="176">
        <f>L33/L34</f>
        <v>0.15465822760609979</v>
      </c>
      <c r="N33" s="177">
        <f t="shared" si="8"/>
        <v>34323857.450655274</v>
      </c>
      <c r="O33" s="177">
        <f t="shared" si="9"/>
        <v>35878134.988673061</v>
      </c>
      <c r="P33" s="178"/>
      <c r="Q33" s="66">
        <v>10</v>
      </c>
      <c r="R33" s="73" t="s">
        <v>63</v>
      </c>
      <c r="S33" s="68">
        <f>1874551.38</f>
        <v>1874551.38</v>
      </c>
      <c r="T33" s="68">
        <f>2670563.3</f>
        <v>2670563.2999999998</v>
      </c>
      <c r="U33" s="68">
        <f>3037182.98</f>
        <v>3037182.98</v>
      </c>
      <c r="V33" s="68">
        <f>3021847.14</f>
        <v>3021847.14</v>
      </c>
      <c r="W33" s="68">
        <f>2968040.86</f>
        <v>2968040.86</v>
      </c>
      <c r="X33" s="68">
        <f>2971874.79</f>
        <v>2971874.79</v>
      </c>
      <c r="Y33" s="68"/>
      <c r="Z33" s="68"/>
      <c r="AA33" s="68"/>
      <c r="AB33" s="68"/>
      <c r="AC33" s="68"/>
      <c r="AD33" s="68"/>
      <c r="AE33" s="26">
        <f t="shared" si="11"/>
        <v>16544060.449999999</v>
      </c>
      <c r="AF33" s="181">
        <f t="shared" si="12"/>
        <v>0.1819683831687838</v>
      </c>
    </row>
    <row r="34" spans="1:33" x14ac:dyDescent="0.15">
      <c r="A34" s="191" t="s">
        <v>160</v>
      </c>
      <c r="B34" s="177">
        <f>SUM(B22:B33)</f>
        <v>105365056.96999998</v>
      </c>
      <c r="C34" s="176">
        <f>B34/B34</f>
        <v>1</v>
      </c>
      <c r="D34" s="177">
        <f>SUM(D22:D33)</f>
        <v>116361346.37</v>
      </c>
      <c r="E34" s="176">
        <f>D34/D34</f>
        <v>1</v>
      </c>
      <c r="F34" s="177">
        <f>SUM(F22:F33)</f>
        <v>123602664.37</v>
      </c>
      <c r="G34" s="176">
        <f>F34/F34</f>
        <v>1</v>
      </c>
      <c r="H34" s="177">
        <f>SUM(H22:H33)</f>
        <v>139225135.18000001</v>
      </c>
      <c r="I34" s="176">
        <f>H34/H34</f>
        <v>1</v>
      </c>
      <c r="J34" s="177">
        <f>SUM(J22:J33)</f>
        <v>179725431.57000002</v>
      </c>
      <c r="K34" s="176">
        <f>J34/J34</f>
        <v>1</v>
      </c>
      <c r="L34" s="177">
        <f>SUM(L22:L33)</f>
        <v>235019191.0548718</v>
      </c>
      <c r="M34" s="176">
        <f>L34/L34</f>
        <v>1</v>
      </c>
      <c r="N34" s="177">
        <f>SUM(N22:N33)</f>
        <v>225030599.90474895</v>
      </c>
      <c r="O34" s="177">
        <f>SUM(O22:O33)</f>
        <v>236060714.45746085</v>
      </c>
      <c r="P34" s="178"/>
      <c r="Q34" s="66">
        <v>11</v>
      </c>
      <c r="R34" s="73" t="s">
        <v>64</v>
      </c>
      <c r="S34" s="68">
        <f>291612.3</f>
        <v>291612.3</v>
      </c>
      <c r="T34" s="68">
        <f>378287.34</f>
        <v>378287.34</v>
      </c>
      <c r="U34" s="68">
        <f>399755.35</f>
        <v>399755.35</v>
      </c>
      <c r="V34" s="68">
        <f>344490.15</f>
        <v>344490.15</v>
      </c>
      <c r="W34" s="68">
        <f>370876.25</f>
        <v>370876.25</v>
      </c>
      <c r="X34" s="68">
        <f>358437.5</f>
        <v>358437.5</v>
      </c>
      <c r="Y34" s="68"/>
      <c r="Z34" s="68"/>
      <c r="AA34" s="68"/>
      <c r="AB34" s="68"/>
      <c r="AC34" s="68"/>
      <c r="AD34" s="68"/>
      <c r="AE34" s="26">
        <f t="shared" si="11"/>
        <v>2143458.89</v>
      </c>
      <c r="AF34" s="181">
        <f t="shared" si="12"/>
        <v>2.3575938312172695E-2</v>
      </c>
    </row>
    <row r="35" spans="1:33" x14ac:dyDescent="0.15">
      <c r="A35" s="1201" t="s">
        <v>195</v>
      </c>
      <c r="B35" s="1202"/>
      <c r="C35" s="192"/>
      <c r="D35" s="181">
        <v>6.0015320688915311E-2</v>
      </c>
      <c r="E35" s="184"/>
      <c r="F35" s="181">
        <v>0.20274498470762234</v>
      </c>
      <c r="G35" s="184"/>
      <c r="H35" s="181">
        <v>0.15953984091624773</v>
      </c>
      <c r="I35" s="184"/>
      <c r="J35" s="181">
        <v>6.1875221132593451E-2</v>
      </c>
      <c r="K35" s="184"/>
      <c r="L35" s="181">
        <v>0.11385731154850591</v>
      </c>
      <c r="M35" s="184"/>
      <c r="N35" s="181">
        <v>8.5121633034852109E-2</v>
      </c>
      <c r="O35" s="181">
        <v>6.910798377128255E-2</v>
      </c>
      <c r="P35" s="178"/>
      <c r="Q35" s="66">
        <v>12</v>
      </c>
      <c r="R35" s="73" t="s">
        <v>65</v>
      </c>
      <c r="S35" s="68">
        <f>112059.09</f>
        <v>112059.09</v>
      </c>
      <c r="T35" s="68">
        <f>181842.9</f>
        <v>181842.9</v>
      </c>
      <c r="U35" s="68">
        <f>249124.49</f>
        <v>249124.49</v>
      </c>
      <c r="V35" s="68">
        <f>202698.8</f>
        <v>202698.8</v>
      </c>
      <c r="W35" s="68">
        <f>539646.76</f>
        <v>539646.76</v>
      </c>
      <c r="X35" s="68">
        <f>218939.35</f>
        <v>218939.35</v>
      </c>
      <c r="Y35" s="68"/>
      <c r="Z35" s="68"/>
      <c r="AA35" s="68"/>
      <c r="AB35" s="68"/>
      <c r="AC35" s="68"/>
      <c r="AD35" s="68"/>
      <c r="AE35" s="26">
        <f t="shared" si="11"/>
        <v>1504311.3900000001</v>
      </c>
      <c r="AF35" s="181">
        <f t="shared" si="12"/>
        <v>1.6545944827026173E-2</v>
      </c>
    </row>
    <row r="36" spans="1:33" x14ac:dyDescent="0.15">
      <c r="A36" s="170" t="s">
        <v>206</v>
      </c>
      <c r="B36" s="193">
        <f>B17-B34</f>
        <v>-11138555.429999992</v>
      </c>
      <c r="C36" s="176"/>
      <c r="D36" s="193">
        <f>D17-D34</f>
        <v>-323055.85000000894</v>
      </c>
      <c r="E36" s="193"/>
      <c r="F36" s="193">
        <f>F17-F34</f>
        <v>263135.53000000119</v>
      </c>
      <c r="G36" s="193"/>
      <c r="H36" s="193">
        <f>H17-H34</f>
        <v>14663524.25</v>
      </c>
      <c r="I36" s="193"/>
      <c r="J36" s="193">
        <f>J17-J34</f>
        <v>1612022.1099999845</v>
      </c>
      <c r="K36" s="193"/>
      <c r="L36" s="193">
        <f>L17-L34</f>
        <v>-4.7878026962280273E-3</v>
      </c>
      <c r="M36" s="193"/>
      <c r="N36" s="193">
        <f>N17-N34</f>
        <v>-5031918.6171031892</v>
      </c>
      <c r="O36" s="193">
        <f>O17-O34</f>
        <v>14804982.703881979</v>
      </c>
      <c r="P36" s="178"/>
      <c r="Q36" s="66">
        <v>13</v>
      </c>
      <c r="R36" s="73" t="s">
        <v>66</v>
      </c>
      <c r="S36" s="68">
        <f>215523.02</f>
        <v>215523.02</v>
      </c>
      <c r="T36" s="68">
        <f>226122.38</f>
        <v>226122.38</v>
      </c>
      <c r="U36" s="68">
        <f>156616.43</f>
        <v>156616.43</v>
      </c>
      <c r="V36" s="68">
        <f>179153.37</f>
        <v>179153.37</v>
      </c>
      <c r="W36" s="68">
        <f>197851.3</f>
        <v>197851.3</v>
      </c>
      <c r="X36" s="68">
        <f>179479.14</f>
        <v>179479.14</v>
      </c>
      <c r="Y36" s="68"/>
      <c r="Z36" s="68"/>
      <c r="AA36" s="68"/>
      <c r="AB36" s="68"/>
      <c r="AC36" s="68"/>
      <c r="AD36" s="68"/>
      <c r="AE36" s="26">
        <f t="shared" si="11"/>
        <v>1154745.6400000001</v>
      </c>
      <c r="AF36" s="181">
        <f t="shared" si="12"/>
        <v>1.2701065600978416E-2</v>
      </c>
    </row>
    <row r="37" spans="1:33" x14ac:dyDescent="0.15">
      <c r="L37" s="35"/>
      <c r="P37" s="178"/>
      <c r="Q37" s="66">
        <v>14</v>
      </c>
      <c r="R37" s="73" t="s">
        <v>194</v>
      </c>
      <c r="S37" s="68"/>
      <c r="T37" s="68"/>
      <c r="U37" s="68"/>
      <c r="V37" s="68"/>
      <c r="W37" s="68"/>
      <c r="X37" s="68"/>
      <c r="Y37" s="68"/>
      <c r="Z37" s="68"/>
      <c r="AA37" s="68"/>
      <c r="AB37" s="68"/>
      <c r="AC37" s="68"/>
      <c r="AD37" s="68"/>
      <c r="AE37" s="26">
        <f t="shared" si="11"/>
        <v>0</v>
      </c>
      <c r="AF37" s="181">
        <f t="shared" si="12"/>
        <v>0</v>
      </c>
    </row>
    <row r="38" spans="1:33" x14ac:dyDescent="0.15">
      <c r="P38" s="178"/>
      <c r="Q38" s="66">
        <v>15</v>
      </c>
      <c r="R38" s="73" t="s">
        <v>67</v>
      </c>
      <c r="S38" s="68">
        <v>2499458.21</v>
      </c>
      <c r="T38" s="68">
        <f>2629594.52</f>
        <v>2629594.52</v>
      </c>
      <c r="U38" s="68">
        <f>2694036.31</f>
        <v>2694036.31</v>
      </c>
      <c r="V38" s="68">
        <f>2712941.39</f>
        <v>2712941.39</v>
      </c>
      <c r="W38" s="68">
        <f>2714024.01</f>
        <v>2714024.01</v>
      </c>
      <c r="X38" s="68">
        <f>4080662.95</f>
        <v>4080662.95</v>
      </c>
      <c r="Y38" s="68"/>
      <c r="Z38" s="68"/>
      <c r="AA38" s="68"/>
      <c r="AB38" s="68"/>
      <c r="AC38" s="68"/>
      <c r="AD38" s="68"/>
      <c r="AE38" s="26">
        <f t="shared" si="11"/>
        <v>17330717.390000001</v>
      </c>
      <c r="AF38" s="181">
        <f t="shared" si="12"/>
        <v>0.19062083532301316</v>
      </c>
      <c r="AG38" s="165"/>
    </row>
    <row r="39" spans="1:33" x14ac:dyDescent="0.15">
      <c r="B39" s="194" t="s">
        <v>166</v>
      </c>
      <c r="C39" s="194" t="s">
        <v>207</v>
      </c>
      <c r="D39" s="66" t="s">
        <v>814</v>
      </c>
      <c r="F39" s="66" t="s">
        <v>208</v>
      </c>
      <c r="H39" s="66" t="s">
        <v>2612</v>
      </c>
      <c r="I39" s="194" t="s">
        <v>207</v>
      </c>
      <c r="J39" s="66" t="s">
        <v>208</v>
      </c>
      <c r="L39" s="194" t="s">
        <v>209</v>
      </c>
      <c r="P39" s="178"/>
      <c r="Q39" s="66">
        <v>16</v>
      </c>
      <c r="R39" s="73" t="s">
        <v>68</v>
      </c>
      <c r="S39" s="68">
        <f>229832.16</f>
        <v>229832.16</v>
      </c>
      <c r="T39" s="68">
        <f>614938.35</f>
        <v>614938.35</v>
      </c>
      <c r="U39" s="68">
        <f>211362.23</f>
        <v>211362.23</v>
      </c>
      <c r="V39" s="68">
        <v>199675.07</v>
      </c>
      <c r="W39" s="68">
        <f>392691.81</f>
        <v>392691.81</v>
      </c>
      <c r="X39" s="68">
        <f>277586.95</f>
        <v>277586.95</v>
      </c>
      <c r="Y39" s="68"/>
      <c r="Z39" s="68"/>
      <c r="AA39" s="68"/>
      <c r="AB39" s="68"/>
      <c r="AC39" s="68"/>
      <c r="AD39" s="68"/>
      <c r="AE39" s="26">
        <f t="shared" si="11"/>
        <v>1926086.57</v>
      </c>
      <c r="AF39" s="181">
        <f t="shared" si="12"/>
        <v>2.1185056718407272E-2</v>
      </c>
    </row>
    <row r="40" spans="1:33" x14ac:dyDescent="0.15">
      <c r="B40" s="66" t="s">
        <v>183</v>
      </c>
      <c r="C40" s="195" t="s">
        <v>184</v>
      </c>
      <c r="D40" s="72" t="s">
        <v>210</v>
      </c>
      <c r="F40" s="66" t="s">
        <v>211</v>
      </c>
      <c r="H40" s="66" t="s">
        <v>212</v>
      </c>
      <c r="I40" s="195" t="s">
        <v>184</v>
      </c>
      <c r="J40" s="66" t="s">
        <v>141</v>
      </c>
      <c r="L40" s="66" t="s">
        <v>213</v>
      </c>
      <c r="P40" s="178"/>
      <c r="Q40" s="186" t="s">
        <v>197</v>
      </c>
      <c r="R40" s="73" t="s">
        <v>182</v>
      </c>
      <c r="S40" s="26">
        <f t="shared" ref="S40:AA40" si="13">SUM(S24:S39)</f>
        <v>12473185.969999999</v>
      </c>
      <c r="T40" s="26">
        <f t="shared" si="13"/>
        <v>14380209.560000001</v>
      </c>
      <c r="U40" s="26">
        <f t="shared" si="13"/>
        <v>15552991.85</v>
      </c>
      <c r="V40" s="26">
        <f t="shared" si="13"/>
        <v>15761390.690000001</v>
      </c>
      <c r="W40" s="26">
        <f t="shared" si="13"/>
        <v>16021601.889999999</v>
      </c>
      <c r="X40" s="26">
        <f t="shared" si="13"/>
        <v>16727845.120000001</v>
      </c>
      <c r="Y40" s="26">
        <f t="shared" si="13"/>
        <v>0</v>
      </c>
      <c r="Z40" s="26">
        <f t="shared" si="13"/>
        <v>0</v>
      </c>
      <c r="AA40" s="26">
        <f t="shared" si="13"/>
        <v>0</v>
      </c>
      <c r="AB40" s="26">
        <f>SUM(AB24:AB39)</f>
        <v>0</v>
      </c>
      <c r="AC40" s="26">
        <f>SUM(AC24:AC39)</f>
        <v>0</v>
      </c>
      <c r="AD40" s="26">
        <f>SUM(AD24:AD39)</f>
        <v>0</v>
      </c>
      <c r="AE40" s="26">
        <f>SUM(AE24:AE39)</f>
        <v>90917225.079999998</v>
      </c>
      <c r="AF40" s="181">
        <f t="shared" si="12"/>
        <v>1</v>
      </c>
    </row>
    <row r="41" spans="1:33" x14ac:dyDescent="0.15">
      <c r="B41" s="194" t="s">
        <v>38</v>
      </c>
      <c r="C41" s="26">
        <f>D41/$D$53</f>
        <v>0.17549066185859671</v>
      </c>
      <c r="D41" s="26">
        <f>16075870.88</f>
        <v>16075870.880000001</v>
      </c>
      <c r="F41" s="144">
        <f>D41-L5</f>
        <v>0</v>
      </c>
      <c r="H41" s="26">
        <f>12473185.97</f>
        <v>12473185.970000001</v>
      </c>
      <c r="I41" s="196">
        <f>H41/$H$53</f>
        <v>0.13719277022615436</v>
      </c>
      <c r="J41" s="144">
        <f>H41-L22</f>
        <v>0</v>
      </c>
      <c r="L41" s="144">
        <f>D41-H41</f>
        <v>3602684.91</v>
      </c>
      <c r="O41" s="90"/>
      <c r="R41" s="165"/>
      <c r="S41" s="165">
        <f>S40-$H41</f>
        <v>0</v>
      </c>
      <c r="T41" s="165">
        <f>T40-H42</f>
        <v>0</v>
      </c>
      <c r="U41" s="165">
        <f>U40-$H43</f>
        <v>0</v>
      </c>
      <c r="V41" s="165">
        <f>V40-$H44</f>
        <v>0</v>
      </c>
      <c r="W41" s="165">
        <f>W40-$H45</f>
        <v>0</v>
      </c>
      <c r="X41" s="165">
        <f>X40-$H46</f>
        <v>0</v>
      </c>
      <c r="Y41" s="165">
        <f>Y40-$H47</f>
        <v>0</v>
      </c>
      <c r="Z41" s="165">
        <f>Z40-$H48</f>
        <v>0</v>
      </c>
      <c r="AA41" s="165">
        <f>AA40-$H49</f>
        <v>0</v>
      </c>
      <c r="AB41" s="165">
        <f>AB40-$H50</f>
        <v>0</v>
      </c>
      <c r="AC41" s="165">
        <f>AC40-$H51</f>
        <v>0</v>
      </c>
      <c r="AD41" s="165">
        <f>AD40-$H52</f>
        <v>0</v>
      </c>
      <c r="AE41" s="165">
        <f>AE40-$H53</f>
        <v>0</v>
      </c>
      <c r="AF41" s="58"/>
    </row>
    <row r="42" spans="1:33" x14ac:dyDescent="0.15">
      <c r="B42" s="194" t="s">
        <v>39</v>
      </c>
      <c r="C42" s="26">
        <f t="shared" ref="C42:C51" si="14">D42/$D$53</f>
        <v>0.15608235594802092</v>
      </c>
      <c r="D42" s="26">
        <v>14297967.619999999</v>
      </c>
      <c r="F42" s="144">
        <f t="shared" ref="F42:F52" si="15">D42-L6</f>
        <v>0</v>
      </c>
      <c r="H42" s="26">
        <v>14380209.560000001</v>
      </c>
      <c r="I42" s="196">
        <f t="shared" ref="I42:I52" si="16">H42/$H$53</f>
        <v>0.15816815292532901</v>
      </c>
      <c r="J42" s="144">
        <f t="shared" ref="J42:J52" si="17">H42-L23</f>
        <v>0</v>
      </c>
      <c r="L42" s="144">
        <f>D42-H42</f>
        <v>-82241.940000001341</v>
      </c>
      <c r="O42" s="90"/>
      <c r="S42" s="78" t="s">
        <v>214</v>
      </c>
      <c r="W42" s="78" t="s">
        <v>812</v>
      </c>
      <c r="Y42" s="34"/>
      <c r="AC42" s="90"/>
      <c r="AE42" s="338"/>
    </row>
    <row r="43" spans="1:33" x14ac:dyDescent="0.15">
      <c r="B43" s="194" t="s">
        <v>40</v>
      </c>
      <c r="C43" s="26">
        <f t="shared" si="14"/>
        <v>0.16800079146705868</v>
      </c>
      <c r="D43" s="26">
        <v>15389759.220000001</v>
      </c>
      <c r="F43" s="144">
        <f>D43-L7</f>
        <v>-3315040.3052100856</v>
      </c>
      <c r="H43" s="26">
        <f>15552991.85</f>
        <v>15552991.85</v>
      </c>
      <c r="I43" s="196">
        <f t="shared" si="16"/>
        <v>0.17106760392559925</v>
      </c>
      <c r="J43" s="144">
        <f>H43-L24</f>
        <v>-3003926.2012820523</v>
      </c>
      <c r="L43" s="144">
        <f>D43-H43</f>
        <v>-163232.62999999896</v>
      </c>
      <c r="O43" s="90"/>
      <c r="P43" s="197"/>
      <c r="Q43" s="198"/>
      <c r="R43" s="199"/>
      <c r="S43" s="199" t="s">
        <v>38</v>
      </c>
      <c r="T43" s="66" t="s">
        <v>39</v>
      </c>
      <c r="U43" s="66" t="s">
        <v>40</v>
      </c>
      <c r="V43" s="66" t="s">
        <v>41</v>
      </c>
      <c r="W43" s="66" t="s">
        <v>185</v>
      </c>
      <c r="X43" s="66" t="s">
        <v>186</v>
      </c>
      <c r="Y43" s="66" t="s">
        <v>187</v>
      </c>
      <c r="Z43" s="66" t="s">
        <v>188</v>
      </c>
      <c r="AA43" s="66" t="s">
        <v>189</v>
      </c>
      <c r="AB43" s="66" t="s">
        <v>191</v>
      </c>
      <c r="AC43" s="66" t="s">
        <v>192</v>
      </c>
      <c r="AD43" s="66" t="s">
        <v>193</v>
      </c>
      <c r="AE43" s="66" t="s">
        <v>182</v>
      </c>
    </row>
    <row r="44" spans="1:33" x14ac:dyDescent="0.15">
      <c r="B44" s="194" t="s">
        <v>41</v>
      </c>
      <c r="C44" s="26">
        <f>D44/$D$53</f>
        <v>0.16097423029622882</v>
      </c>
      <c r="D44" s="26">
        <f>14746089.13</f>
        <v>14746089.130000001</v>
      </c>
      <c r="F44" s="144">
        <f t="shared" si="15"/>
        <v>-4594765.0422689114</v>
      </c>
      <c r="H44" s="26">
        <v>15761390.689999999</v>
      </c>
      <c r="I44" s="196">
        <f t="shared" si="16"/>
        <v>0.17335978607058469</v>
      </c>
      <c r="J44" s="144">
        <f t="shared" si="17"/>
        <v>-2681198.1946153883</v>
      </c>
      <c r="L44" s="144">
        <f>D44-H44</f>
        <v>-1015301.5599999987</v>
      </c>
      <c r="O44" s="35"/>
      <c r="P44" s="200" t="s">
        <v>215</v>
      </c>
      <c r="Q44" s="201" t="s">
        <v>216</v>
      </c>
      <c r="R44" s="202"/>
      <c r="S44" s="203">
        <f>SUM(S45:S47)</f>
        <v>14355430.090810934</v>
      </c>
      <c r="T44" s="203">
        <f t="shared" ref="T44:AC44" si="18">SUM(T45:T47)</f>
        <v>12813723.379251044</v>
      </c>
      <c r="U44" s="203">
        <f t="shared" si="18"/>
        <v>16635102.459785864</v>
      </c>
      <c r="V44" s="203">
        <f t="shared" si="18"/>
        <v>17186656.495571505</v>
      </c>
      <c r="W44" s="203">
        <f t="shared" si="18"/>
        <v>18045541.549923606</v>
      </c>
      <c r="X44" s="203">
        <f t="shared" si="18"/>
        <v>16595620.398011556</v>
      </c>
      <c r="Y44" s="203">
        <f t="shared" si="18"/>
        <v>19111450.952021144</v>
      </c>
      <c r="Z44" s="203">
        <f t="shared" si="18"/>
        <v>16458637.350923285</v>
      </c>
      <c r="AA44" s="203">
        <f t="shared" si="18"/>
        <v>16332785.783915391</v>
      </c>
      <c r="AB44" s="203">
        <f t="shared" si="18"/>
        <v>16850971.251828667</v>
      </c>
      <c r="AC44" s="203">
        <f t="shared" si="18"/>
        <v>17172060.989143547</v>
      </c>
      <c r="AD44" s="203">
        <f>SUM(AD45:AD47)</f>
        <v>27221724.958813518</v>
      </c>
      <c r="AE44" s="203">
        <f>SUM(AE45:AE47)</f>
        <v>208779705.66000006</v>
      </c>
    </row>
    <row r="45" spans="1:33" x14ac:dyDescent="0.15">
      <c r="B45" s="194" t="s">
        <v>185</v>
      </c>
      <c r="C45" s="26">
        <f t="shared" si="14"/>
        <v>0.18250745361418372</v>
      </c>
      <c r="D45" s="26">
        <v>16718646.039999999</v>
      </c>
      <c r="F45" s="144">
        <f t="shared" si="15"/>
        <v>-3612678.3213445395</v>
      </c>
      <c r="H45" s="26">
        <f>16021601.89</f>
        <v>16021601.890000001</v>
      </c>
      <c r="I45" s="196">
        <f t="shared" si="16"/>
        <v>0.17622185318461106</v>
      </c>
      <c r="J45" s="144">
        <f t="shared" si="17"/>
        <v>-2627200.7125641033</v>
      </c>
      <c r="L45" s="144">
        <f>D45-H45</f>
        <v>697044.14999999851</v>
      </c>
      <c r="P45" s="73" t="s">
        <v>217</v>
      </c>
      <c r="Q45" s="204" t="s">
        <v>218</v>
      </c>
      <c r="R45" s="205"/>
      <c r="S45" s="203">
        <f t="shared" ref="S45:AD45" si="19">151093244.05*S21</f>
        <v>10388981.511861425</v>
      </c>
      <c r="T45" s="203">
        <f t="shared" si="19"/>
        <v>9273253.0090030637</v>
      </c>
      <c r="U45" s="203">
        <f t="shared" si="19"/>
        <v>12038773.537914474</v>
      </c>
      <c r="V45" s="203">
        <f t="shared" si="19"/>
        <v>12437931.532089617</v>
      </c>
      <c r="W45" s="203">
        <f t="shared" si="19"/>
        <v>13059504.05858534</v>
      </c>
      <c r="X45" s="203">
        <f t="shared" si="19"/>
        <v>12010200.488745714</v>
      </c>
      <c r="Y45" s="203">
        <f t="shared" si="19"/>
        <v>13830899.481896201</v>
      </c>
      <c r="Z45" s="203">
        <f t="shared" si="19"/>
        <v>11911066.270221015</v>
      </c>
      <c r="AA45" s="203">
        <f t="shared" si="19"/>
        <v>11819987.870297579</v>
      </c>
      <c r="AB45" s="203">
        <f t="shared" si="19"/>
        <v>12194997.132424269</v>
      </c>
      <c r="AC45" s="203">
        <f t="shared" si="19"/>
        <v>12427368.808055779</v>
      </c>
      <c r="AD45" s="203">
        <f t="shared" si="19"/>
        <v>19700280.348905571</v>
      </c>
      <c r="AE45" s="26">
        <f>SUM(S45:AD45)</f>
        <v>151093244.05000004</v>
      </c>
      <c r="AF45" s="90">
        <f>151093244.05-AE45</f>
        <v>0</v>
      </c>
    </row>
    <row r="46" spans="1:33" x14ac:dyDescent="0.15">
      <c r="B46" s="194" t="s">
        <v>186</v>
      </c>
      <c r="C46" s="26">
        <f t="shared" si="14"/>
        <v>0.15694450681591118</v>
      </c>
      <c r="D46" s="26">
        <v>14376945.189999999</v>
      </c>
      <c r="F46" s="144">
        <f t="shared" si="15"/>
        <v>-4282323.440252101</v>
      </c>
      <c r="H46" s="26">
        <f>16727845.12</f>
        <v>16727845.119999999</v>
      </c>
      <c r="I46" s="196">
        <f t="shared" si="16"/>
        <v>0.18398983366772148</v>
      </c>
      <c r="J46" s="144">
        <f>H46-L27</f>
        <v>-3760016.9184615407</v>
      </c>
      <c r="L46" s="144">
        <f t="shared" ref="L46:L52" si="20">D46-H46</f>
        <v>-2350899.9299999997</v>
      </c>
      <c r="P46" s="73" t="s">
        <v>219</v>
      </c>
      <c r="Q46" s="201" t="s">
        <v>220</v>
      </c>
      <c r="R46" s="202"/>
      <c r="S46" s="203">
        <f t="shared" ref="S46:AD46" si="21">606451*S21</f>
        <v>41698.808351516578</v>
      </c>
      <c r="T46" s="203">
        <f t="shared" si="21"/>
        <v>37220.549442315823</v>
      </c>
      <c r="U46" s="203">
        <f t="shared" si="21"/>
        <v>48320.666464913127</v>
      </c>
      <c r="V46" s="203">
        <f t="shared" si="21"/>
        <v>49922.788162991201</v>
      </c>
      <c r="W46" s="203">
        <f t="shared" si="21"/>
        <v>52417.626913962195</v>
      </c>
      <c r="X46" s="203">
        <f t="shared" si="21"/>
        <v>48205.981295828344</v>
      </c>
      <c r="Y46" s="203">
        <f t="shared" si="21"/>
        <v>55513.81780458524</v>
      </c>
      <c r="Z46" s="203">
        <f t="shared" si="21"/>
        <v>47808.081003617874</v>
      </c>
      <c r="AA46" s="203">
        <f t="shared" si="21"/>
        <v>47442.514779533827</v>
      </c>
      <c r="AB46" s="203">
        <f t="shared" si="21"/>
        <v>48947.709425766545</v>
      </c>
      <c r="AC46" s="203">
        <f t="shared" si="21"/>
        <v>49880.391995026701</v>
      </c>
      <c r="AD46" s="203">
        <f t="shared" si="21"/>
        <v>79072.064359942713</v>
      </c>
      <c r="AE46" s="26">
        <f t="shared" ref="AE46:AE53" si="22">SUM(S46:AD46)</f>
        <v>606451.00000000012</v>
      </c>
      <c r="AF46" s="90">
        <f>AE46-606451</f>
        <v>0</v>
      </c>
    </row>
    <row r="47" spans="1:33" x14ac:dyDescent="0.15">
      <c r="B47" s="194" t="s">
        <v>187</v>
      </c>
      <c r="C47" s="26">
        <f t="shared" si="14"/>
        <v>0</v>
      </c>
      <c r="D47" s="26"/>
      <c r="F47" s="144">
        <f t="shared" si="15"/>
        <v>-21560535.978991598</v>
      </c>
      <c r="H47" s="26"/>
      <c r="I47" s="196">
        <f t="shared" si="16"/>
        <v>0</v>
      </c>
      <c r="J47" s="144">
        <f t="shared" si="17"/>
        <v>-18506215.132478632</v>
      </c>
      <c r="L47" s="144">
        <f t="shared" si="20"/>
        <v>0</v>
      </c>
      <c r="P47" s="73" t="s">
        <v>221</v>
      </c>
      <c r="Q47" s="204" t="s">
        <v>222</v>
      </c>
      <c r="R47" s="205"/>
      <c r="S47" s="203">
        <f t="shared" ref="S47:AD47" si="23">57080010.61*S21</f>
        <v>3924749.770597992</v>
      </c>
      <c r="T47" s="203">
        <f t="shared" si="23"/>
        <v>3503249.8208056656</v>
      </c>
      <c r="U47" s="203">
        <f t="shared" si="23"/>
        <v>4548008.2554064756</v>
      </c>
      <c r="V47" s="203">
        <f t="shared" si="23"/>
        <v>4698802.1753188958</v>
      </c>
      <c r="W47" s="203">
        <f t="shared" si="23"/>
        <v>4933619.8644243041</v>
      </c>
      <c r="X47" s="203">
        <f t="shared" si="23"/>
        <v>4537213.9279700145</v>
      </c>
      <c r="Y47" s="203">
        <f t="shared" si="23"/>
        <v>5225037.6523203561</v>
      </c>
      <c r="Z47" s="203">
        <f t="shared" si="23"/>
        <v>4499762.9996986529</v>
      </c>
      <c r="AA47" s="203">
        <f t="shared" si="23"/>
        <v>4465355.3988382779</v>
      </c>
      <c r="AB47" s="203">
        <f t="shared" si="23"/>
        <v>4607026.4099786319</v>
      </c>
      <c r="AC47" s="203">
        <f t="shared" si="23"/>
        <v>4694811.7890927428</v>
      </c>
      <c r="AD47" s="203">
        <f t="shared" si="23"/>
        <v>7442372.545548005</v>
      </c>
      <c r="AE47" s="26">
        <f t="shared" si="22"/>
        <v>57080010.610000007</v>
      </c>
      <c r="AF47" s="90">
        <f>57080010.61-AE47</f>
        <v>0</v>
      </c>
    </row>
    <row r="48" spans="1:33" x14ac:dyDescent="0.15">
      <c r="B48" s="194" t="s">
        <v>188</v>
      </c>
      <c r="C48" s="26">
        <f t="shared" si="14"/>
        <v>0</v>
      </c>
      <c r="D48" s="26"/>
      <c r="F48" s="144">
        <f t="shared" si="15"/>
        <v>-18501299.151260503</v>
      </c>
      <c r="H48" s="26"/>
      <c r="I48" s="196">
        <f t="shared" si="16"/>
        <v>0</v>
      </c>
      <c r="J48" s="144">
        <f t="shared" si="17"/>
        <v>-18541452.393162396</v>
      </c>
      <c r="L48" s="144">
        <f>D48-H48</f>
        <v>0</v>
      </c>
      <c r="P48" s="73" t="s">
        <v>223</v>
      </c>
      <c r="Q48" s="201" t="s">
        <v>224</v>
      </c>
      <c r="R48" s="202"/>
      <c r="S48" s="203">
        <f>SUM(S49:S51)</f>
        <v>640572.87609719473</v>
      </c>
      <c r="T48" s="203">
        <f>SUM(T49:T51)</f>
        <v>571778.31570611149</v>
      </c>
      <c r="U48" s="203">
        <f t="shared" ref="U48:AD48" si="24">SUM(U49:U51)</f>
        <v>742297.19063990738</v>
      </c>
      <c r="V48" s="203">
        <f t="shared" si="24"/>
        <v>766908.82211254316</v>
      </c>
      <c r="W48" s="203">
        <f t="shared" si="24"/>
        <v>805234.28265415353</v>
      </c>
      <c r="X48" s="203">
        <f t="shared" si="24"/>
        <v>740535.4086727337</v>
      </c>
      <c r="Y48" s="203">
        <f t="shared" si="24"/>
        <v>852797.65393884422</v>
      </c>
      <c r="Z48" s="203">
        <f t="shared" si="24"/>
        <v>734422.90463107079</v>
      </c>
      <c r="AA48" s="203">
        <f t="shared" si="24"/>
        <v>728807.11327340256</v>
      </c>
      <c r="AB48" s="203">
        <f t="shared" si="24"/>
        <v>751929.76117967837</v>
      </c>
      <c r="AC48" s="203">
        <f t="shared" si="24"/>
        <v>766257.53646860865</v>
      </c>
      <c r="AD48" s="203">
        <f t="shared" si="24"/>
        <v>1214697.0546257542</v>
      </c>
      <c r="AE48" s="203">
        <f t="shared" ref="AE48" si="25">SUM(AE49:AE51)</f>
        <v>9316238.9200000018</v>
      </c>
    </row>
    <row r="49" spans="1:34" x14ac:dyDescent="0.15">
      <c r="B49" s="194" t="s">
        <v>189</v>
      </c>
      <c r="C49" s="26">
        <f t="shared" si="14"/>
        <v>0</v>
      </c>
      <c r="D49" s="26"/>
      <c r="F49" s="144">
        <f t="shared" si="15"/>
        <v>-18356166.546218485</v>
      </c>
      <c r="H49" s="26"/>
      <c r="I49" s="196">
        <f t="shared" si="16"/>
        <v>0</v>
      </c>
      <c r="J49" s="144">
        <f t="shared" si="17"/>
        <v>-18959313.286324788</v>
      </c>
      <c r="L49" s="144">
        <f t="shared" si="20"/>
        <v>0</v>
      </c>
      <c r="N49" s="165"/>
      <c r="P49" s="73" t="s">
        <v>225</v>
      </c>
      <c r="Q49" s="204" t="s">
        <v>226</v>
      </c>
      <c r="R49" s="205"/>
      <c r="S49" s="203">
        <f t="shared" ref="S49:AD49" si="26">9315073.92*S21</f>
        <v>640492.77216179098</v>
      </c>
      <c r="T49" s="203">
        <f t="shared" si="26"/>
        <v>571706.81456240767</v>
      </c>
      <c r="U49" s="203">
        <f t="shared" si="26"/>
        <v>742204.36603176652</v>
      </c>
      <c r="V49" s="203">
        <f t="shared" si="26"/>
        <v>766812.91980846599</v>
      </c>
      <c r="W49" s="203">
        <f t="shared" si="26"/>
        <v>805133.58773345128</v>
      </c>
      <c r="X49" s="203">
        <f t="shared" si="26"/>
        <v>740442.80437624536</v>
      </c>
      <c r="Y49" s="203">
        <f t="shared" si="26"/>
        <v>852691.01119649177</v>
      </c>
      <c r="Z49" s="203">
        <f t="shared" si="26"/>
        <v>734331.06470604928</v>
      </c>
      <c r="AA49" s="203">
        <f t="shared" si="26"/>
        <v>728715.97560569621</v>
      </c>
      <c r="AB49" s="203">
        <f t="shared" si="26"/>
        <v>751835.73201412172</v>
      </c>
      <c r="AC49" s="203">
        <f t="shared" si="26"/>
        <v>766161.71560810343</v>
      </c>
      <c r="AD49" s="203">
        <f t="shared" si="26"/>
        <v>1214545.1561954122</v>
      </c>
      <c r="AE49" s="26">
        <f t="shared" si="22"/>
        <v>9315073.9200000018</v>
      </c>
      <c r="AF49" s="90">
        <f>9315073.92-AE49</f>
        <v>0</v>
      </c>
    </row>
    <row r="50" spans="1:34" x14ac:dyDescent="0.15">
      <c r="B50" s="194" t="s">
        <v>191</v>
      </c>
      <c r="C50" s="26">
        <f>D50/$D$53</f>
        <v>0</v>
      </c>
      <c r="D50" s="26"/>
      <c r="F50" s="144">
        <f t="shared" si="15"/>
        <v>-18953740.407563027</v>
      </c>
      <c r="H50" s="26"/>
      <c r="I50" s="196">
        <f t="shared" si="16"/>
        <v>0</v>
      </c>
      <c r="J50" s="144">
        <f t="shared" si="17"/>
        <v>-20039820.235042736</v>
      </c>
      <c r="L50" s="144">
        <f t="shared" si="20"/>
        <v>0</v>
      </c>
      <c r="N50" s="165"/>
      <c r="P50" s="73" t="s">
        <v>227</v>
      </c>
      <c r="Q50" s="204" t="s">
        <v>228</v>
      </c>
      <c r="R50" s="205"/>
      <c r="S50" s="203">
        <f t="shared" ref="S50:AD50" si="27">252*S21</f>
        <v>17.327203194622779</v>
      </c>
      <c r="T50" s="203">
        <f t="shared" si="27"/>
        <v>15.46634181403541</v>
      </c>
      <c r="U50" s="203">
        <f t="shared" si="27"/>
        <v>20.078799357504742</v>
      </c>
      <c r="V50" s="203">
        <f t="shared" si="27"/>
        <v>20.744532727415375</v>
      </c>
      <c r="W50" s="203">
        <f t="shared" si="27"/>
        <v>21.781218898671899</v>
      </c>
      <c r="X50" s="203">
        <f t="shared" si="27"/>
        <v>20.031143961422675</v>
      </c>
      <c r="Y50" s="203">
        <f t="shared" si="27"/>
        <v>23.067786328582986</v>
      </c>
      <c r="Z50" s="203">
        <f t="shared" si="27"/>
        <v>19.865803523964349</v>
      </c>
      <c r="AA50" s="203">
        <f t="shared" si="27"/>
        <v>19.713898937329684</v>
      </c>
      <c r="AB50" s="203">
        <f t="shared" si="27"/>
        <v>20.33935598307723</v>
      </c>
      <c r="AC50" s="203">
        <f t="shared" si="27"/>
        <v>20.726915748752543</v>
      </c>
      <c r="AD50" s="203">
        <f t="shared" si="27"/>
        <v>32.856999524620399</v>
      </c>
      <c r="AE50" s="26">
        <f t="shared" si="22"/>
        <v>252.00000000000006</v>
      </c>
      <c r="AF50" s="90">
        <f>252-AE50</f>
        <v>0</v>
      </c>
    </row>
    <row r="51" spans="1:34" x14ac:dyDescent="0.15">
      <c r="B51" s="194" t="s">
        <v>192</v>
      </c>
      <c r="C51" s="26">
        <f t="shared" si="14"/>
        <v>0</v>
      </c>
      <c r="D51" s="26"/>
      <c r="F51" s="144">
        <f t="shared" si="15"/>
        <v>-19324022.56722689</v>
      </c>
      <c r="H51" s="26"/>
      <c r="I51" s="196">
        <f t="shared" si="16"/>
        <v>0</v>
      </c>
      <c r="J51" s="144">
        <f t="shared" si="17"/>
        <v>-19635171.358974364</v>
      </c>
      <c r="L51" s="144">
        <f t="shared" si="20"/>
        <v>0</v>
      </c>
      <c r="P51" s="206" t="s">
        <v>229</v>
      </c>
      <c r="Q51" s="201" t="s">
        <v>230</v>
      </c>
      <c r="R51" s="202"/>
      <c r="S51" s="203">
        <f t="shared" ref="S51:AD51" si="28">913*S21</f>
        <v>62.776732209089666</v>
      </c>
      <c r="T51" s="203">
        <f t="shared" si="28"/>
        <v>56.034801889739398</v>
      </c>
      <c r="U51" s="203">
        <f t="shared" si="28"/>
        <v>72.745808783340593</v>
      </c>
      <c r="V51" s="203">
        <f t="shared" si="28"/>
        <v>75.157771349723163</v>
      </c>
      <c r="W51" s="203">
        <f t="shared" si="28"/>
        <v>78.913701803521604</v>
      </c>
      <c r="X51" s="203">
        <f t="shared" si="28"/>
        <v>72.573152526900401</v>
      </c>
      <c r="Y51" s="203">
        <f t="shared" si="28"/>
        <v>83.574956023794712</v>
      </c>
      <c r="Z51" s="203">
        <f t="shared" si="28"/>
        <v>71.97412149753751</v>
      </c>
      <c r="AA51" s="203">
        <f t="shared" si="28"/>
        <v>71.423768768976188</v>
      </c>
      <c r="AB51" s="203">
        <f t="shared" si="28"/>
        <v>73.689809573609168</v>
      </c>
      <c r="AC51" s="203">
        <f t="shared" si="28"/>
        <v>75.093944756393142</v>
      </c>
      <c r="AD51" s="203">
        <f t="shared" si="28"/>
        <v>119.0414308173747</v>
      </c>
      <c r="AE51" s="26">
        <f t="shared" si="22"/>
        <v>913.00000000000023</v>
      </c>
      <c r="AF51" s="90">
        <f>913-AE51</f>
        <v>0</v>
      </c>
    </row>
    <row r="52" spans="1:34" x14ac:dyDescent="0.15">
      <c r="B52" s="194" t="s">
        <v>193</v>
      </c>
      <c r="C52" s="26">
        <f>D52/$D$53</f>
        <v>0</v>
      </c>
      <c r="D52" s="26"/>
      <c r="F52" s="144">
        <f t="shared" si="15"/>
        <v>-30913341.209747896</v>
      </c>
      <c r="H52" s="26"/>
      <c r="I52" s="196">
        <f t="shared" si="16"/>
        <v>0</v>
      </c>
      <c r="J52" s="144">
        <f t="shared" si="17"/>
        <v>-36347651.541965812</v>
      </c>
      <c r="L52" s="144">
        <f t="shared" si="20"/>
        <v>0</v>
      </c>
      <c r="P52" s="207" t="s">
        <v>231</v>
      </c>
      <c r="Q52" s="208"/>
      <c r="R52" s="188"/>
      <c r="S52" s="203">
        <f>S44+S48</f>
        <v>14996002.966908129</v>
      </c>
      <c r="T52" s="203">
        <f t="shared" ref="T52:AC52" si="29">T44+T48</f>
        <v>13385501.694957156</v>
      </c>
      <c r="U52" s="203">
        <f t="shared" si="29"/>
        <v>17377399.650425769</v>
      </c>
      <c r="V52" s="203">
        <f t="shared" si="29"/>
        <v>17953565.317684047</v>
      </c>
      <c r="W52" s="203">
        <f t="shared" si="29"/>
        <v>18850775.832577761</v>
      </c>
      <c r="X52" s="203">
        <f>X44+X48</f>
        <v>17336155.806684289</v>
      </c>
      <c r="Y52" s="203">
        <f t="shared" si="29"/>
        <v>19964248.605959989</v>
      </c>
      <c r="Z52" s="203">
        <f t="shared" si="29"/>
        <v>17193060.255554356</v>
      </c>
      <c r="AA52" s="203">
        <f t="shared" si="29"/>
        <v>17061592.897188794</v>
      </c>
      <c r="AB52" s="203">
        <f t="shared" si="29"/>
        <v>17602901.013008345</v>
      </c>
      <c r="AC52" s="203">
        <f t="shared" si="29"/>
        <v>17938318.525612157</v>
      </c>
      <c r="AD52" s="203">
        <f>AD44+AD48</f>
        <v>28436422.013439272</v>
      </c>
      <c r="AE52" s="203">
        <f t="shared" ref="AE52" si="30">AE44+AE48</f>
        <v>218095944.58000004</v>
      </c>
    </row>
    <row r="53" spans="1:34" x14ac:dyDescent="0.15">
      <c r="B53" s="73" t="s">
        <v>160</v>
      </c>
      <c r="C53" s="135">
        <f>SUM(C41:C52)</f>
        <v>1</v>
      </c>
      <c r="D53" s="26">
        <f>SUM(D41:D52)</f>
        <v>91605278.079999998</v>
      </c>
      <c r="F53" s="26">
        <f>SUM(F41:F52)</f>
        <v>-143413912.97008401</v>
      </c>
      <c r="G53" s="181">
        <f>(H53-H34)/H34</f>
        <v>-0.34697693083611764</v>
      </c>
      <c r="H53" s="26">
        <f>SUM(H41:H52)</f>
        <v>90917225.080000013</v>
      </c>
      <c r="I53" s="135">
        <f>SUM(I41:I52)</f>
        <v>0.99999999999999978</v>
      </c>
      <c r="J53" s="26">
        <f>SUM(J41:J52)</f>
        <v>-144101965.97487181</v>
      </c>
      <c r="L53" s="135">
        <f>SUM(L41:L52)</f>
        <v>688053</v>
      </c>
      <c r="P53" s="73" t="s">
        <v>232</v>
      </c>
      <c r="Q53" s="209" t="s">
        <v>233</v>
      </c>
      <c r="R53" s="205"/>
      <c r="S53" s="144">
        <f>S20-S52</f>
        <v>1163621.1519776676</v>
      </c>
      <c r="T53" s="144">
        <f t="shared" ref="T53:AD53" si="31">T20-T52</f>
        <v>1038653.6290007457</v>
      </c>
      <c r="U53" s="144">
        <f t="shared" si="31"/>
        <v>1348406.6283679754</v>
      </c>
      <c r="V53" s="144">
        <f t="shared" si="31"/>
        <v>1393114.4454406016</v>
      </c>
      <c r="W53" s="144">
        <f t="shared" si="31"/>
        <v>1462733.8723779581</v>
      </c>
      <c r="X53" s="144">
        <f t="shared" si="31"/>
        <v>1345206.2949809842</v>
      </c>
      <c r="Y53" s="144">
        <f t="shared" si="31"/>
        <v>1549134.2601424791</v>
      </c>
      <c r="Z53" s="144">
        <f t="shared" si="31"/>
        <v>1334102.7355581075</v>
      </c>
      <c r="AA53" s="144">
        <f t="shared" si="31"/>
        <v>1323901.4706392884</v>
      </c>
      <c r="AB53" s="144">
        <f t="shared" si="31"/>
        <v>1365904.5013598613</v>
      </c>
      <c r="AC53" s="144">
        <f t="shared" si="31"/>
        <v>1391931.3642026335</v>
      </c>
      <c r="AD53" s="144">
        <f t="shared" si="31"/>
        <v>2206536.1159516796</v>
      </c>
      <c r="AE53" s="26">
        <f t="shared" si="22"/>
        <v>16923246.469999984</v>
      </c>
      <c r="AF53" s="338">
        <f>16923246.47-AE53</f>
        <v>0</v>
      </c>
      <c r="AG53" s="90"/>
    </row>
    <row r="54" spans="1:34" x14ac:dyDescent="0.15">
      <c r="C54" s="165"/>
      <c r="D54" s="35">
        <f>91605278.08-D53</f>
        <v>0</v>
      </c>
      <c r="H54" s="35">
        <f>90917225.08-H53</f>
        <v>0</v>
      </c>
      <c r="P54" s="85" t="s">
        <v>234</v>
      </c>
      <c r="Q54" s="209"/>
      <c r="R54" s="205"/>
      <c r="S54" s="144">
        <f>S52+S53</f>
        <v>16159624.118885797</v>
      </c>
      <c r="T54" s="144">
        <f t="shared" ref="T54:AD54" si="32">T52+T53</f>
        <v>14424155.323957901</v>
      </c>
      <c r="U54" s="144">
        <f t="shared" si="32"/>
        <v>18725806.278793745</v>
      </c>
      <c r="V54" s="144">
        <f t="shared" si="32"/>
        <v>19346679.763124648</v>
      </c>
      <c r="W54" s="144">
        <f t="shared" si="32"/>
        <v>20313509.704955719</v>
      </c>
      <c r="X54" s="144">
        <f>X52+X53</f>
        <v>18681362.101665273</v>
      </c>
      <c r="Y54" s="144">
        <f t="shared" si="32"/>
        <v>21513382.866102468</v>
      </c>
      <c r="Z54" s="144">
        <f t="shared" si="32"/>
        <v>18527162.991112463</v>
      </c>
      <c r="AA54" s="144">
        <f t="shared" si="32"/>
        <v>18385494.367828082</v>
      </c>
      <c r="AB54" s="144">
        <f t="shared" si="32"/>
        <v>18968805.514368206</v>
      </c>
      <c r="AC54" s="144">
        <f t="shared" si="32"/>
        <v>19330249.88981479</v>
      </c>
      <c r="AD54" s="144">
        <f t="shared" si="32"/>
        <v>30642958.129390951</v>
      </c>
      <c r="AE54" s="26">
        <f>SUM(S54:AD54)</f>
        <v>235019191.05000004</v>
      </c>
      <c r="AF54" s="90">
        <f>235019191.05-AE54</f>
        <v>0</v>
      </c>
    </row>
    <row r="55" spans="1:34" x14ac:dyDescent="0.15">
      <c r="D55" s="35"/>
      <c r="F55" s="165"/>
      <c r="H55" s="194" t="s">
        <v>209</v>
      </c>
      <c r="I55" s="195" t="s">
        <v>235</v>
      </c>
      <c r="J55" s="144">
        <f>D53-H53</f>
        <v>688052.9999999851</v>
      </c>
      <c r="K55" s="207" t="s">
        <v>236</v>
      </c>
      <c r="L55" s="205"/>
    </row>
    <row r="56" spans="1:34" x14ac:dyDescent="0.15">
      <c r="D56" s="165"/>
      <c r="P56" s="73" t="s">
        <v>215</v>
      </c>
      <c r="Q56" s="143" t="s">
        <v>216</v>
      </c>
      <c r="R56" s="194"/>
      <c r="S56" s="203">
        <f>SUM(S57:S59)</f>
        <v>12394462.620000001</v>
      </c>
      <c r="T56" s="26">
        <f>SUM(T57:T59)</f>
        <v>14376970.560000001</v>
      </c>
      <c r="U56" s="26">
        <f>SUM(U57:U59)</f>
        <v>0</v>
      </c>
      <c r="V56" s="26">
        <f t="shared" ref="V56:AD56" si="33">SUM(V57:V59)</f>
        <v>0</v>
      </c>
      <c r="W56" s="26">
        <f>SUM(W57:W59)</f>
        <v>0</v>
      </c>
      <c r="X56" s="26">
        <f t="shared" si="33"/>
        <v>0</v>
      </c>
      <c r="Y56" s="26">
        <f t="shared" si="33"/>
        <v>0</v>
      </c>
      <c r="Z56" s="26">
        <f>SUM(Z57:Z59)</f>
        <v>0</v>
      </c>
      <c r="AA56" s="26">
        <f t="shared" si="33"/>
        <v>0</v>
      </c>
      <c r="AB56" s="26">
        <f>SUM(AB57:AB59)</f>
        <v>0</v>
      </c>
      <c r="AC56" s="26">
        <f t="shared" si="33"/>
        <v>0</v>
      </c>
      <c r="AD56" s="26">
        <f t="shared" si="33"/>
        <v>0</v>
      </c>
      <c r="AE56" s="26">
        <f>SUM(AE57:AE59)</f>
        <v>26771433.18</v>
      </c>
      <c r="AF56" s="181">
        <f>AE56/$AE$64</f>
        <v>0.9969477845023943</v>
      </c>
      <c r="AG56" s="34"/>
      <c r="AH56" s="35"/>
    </row>
    <row r="57" spans="1:34" x14ac:dyDescent="0.15">
      <c r="D57" s="165"/>
      <c r="I57" s="57" t="s">
        <v>237</v>
      </c>
      <c r="J57" s="210">
        <f>Exec_Orç!G28</f>
        <v>7808134.9299999997</v>
      </c>
      <c r="K57" s="57" t="s">
        <v>238</v>
      </c>
      <c r="L57" s="210">
        <f>Exec_Orç!G27</f>
        <v>16817872.710000001</v>
      </c>
      <c r="M57" s="210"/>
      <c r="N57" s="165"/>
      <c r="P57" s="73" t="s">
        <v>217</v>
      </c>
      <c r="Q57" s="204" t="s">
        <v>218</v>
      </c>
      <c r="R57" s="205"/>
      <c r="S57" s="203">
        <v>10976712.960000001</v>
      </c>
      <c r="T57" s="203">
        <v>11379769.640000001</v>
      </c>
      <c r="U57" s="26"/>
      <c r="V57" s="26"/>
      <c r="W57" s="26"/>
      <c r="X57" s="26"/>
      <c r="Y57" s="26"/>
      <c r="Z57" s="26"/>
      <c r="AA57" s="26"/>
      <c r="AB57" s="26"/>
      <c r="AC57" s="26"/>
      <c r="AD57" s="26"/>
      <c r="AE57" s="26">
        <f>SUM(S57:AD57)</f>
        <v>22356482.600000001</v>
      </c>
      <c r="AF57" s="181">
        <f>AE57/$AE$64</f>
        <v>0.83253838699928462</v>
      </c>
      <c r="AH57" s="35"/>
    </row>
    <row r="58" spans="1:34" x14ac:dyDescent="0.15">
      <c r="B58" s="35"/>
      <c r="D58" s="35"/>
      <c r="I58" s="57" t="s">
        <v>239</v>
      </c>
      <c r="J58" s="165">
        <f>Exec_Orç!H23</f>
        <v>2897110.04</v>
      </c>
      <c r="K58" s="57" t="s">
        <v>435</v>
      </c>
      <c r="L58" s="165">
        <f>Exec_Orç!J19</f>
        <v>217026.65999999997</v>
      </c>
      <c r="M58" s="338"/>
      <c r="P58" s="73" t="s">
        <v>219</v>
      </c>
      <c r="Q58" s="201" t="s">
        <v>220</v>
      </c>
      <c r="R58" s="202"/>
      <c r="S58" s="203">
        <f>104571.56</f>
        <v>104571.56</v>
      </c>
      <c r="T58" s="203"/>
      <c r="U58" s="26"/>
      <c r="V58" s="26"/>
      <c r="W58" s="26"/>
      <c r="X58" s="26"/>
      <c r="Y58" s="26"/>
      <c r="Z58" s="26"/>
      <c r="AA58" s="26"/>
      <c r="AB58" s="26"/>
      <c r="AC58" s="26"/>
      <c r="AD58" s="26"/>
      <c r="AE58" s="26">
        <f>SUM(S58:AD58)</f>
        <v>104571.56</v>
      </c>
      <c r="AF58" s="181">
        <f t="shared" ref="AF58:AF63" si="34">AE58/$AE$64</f>
        <v>3.8941652605226419E-3</v>
      </c>
      <c r="AH58" s="35"/>
    </row>
    <row r="59" spans="1:34" x14ac:dyDescent="0.15">
      <c r="B59" s="35"/>
      <c r="D59" s="35"/>
      <c r="H59" s="35"/>
      <c r="I59" s="93" t="s">
        <v>240</v>
      </c>
      <c r="J59" s="343">
        <f>SUM(J57:J58)</f>
        <v>10705244.969999999</v>
      </c>
      <c r="K59" s="338"/>
      <c r="L59" s="343">
        <f>SUM(L57:L58)</f>
        <v>17034899.370000001</v>
      </c>
      <c r="N59" s="34"/>
      <c r="P59" s="73" t="s">
        <v>221</v>
      </c>
      <c r="Q59" s="204" t="s">
        <v>222</v>
      </c>
      <c r="R59" s="205"/>
      <c r="S59" s="203">
        <f>1313178.1</f>
        <v>1313178.1000000001</v>
      </c>
      <c r="T59" s="203">
        <v>2997200.92</v>
      </c>
      <c r="U59" s="26"/>
      <c r="V59" s="26"/>
      <c r="W59" s="26"/>
      <c r="X59" s="26"/>
      <c r="Y59" s="26"/>
      <c r="Z59" s="26"/>
      <c r="AA59" s="26"/>
      <c r="AB59" s="26"/>
      <c r="AC59" s="26"/>
      <c r="AD59" s="26"/>
      <c r="AE59" s="26">
        <f>SUM(S59:AD59)</f>
        <v>4310379.0199999996</v>
      </c>
      <c r="AF59" s="181">
        <f t="shared" si="34"/>
        <v>0.16051523224258707</v>
      </c>
      <c r="AH59" s="35"/>
    </row>
    <row r="60" spans="1:34" x14ac:dyDescent="0.15">
      <c r="B60" s="35"/>
      <c r="D60" s="35"/>
      <c r="H60" s="35"/>
      <c r="J60" s="90"/>
      <c r="K60" s="338"/>
      <c r="L60" s="90"/>
      <c r="P60" s="73" t="s">
        <v>223</v>
      </c>
      <c r="Q60" s="201" t="s">
        <v>224</v>
      </c>
      <c r="R60" s="202"/>
      <c r="S60" s="203">
        <f>SUM(S61:S63)</f>
        <v>78723.350000000006</v>
      </c>
      <c r="T60" s="203">
        <f t="shared" ref="T60:AD60" si="35">SUM(T61:T63)</f>
        <v>3239</v>
      </c>
      <c r="U60" s="203">
        <f t="shared" si="35"/>
        <v>0</v>
      </c>
      <c r="V60" s="203">
        <f t="shared" si="35"/>
        <v>0</v>
      </c>
      <c r="W60" s="203">
        <f t="shared" si="35"/>
        <v>0</v>
      </c>
      <c r="X60" s="203">
        <f t="shared" si="35"/>
        <v>0</v>
      </c>
      <c r="Y60" s="203">
        <f t="shared" si="35"/>
        <v>0</v>
      </c>
      <c r="Z60" s="203">
        <f t="shared" si="35"/>
        <v>0</v>
      </c>
      <c r="AA60" s="203">
        <f t="shared" si="35"/>
        <v>0</v>
      </c>
      <c r="AB60" s="203">
        <f t="shared" si="35"/>
        <v>0</v>
      </c>
      <c r="AC60" s="203">
        <f t="shared" si="35"/>
        <v>0</v>
      </c>
      <c r="AD60" s="203">
        <f t="shared" si="35"/>
        <v>0</v>
      </c>
      <c r="AE60" s="203">
        <f>SUM(AE61:AE63)</f>
        <v>81962.350000000006</v>
      </c>
      <c r="AF60" s="181">
        <f t="shared" si="34"/>
        <v>3.0522154976056395E-3</v>
      </c>
      <c r="AH60" s="35"/>
    </row>
    <row r="61" spans="1:34" x14ac:dyDescent="0.15">
      <c r="B61" s="165"/>
      <c r="D61" s="165"/>
      <c r="J61" s="35"/>
      <c r="P61" s="73" t="s">
        <v>225</v>
      </c>
      <c r="Q61" s="204" t="s">
        <v>226</v>
      </c>
      <c r="R61" s="205"/>
      <c r="S61" s="203">
        <f>78723.35</f>
        <v>78723.350000000006</v>
      </c>
      <c r="T61" s="203">
        <v>3239</v>
      </c>
      <c r="U61" s="26"/>
      <c r="V61" s="26"/>
      <c r="W61" s="26"/>
      <c r="X61" s="26"/>
      <c r="Y61" s="26"/>
      <c r="Z61" s="26"/>
      <c r="AA61" s="26"/>
      <c r="AB61" s="26"/>
      <c r="AC61" s="26"/>
      <c r="AD61" s="26"/>
      <c r="AE61" s="26">
        <f>SUM(S61:AD61)</f>
        <v>81962.350000000006</v>
      </c>
      <c r="AF61" s="181">
        <f t="shared" si="34"/>
        <v>3.0522154976056395E-3</v>
      </c>
      <c r="AH61" s="35"/>
    </row>
    <row r="62" spans="1:34" x14ac:dyDescent="0.15">
      <c r="L62" s="90"/>
      <c r="P62" s="73" t="s">
        <v>227</v>
      </c>
      <c r="Q62" s="204" t="s">
        <v>438</v>
      </c>
      <c r="R62" s="205"/>
      <c r="S62" s="203"/>
      <c r="T62" s="203"/>
      <c r="U62" s="26"/>
      <c r="V62" s="26"/>
      <c r="W62" s="26"/>
      <c r="X62" s="26"/>
      <c r="Y62" s="26"/>
      <c r="Z62" s="26"/>
      <c r="AA62" s="26"/>
      <c r="AB62" s="26"/>
      <c r="AC62" s="26"/>
      <c r="AD62" s="26"/>
      <c r="AE62" s="26">
        <f>SUM(S62:AD62)</f>
        <v>0</v>
      </c>
      <c r="AF62" s="181">
        <f t="shared" si="34"/>
        <v>0</v>
      </c>
      <c r="AH62" s="35"/>
    </row>
    <row r="63" spans="1:34" x14ac:dyDescent="0.15">
      <c r="B63" s="304" t="s">
        <v>23</v>
      </c>
      <c r="C63" s="305"/>
      <c r="D63" s="305"/>
      <c r="E63" s="306" t="s">
        <v>24</v>
      </c>
      <c r="F63" s="306"/>
      <c r="H63" s="304"/>
      <c r="I63" s="307" t="s">
        <v>25</v>
      </c>
      <c r="L63" s="34"/>
      <c r="P63" s="206" t="s">
        <v>229</v>
      </c>
      <c r="Q63" s="201" t="s">
        <v>230</v>
      </c>
      <c r="R63" s="202"/>
      <c r="S63" s="203"/>
      <c r="T63" s="203"/>
      <c r="U63" s="26"/>
      <c r="V63" s="26"/>
      <c r="W63" s="26"/>
      <c r="X63" s="26"/>
      <c r="Y63" s="26"/>
      <c r="Z63" s="26"/>
      <c r="AA63" s="26"/>
      <c r="AB63" s="26"/>
      <c r="AC63" s="26"/>
      <c r="AD63" s="26"/>
      <c r="AE63" s="26">
        <f>SUM(S63:AD63)</f>
        <v>0</v>
      </c>
      <c r="AF63" s="181">
        <f t="shared" si="34"/>
        <v>0</v>
      </c>
      <c r="AH63" s="35"/>
    </row>
    <row r="64" spans="1:34" x14ac:dyDescent="0.15">
      <c r="A64" s="308"/>
      <c r="B64" s="304" t="s">
        <v>26</v>
      </c>
      <c r="C64" s="305"/>
      <c r="D64" s="305"/>
      <c r="E64" s="306" t="s">
        <v>27</v>
      </c>
      <c r="F64" s="306"/>
      <c r="H64" s="304"/>
      <c r="I64" s="307" t="s">
        <v>28</v>
      </c>
      <c r="J64" s="308"/>
      <c r="K64" s="308"/>
      <c r="L64" s="90"/>
      <c r="P64" s="207" t="s">
        <v>241</v>
      </c>
      <c r="Q64" s="208"/>
      <c r="R64" s="188"/>
      <c r="S64" s="203">
        <f>S56+S60</f>
        <v>12473185.970000001</v>
      </c>
      <c r="T64" s="203">
        <f t="shared" ref="T64:AD64" si="36">T56+T60</f>
        <v>14380209.560000001</v>
      </c>
      <c r="U64" s="203">
        <f>U56+U60</f>
        <v>0</v>
      </c>
      <c r="V64" s="203">
        <f t="shared" si="36"/>
        <v>0</v>
      </c>
      <c r="W64" s="203">
        <f t="shared" si="36"/>
        <v>0</v>
      </c>
      <c r="X64" s="203">
        <f t="shared" si="36"/>
        <v>0</v>
      </c>
      <c r="Y64" s="203">
        <f t="shared" si="36"/>
        <v>0</v>
      </c>
      <c r="Z64" s="203">
        <f>Z56+Z60</f>
        <v>0</v>
      </c>
      <c r="AA64" s="203">
        <f t="shared" si="36"/>
        <v>0</v>
      </c>
      <c r="AB64" s="203">
        <f t="shared" si="36"/>
        <v>0</v>
      </c>
      <c r="AC64" s="203">
        <f t="shared" si="36"/>
        <v>0</v>
      </c>
      <c r="AD64" s="203">
        <f t="shared" si="36"/>
        <v>0</v>
      </c>
      <c r="AE64" s="203">
        <f>AE56+AE60</f>
        <v>26853395.530000001</v>
      </c>
      <c r="AF64" s="181">
        <f>AF56+AF60</f>
        <v>0.99999999999999989</v>
      </c>
      <c r="AH64" s="35"/>
    </row>
    <row r="65" spans="1:33" x14ac:dyDescent="0.15">
      <c r="A65" s="309"/>
      <c r="B65" s="310"/>
      <c r="C65" s="310"/>
      <c r="D65" s="310"/>
      <c r="E65" s="310"/>
      <c r="F65" s="310"/>
      <c r="G65" s="310"/>
      <c r="H65" s="310"/>
      <c r="I65" s="310"/>
      <c r="J65" s="310"/>
      <c r="K65" s="310"/>
      <c r="L65" s="34"/>
      <c r="S65" s="165">
        <f>H41-S64</f>
        <v>0</v>
      </c>
      <c r="T65" s="165">
        <f>H42-T64</f>
        <v>0</v>
      </c>
      <c r="U65" s="165">
        <f>H43-U64</f>
        <v>15552991.85</v>
      </c>
      <c r="V65" s="165">
        <f>H44-V64</f>
        <v>15761390.689999999</v>
      </c>
      <c r="W65" s="165">
        <f>H45-W64</f>
        <v>16021601.890000001</v>
      </c>
      <c r="X65" s="165">
        <f>H46-X64</f>
        <v>16727845.119999999</v>
      </c>
      <c r="Y65" s="165">
        <f>H47-Y64</f>
        <v>0</v>
      </c>
      <c r="Z65" s="165">
        <f>H48-Z64</f>
        <v>0</v>
      </c>
      <c r="AA65" s="165">
        <f>H49-AA64</f>
        <v>0</v>
      </c>
      <c r="AB65" s="165">
        <f>H50-AB64</f>
        <v>0</v>
      </c>
      <c r="AC65" s="165">
        <f>H51-AC64</f>
        <v>0</v>
      </c>
      <c r="AD65" s="165">
        <f>H52-AD64</f>
        <v>0</v>
      </c>
      <c r="AE65" s="165">
        <f>AE64-H53</f>
        <v>-64063829.550000012</v>
      </c>
    </row>
    <row r="66" spans="1:33" x14ac:dyDescent="0.15">
      <c r="A66" s="309"/>
      <c r="B66" s="310"/>
      <c r="C66" s="310"/>
      <c r="D66" s="310"/>
      <c r="E66" s="310"/>
      <c r="F66" s="310"/>
      <c r="G66" s="310"/>
      <c r="H66" s="310"/>
      <c r="I66" s="310"/>
      <c r="J66" s="310"/>
      <c r="K66" s="310"/>
      <c r="L66" s="34"/>
      <c r="R66" s="304" t="s">
        <v>23</v>
      </c>
      <c r="S66" s="305"/>
      <c r="T66" s="305"/>
      <c r="U66" s="306" t="s">
        <v>24</v>
      </c>
      <c r="V66" s="306"/>
      <c r="X66" s="304"/>
      <c r="Y66" s="307" t="s">
        <v>25</v>
      </c>
      <c r="Z66" s="308"/>
      <c r="AA66" s="311"/>
      <c r="AB66" s="308"/>
      <c r="AD66" s="56" t="s">
        <v>242</v>
      </c>
      <c r="AE66" s="165">
        <f>40259038.12-AE64</f>
        <v>13405642.589999996</v>
      </c>
    </row>
    <row r="67" spans="1:33" x14ac:dyDescent="0.15">
      <c r="A67" s="309"/>
      <c r="C67" s="78" t="s">
        <v>462</v>
      </c>
      <c r="E67" s="165"/>
      <c r="R67" s="304" t="s">
        <v>26</v>
      </c>
      <c r="S67" s="305"/>
      <c r="T67" s="305"/>
      <c r="U67" s="306" t="s">
        <v>27</v>
      </c>
      <c r="V67" s="306"/>
      <c r="X67" s="304"/>
      <c r="Y67" s="307" t="s">
        <v>28</v>
      </c>
      <c r="Z67" s="310"/>
      <c r="AA67" s="310"/>
      <c r="AB67" s="310"/>
      <c r="AD67" s="57" t="s">
        <v>243</v>
      </c>
      <c r="AE67" s="212">
        <f>AE66+AE64</f>
        <v>40259038.119999997</v>
      </c>
      <c r="AG67" s="34"/>
    </row>
    <row r="68" spans="1:33" x14ac:dyDescent="0.15">
      <c r="A68" s="585" t="s">
        <v>458</v>
      </c>
      <c r="B68" s="585" t="s">
        <v>246</v>
      </c>
      <c r="C68" s="585" t="s">
        <v>247</v>
      </c>
      <c r="D68" s="585" t="s">
        <v>39</v>
      </c>
      <c r="E68" s="585" t="s">
        <v>40</v>
      </c>
      <c r="F68" s="585" t="s">
        <v>41</v>
      </c>
      <c r="G68" s="585" t="s">
        <v>185</v>
      </c>
      <c r="H68" s="585" t="s">
        <v>186</v>
      </c>
      <c r="I68" s="586"/>
      <c r="J68" s="585" t="s">
        <v>187</v>
      </c>
      <c r="K68" s="585" t="s">
        <v>188</v>
      </c>
      <c r="L68" s="585" t="s">
        <v>189</v>
      </c>
      <c r="M68" s="585" t="s">
        <v>191</v>
      </c>
      <c r="N68" s="585" t="s">
        <v>192</v>
      </c>
      <c r="O68" s="585" t="s">
        <v>193</v>
      </c>
      <c r="R68" s="304"/>
      <c r="S68" s="305"/>
      <c r="T68" s="312"/>
      <c r="U68" s="306"/>
      <c r="V68" s="306"/>
      <c r="X68" s="304"/>
      <c r="Y68" s="307"/>
      <c r="Z68" s="310"/>
      <c r="AA68" s="310"/>
      <c r="AB68" s="310"/>
      <c r="AE68" s="165"/>
      <c r="AG68" s="90"/>
    </row>
    <row r="69" spans="1:33" x14ac:dyDescent="0.15">
      <c r="A69" s="586"/>
      <c r="B69" s="622">
        <v>1022.7</v>
      </c>
      <c r="C69" s="587">
        <v>2006</v>
      </c>
      <c r="D69" s="622">
        <v>1022.7</v>
      </c>
      <c r="E69" s="622">
        <v>1022.7</v>
      </c>
      <c r="F69" s="588">
        <v>1022.7</v>
      </c>
      <c r="G69" s="622">
        <v>1022.7</v>
      </c>
      <c r="H69" s="622">
        <v>1022.7</v>
      </c>
      <c r="I69" s="586"/>
      <c r="J69" s="586"/>
      <c r="K69" s="586"/>
      <c r="L69" s="586"/>
      <c r="M69" s="586"/>
      <c r="N69" s="586"/>
      <c r="O69" s="586"/>
      <c r="S69" s="175"/>
      <c r="U69" s="60"/>
      <c r="V69" s="60"/>
      <c r="W69" s="60"/>
      <c r="X69" s="61" t="s">
        <v>433</v>
      </c>
      <c r="Y69" s="175"/>
      <c r="Z69" s="175"/>
      <c r="AA69" s="60"/>
      <c r="AB69" s="175"/>
      <c r="AC69" s="175"/>
      <c r="AD69" s="175"/>
      <c r="AE69" s="60"/>
      <c r="AG69" s="90"/>
    </row>
    <row r="70" spans="1:33" x14ac:dyDescent="0.15">
      <c r="A70" s="586"/>
      <c r="B70" s="586">
        <v>776.55</v>
      </c>
      <c r="C70" s="587">
        <v>2007</v>
      </c>
      <c r="D70" s="586">
        <v>776.55</v>
      </c>
      <c r="E70" s="586">
        <v>776.55</v>
      </c>
      <c r="F70" s="588">
        <v>776.55</v>
      </c>
      <c r="G70" s="586">
        <v>776.55</v>
      </c>
      <c r="H70" s="586">
        <v>776.55</v>
      </c>
      <c r="I70" s="586"/>
      <c r="J70" s="586"/>
      <c r="K70" s="586"/>
      <c r="L70" s="586"/>
      <c r="M70" s="586"/>
      <c r="N70" s="586"/>
      <c r="O70" s="586"/>
      <c r="R70" s="57" t="s">
        <v>431</v>
      </c>
      <c r="S70" s="66" t="s">
        <v>38</v>
      </c>
      <c r="T70" s="66" t="s">
        <v>39</v>
      </c>
      <c r="U70" s="66" t="s">
        <v>40</v>
      </c>
      <c r="V70" s="66" t="s">
        <v>41</v>
      </c>
      <c r="W70" s="66" t="s">
        <v>185</v>
      </c>
      <c r="X70" s="66" t="s">
        <v>186</v>
      </c>
      <c r="Y70" s="66" t="s">
        <v>187</v>
      </c>
      <c r="Z70" s="66" t="s">
        <v>188</v>
      </c>
      <c r="AA70" s="66" t="s">
        <v>189</v>
      </c>
      <c r="AB70" s="66" t="s">
        <v>191</v>
      </c>
      <c r="AC70" s="66" t="s">
        <v>192</v>
      </c>
      <c r="AD70" s="66" t="s">
        <v>193</v>
      </c>
      <c r="AE70" s="68" t="s">
        <v>4</v>
      </c>
    </row>
    <row r="71" spans="1:33" x14ac:dyDescent="0.15">
      <c r="A71" s="586"/>
      <c r="B71" s="622">
        <v>2006.84</v>
      </c>
      <c r="C71" s="587">
        <v>2008</v>
      </c>
      <c r="D71" s="622">
        <v>2006.84</v>
      </c>
      <c r="E71" s="622">
        <v>2006.84</v>
      </c>
      <c r="F71" s="588">
        <v>2006.84</v>
      </c>
      <c r="G71" s="622">
        <v>2006.84</v>
      </c>
      <c r="H71" s="622">
        <v>2006.84</v>
      </c>
      <c r="I71" s="586"/>
      <c r="J71" s="586"/>
      <c r="K71" s="586"/>
      <c r="L71" s="586"/>
      <c r="M71" s="586"/>
      <c r="N71" s="586"/>
      <c r="O71" s="586"/>
      <c r="R71" s="57" t="s">
        <v>434</v>
      </c>
      <c r="S71" s="144">
        <f>S56</f>
        <v>12394462.620000001</v>
      </c>
      <c r="T71" s="144">
        <f t="shared" ref="T71:AD71" si="37">T56</f>
        <v>14376970.560000001</v>
      </c>
      <c r="U71" s="144">
        <f t="shared" si="37"/>
        <v>0</v>
      </c>
      <c r="V71" s="144">
        <f t="shared" si="37"/>
        <v>0</v>
      </c>
      <c r="W71" s="144">
        <f>W56</f>
        <v>0</v>
      </c>
      <c r="X71" s="144">
        <f t="shared" si="37"/>
        <v>0</v>
      </c>
      <c r="Y71" s="144">
        <f t="shared" si="37"/>
        <v>0</v>
      </c>
      <c r="Z71" s="144">
        <f t="shared" si="37"/>
        <v>0</v>
      </c>
      <c r="AA71" s="144">
        <f t="shared" si="37"/>
        <v>0</v>
      </c>
      <c r="AB71" s="144">
        <f t="shared" si="37"/>
        <v>0</v>
      </c>
      <c r="AC71" s="144">
        <f>AC56</f>
        <v>0</v>
      </c>
      <c r="AD71" s="144">
        <f t="shared" si="37"/>
        <v>0</v>
      </c>
      <c r="AE71" s="144">
        <f>SUM(S71:AD71)</f>
        <v>26771433.18</v>
      </c>
    </row>
    <row r="72" spans="1:33" x14ac:dyDescent="0.15">
      <c r="A72" s="586"/>
      <c r="B72" s="622">
        <v>2183</v>
      </c>
      <c r="C72" s="587">
        <v>2009</v>
      </c>
      <c r="D72" s="622">
        <v>2183</v>
      </c>
      <c r="E72" s="622">
        <v>2183</v>
      </c>
      <c r="F72" s="588">
        <v>2183</v>
      </c>
      <c r="G72" s="622">
        <v>2183</v>
      </c>
      <c r="H72" s="622">
        <v>2183</v>
      </c>
      <c r="I72" s="586"/>
      <c r="J72" s="586"/>
      <c r="K72" s="586"/>
      <c r="L72" s="586"/>
      <c r="M72" s="586"/>
      <c r="N72" s="586"/>
      <c r="O72" s="586"/>
      <c r="R72" s="57" t="s">
        <v>432</v>
      </c>
      <c r="S72" s="340">
        <f>RCL!E4</f>
        <v>13389292.91</v>
      </c>
      <c r="T72" s="340">
        <f>RCL!D4</f>
        <v>11797671.649999999</v>
      </c>
      <c r="U72" s="340">
        <f>RCL!D4</f>
        <v>11797671.649999999</v>
      </c>
      <c r="V72" s="340">
        <f>RCL!H4</f>
        <v>11854362.07</v>
      </c>
      <c r="W72" s="341">
        <f>RCL!G4</f>
        <v>13654040.1</v>
      </c>
      <c r="X72" s="341">
        <f>RCL!F4</f>
        <v>12640023.810000001</v>
      </c>
      <c r="Y72" s="341">
        <f>RCL!E4</f>
        <v>13389292.91</v>
      </c>
      <c r="Z72" s="341">
        <f>RCL!D4</f>
        <v>11797671.649999999</v>
      </c>
      <c r="AA72" s="341">
        <f>RCL!E4</f>
        <v>13389292.91</v>
      </c>
      <c r="AB72" s="341">
        <f>RCL!D4</f>
        <v>11797671.649999999</v>
      </c>
      <c r="AC72" s="341" t="e">
        <f>RCL!#REF!</f>
        <v>#REF!</v>
      </c>
      <c r="AD72" s="341" t="e">
        <f>RCL!#REF!</f>
        <v>#REF!</v>
      </c>
      <c r="AE72" s="144" t="e">
        <f>SUM(S72:AD72)</f>
        <v>#REF!</v>
      </c>
    </row>
    <row r="73" spans="1:33" x14ac:dyDescent="0.15">
      <c r="A73" s="586"/>
      <c r="B73" s="622">
        <v>6288.69</v>
      </c>
      <c r="C73" s="587">
        <v>2010</v>
      </c>
      <c r="D73" s="622">
        <v>6288.69</v>
      </c>
      <c r="E73" s="622">
        <v>6288.69</v>
      </c>
      <c r="F73" s="588">
        <v>6288.69</v>
      </c>
      <c r="G73" s="622">
        <v>6288.69</v>
      </c>
      <c r="H73" s="622">
        <v>6288.69</v>
      </c>
      <c r="I73" s="586"/>
      <c r="J73" s="586"/>
      <c r="K73" s="586"/>
      <c r="L73" s="586"/>
      <c r="M73" s="586"/>
      <c r="N73" s="586"/>
      <c r="O73" s="586"/>
      <c r="R73" s="57" t="s">
        <v>248</v>
      </c>
      <c r="S73" s="181">
        <f>S71/S72</f>
        <v>0.92569956481742255</v>
      </c>
      <c r="T73" s="181">
        <f t="shared" ref="T73:AD73" si="38">T71/T72</f>
        <v>1.2186277925441333</v>
      </c>
      <c r="U73" s="181">
        <f t="shared" si="38"/>
        <v>0</v>
      </c>
      <c r="V73" s="181">
        <f t="shared" si="38"/>
        <v>0</v>
      </c>
      <c r="W73" s="181">
        <f t="shared" si="38"/>
        <v>0</v>
      </c>
      <c r="X73" s="181">
        <f t="shared" si="38"/>
        <v>0</v>
      </c>
      <c r="Y73" s="181">
        <f t="shared" si="38"/>
        <v>0</v>
      </c>
      <c r="Z73" s="181">
        <f t="shared" si="38"/>
        <v>0</v>
      </c>
      <c r="AA73" s="181">
        <f t="shared" si="38"/>
        <v>0</v>
      </c>
      <c r="AB73" s="181">
        <f t="shared" si="38"/>
        <v>0</v>
      </c>
      <c r="AC73" s="181" t="e">
        <f t="shared" si="38"/>
        <v>#REF!</v>
      </c>
      <c r="AD73" s="181" t="e">
        <f t="shared" si="38"/>
        <v>#REF!</v>
      </c>
      <c r="AE73" s="181" t="e">
        <f>AE71/AE72</f>
        <v>#REF!</v>
      </c>
      <c r="AF73" s="90"/>
    </row>
    <row r="74" spans="1:33" x14ac:dyDescent="0.15">
      <c r="A74" s="586"/>
      <c r="B74" s="622">
        <v>15642.83</v>
      </c>
      <c r="C74" s="587">
        <v>2011</v>
      </c>
      <c r="D74" s="622">
        <v>15642.83</v>
      </c>
      <c r="E74" s="622">
        <v>15642.83</v>
      </c>
      <c r="F74" s="588">
        <v>15642.83</v>
      </c>
      <c r="G74" s="622">
        <v>15642.83</v>
      </c>
      <c r="H74" s="622">
        <v>15642.83</v>
      </c>
      <c r="I74" s="586"/>
      <c r="J74" s="586"/>
      <c r="K74" s="586"/>
      <c r="L74" s="586"/>
      <c r="M74" s="586"/>
      <c r="N74" s="586"/>
      <c r="O74" s="586"/>
    </row>
    <row r="75" spans="1:33" x14ac:dyDescent="0.15">
      <c r="A75" s="586"/>
      <c r="B75" s="622">
        <v>552537.96</v>
      </c>
      <c r="C75" s="587">
        <v>2012</v>
      </c>
      <c r="D75" s="622">
        <v>515859.13</v>
      </c>
      <c r="E75" s="622">
        <v>479180.3</v>
      </c>
      <c r="F75" s="588">
        <v>442501.47</v>
      </c>
      <c r="G75" s="622">
        <v>405822.64</v>
      </c>
      <c r="H75" s="622">
        <v>369143.81</v>
      </c>
      <c r="I75" s="586"/>
      <c r="J75" s="586"/>
      <c r="K75" s="586"/>
      <c r="L75" s="586"/>
      <c r="M75" s="586"/>
      <c r="N75" s="586"/>
      <c r="O75" s="586"/>
      <c r="T75" s="78" t="s">
        <v>249</v>
      </c>
    </row>
    <row r="76" spans="1:33" x14ac:dyDescent="0.15">
      <c r="A76" s="586"/>
      <c r="B76" s="622">
        <v>2038.08</v>
      </c>
      <c r="C76" s="587">
        <v>2013</v>
      </c>
      <c r="D76" s="622">
        <v>2038.08</v>
      </c>
      <c r="E76" s="622">
        <v>2038.08</v>
      </c>
      <c r="F76" s="588">
        <v>2038.08</v>
      </c>
      <c r="G76" s="622">
        <v>2038.08</v>
      </c>
      <c r="H76" s="622">
        <v>2038.08</v>
      </c>
      <c r="I76" s="586"/>
      <c r="J76" s="586"/>
      <c r="K76" s="586"/>
      <c r="L76" s="586"/>
      <c r="M76" s="586"/>
      <c r="N76" s="586"/>
      <c r="O76" s="586"/>
    </row>
    <row r="77" spans="1:33" x14ac:dyDescent="0.15">
      <c r="A77" s="586"/>
      <c r="B77" s="622">
        <v>10782.56</v>
      </c>
      <c r="C77" s="587">
        <v>2014</v>
      </c>
      <c r="D77" s="622">
        <v>10782.56</v>
      </c>
      <c r="E77" s="622">
        <v>10782.56</v>
      </c>
      <c r="F77" s="588">
        <v>10782.56</v>
      </c>
      <c r="G77" s="622">
        <v>10782.56</v>
      </c>
      <c r="H77" s="622">
        <v>10782.56</v>
      </c>
      <c r="I77" s="586"/>
      <c r="J77" s="586"/>
      <c r="K77" s="586"/>
      <c r="L77" s="586"/>
      <c r="M77" s="586"/>
      <c r="N77" s="586"/>
      <c r="O77" s="586"/>
      <c r="T77" s="78" t="s">
        <v>250</v>
      </c>
    </row>
    <row r="78" spans="1:33" x14ac:dyDescent="0.15">
      <c r="A78" s="586"/>
      <c r="B78" s="622">
        <v>2407878.4900000002</v>
      </c>
      <c r="C78" s="587">
        <v>2015</v>
      </c>
      <c r="D78" s="622">
        <v>2395224.41</v>
      </c>
      <c r="E78" s="622">
        <v>2382570.33</v>
      </c>
      <c r="F78" s="588">
        <v>2369916.25</v>
      </c>
      <c r="G78" s="622">
        <v>2357262.17</v>
      </c>
      <c r="H78" s="622">
        <v>2344608.09</v>
      </c>
      <c r="I78" s="586"/>
      <c r="J78" s="586"/>
      <c r="K78" s="586"/>
      <c r="L78" s="586"/>
      <c r="M78" s="586"/>
      <c r="N78" s="586"/>
      <c r="O78" s="586"/>
      <c r="Q78" s="66" t="s">
        <v>50</v>
      </c>
      <c r="R78" s="66" t="s">
        <v>251</v>
      </c>
      <c r="S78" s="66" t="str">
        <f t="shared" ref="S78:AE78" si="39">S3</f>
        <v>JANEIRO</v>
      </c>
      <c r="T78" s="66" t="str">
        <f t="shared" si="39"/>
        <v>FEVEREIRO</v>
      </c>
      <c r="U78" s="66" t="str">
        <f t="shared" si="39"/>
        <v>MARÇO</v>
      </c>
      <c r="V78" s="66" t="str">
        <f t="shared" si="39"/>
        <v>ABRIL</v>
      </c>
      <c r="W78" s="66" t="str">
        <f t="shared" si="39"/>
        <v>MAIO</v>
      </c>
      <c r="X78" s="66" t="str">
        <f t="shared" si="39"/>
        <v>JUNHO</v>
      </c>
      <c r="Y78" s="66" t="str">
        <f t="shared" si="39"/>
        <v>JULHO</v>
      </c>
      <c r="Z78" s="66" t="str">
        <f t="shared" si="39"/>
        <v>AGOSTO</v>
      </c>
      <c r="AA78" s="66" t="str">
        <f t="shared" si="39"/>
        <v>SETEMBRO</v>
      </c>
      <c r="AB78" s="66" t="str">
        <f t="shared" si="39"/>
        <v>OUTUBRO</v>
      </c>
      <c r="AC78" s="66" t="str">
        <f t="shared" si="39"/>
        <v>NOVEMBRO</v>
      </c>
      <c r="AD78" s="66" t="str">
        <f t="shared" si="39"/>
        <v>DEZEMBRO</v>
      </c>
      <c r="AE78" s="66" t="str">
        <f t="shared" si="39"/>
        <v>TOTAL</v>
      </c>
    </row>
    <row r="79" spans="1:33" x14ac:dyDescent="0.15">
      <c r="A79" s="586"/>
      <c r="B79" s="622">
        <v>1763877.48</v>
      </c>
      <c r="C79" s="587">
        <v>2016</v>
      </c>
      <c r="D79" s="622">
        <v>1749599.82</v>
      </c>
      <c r="E79" s="622">
        <v>1735322.16</v>
      </c>
      <c r="F79" s="588">
        <v>1721044.5</v>
      </c>
      <c r="G79" s="622">
        <v>1706766.84</v>
      </c>
      <c r="H79" s="622">
        <v>1692489.18</v>
      </c>
      <c r="I79" s="586"/>
      <c r="J79" s="586"/>
      <c r="K79" s="586"/>
      <c r="L79" s="586"/>
      <c r="M79" s="586"/>
      <c r="N79" s="586"/>
      <c r="O79" s="586"/>
      <c r="Q79" s="172" t="s">
        <v>252</v>
      </c>
      <c r="R79" s="66" t="s">
        <v>182</v>
      </c>
      <c r="S79" s="68">
        <f t="shared" ref="S79:AE79" si="40">S20</f>
        <v>16159624.118885797</v>
      </c>
      <c r="T79" s="68">
        <f t="shared" si="40"/>
        <v>14424155.323957901</v>
      </c>
      <c r="U79" s="68">
        <f t="shared" si="40"/>
        <v>18725806.278793745</v>
      </c>
      <c r="V79" s="68">
        <f t="shared" si="40"/>
        <v>19346679.763124648</v>
      </c>
      <c r="W79" s="68">
        <f t="shared" si="40"/>
        <v>20313509.704955719</v>
      </c>
      <c r="X79" s="68">
        <f t="shared" si="40"/>
        <v>18681362.101665273</v>
      </c>
      <c r="Y79" s="68">
        <f t="shared" si="40"/>
        <v>21513382.866102468</v>
      </c>
      <c r="Z79" s="68">
        <f t="shared" si="40"/>
        <v>18527162.991112463</v>
      </c>
      <c r="AA79" s="68">
        <f t="shared" si="40"/>
        <v>18385494.367828082</v>
      </c>
      <c r="AB79" s="68">
        <f t="shared" si="40"/>
        <v>18968805.514368206</v>
      </c>
      <c r="AC79" s="68">
        <f t="shared" si="40"/>
        <v>19330249.88981479</v>
      </c>
      <c r="AD79" s="68">
        <f t="shared" si="40"/>
        <v>30642958.129390951</v>
      </c>
      <c r="AE79" s="68">
        <f t="shared" si="40"/>
        <v>235019191.04999998</v>
      </c>
      <c r="AG79" s="35"/>
    </row>
    <row r="80" spans="1:33" x14ac:dyDescent="0.15">
      <c r="A80" s="586"/>
      <c r="B80" s="622">
        <v>670372.43000000005</v>
      </c>
      <c r="C80" s="587">
        <v>2017</v>
      </c>
      <c r="D80" s="622">
        <v>633204.9</v>
      </c>
      <c r="E80" s="622">
        <v>596037.37</v>
      </c>
      <c r="F80" s="588">
        <v>558869.84</v>
      </c>
      <c r="G80" s="622">
        <v>521702.31</v>
      </c>
      <c r="H80" s="622">
        <v>484534.78</v>
      </c>
      <c r="I80" s="586"/>
      <c r="J80" s="586"/>
      <c r="K80" s="586"/>
      <c r="L80" s="586"/>
      <c r="M80" s="586"/>
      <c r="N80" s="586"/>
      <c r="O80" s="586"/>
    </row>
    <row r="81" spans="1:32" x14ac:dyDescent="0.15">
      <c r="A81" s="586"/>
      <c r="B81" s="622">
        <v>437406.15</v>
      </c>
      <c r="C81" s="587">
        <v>2018</v>
      </c>
      <c r="D81" s="622">
        <v>437406.15</v>
      </c>
      <c r="E81" s="622">
        <v>437406.15</v>
      </c>
      <c r="F81" s="588">
        <v>437406.15</v>
      </c>
      <c r="G81" s="622">
        <v>435511.15</v>
      </c>
      <c r="H81" s="622">
        <v>435511.15</v>
      </c>
      <c r="I81" s="586"/>
      <c r="J81" s="586"/>
      <c r="K81" s="586"/>
      <c r="L81" s="586"/>
      <c r="M81" s="586"/>
      <c r="N81" s="586"/>
      <c r="O81" s="586"/>
      <c r="Q81" s="172">
        <f t="shared" ref="Q81:AE81" si="41">Q13</f>
        <v>10</v>
      </c>
      <c r="R81" s="172" t="str">
        <f t="shared" si="41"/>
        <v>SMS</v>
      </c>
      <c r="S81" s="68">
        <f t="shared" si="41"/>
        <v>2891358.9653597106</v>
      </c>
      <c r="T81" s="68">
        <f t="shared" si="41"/>
        <v>2571590.5018832698</v>
      </c>
      <c r="U81" s="68">
        <f t="shared" si="41"/>
        <v>3364190.3574727043</v>
      </c>
      <c r="V81" s="68">
        <f t="shared" si="41"/>
        <v>3478589.2799298526</v>
      </c>
      <c r="W81" s="68">
        <f t="shared" si="41"/>
        <v>3656732.3418194698</v>
      </c>
      <c r="X81" s="68">
        <f t="shared" si="41"/>
        <v>3356001.304305986</v>
      </c>
      <c r="Y81" s="68">
        <f t="shared" si="41"/>
        <v>3877814.7365175877</v>
      </c>
      <c r="Z81" s="68">
        <f t="shared" si="41"/>
        <v>3327589.377341345</v>
      </c>
      <c r="AA81" s="68">
        <f t="shared" si="41"/>
        <v>3301486.2528582844</v>
      </c>
      <c r="AB81" s="68">
        <f t="shared" si="41"/>
        <v>3408964.1341102868</v>
      </c>
      <c r="AC81" s="68">
        <f t="shared" si="41"/>
        <v>3475561.9968356476</v>
      </c>
      <c r="AD81" s="68">
        <f t="shared" si="41"/>
        <v>5559982.841565867</v>
      </c>
      <c r="AE81" s="68">
        <f t="shared" si="41"/>
        <v>42269862.090000011</v>
      </c>
    </row>
    <row r="82" spans="1:32" x14ac:dyDescent="0.15">
      <c r="A82" s="586"/>
      <c r="B82" s="622">
        <v>40266.400000000001</v>
      </c>
      <c r="C82" s="587">
        <v>2019</v>
      </c>
      <c r="D82" s="622">
        <v>40266.400000000001</v>
      </c>
      <c r="E82" s="622">
        <v>40266.400000000001</v>
      </c>
      <c r="F82" s="588">
        <v>40266.400000000001</v>
      </c>
      <c r="G82" s="622">
        <v>40266.400000000001</v>
      </c>
      <c r="H82" s="622">
        <v>40266.400000000001</v>
      </c>
      <c r="I82" s="586"/>
      <c r="J82" s="586"/>
      <c r="K82" s="586"/>
      <c r="L82" s="586"/>
      <c r="M82" s="586"/>
      <c r="N82" s="586"/>
      <c r="O82" s="586"/>
      <c r="Q82" s="194"/>
      <c r="R82" s="194" t="s">
        <v>253</v>
      </c>
      <c r="S82" s="68">
        <f>(S81/S79)*100</f>
        <v>17.892488984199648</v>
      </c>
      <c r="T82" s="68">
        <f t="shared" ref="T82:AD82" si="42">(T81/T79)*100</f>
        <v>17.828361135379406</v>
      </c>
      <c r="U82" s="68">
        <f t="shared" si="42"/>
        <v>17.965530067896303</v>
      </c>
      <c r="V82" s="68">
        <f t="shared" si="42"/>
        <v>17.980290791602123</v>
      </c>
      <c r="W82" s="68">
        <f t="shared" si="42"/>
        <v>18.001479778392834</v>
      </c>
      <c r="X82" s="68">
        <f t="shared" si="42"/>
        <v>17.964435815988114</v>
      </c>
      <c r="Y82" s="68">
        <f t="shared" si="42"/>
        <v>18.025127710750041</v>
      </c>
      <c r="Z82" s="68">
        <f t="shared" si="42"/>
        <v>17.960598602914001</v>
      </c>
      <c r="AA82" s="68">
        <f t="shared" si="42"/>
        <v>17.957016476181359</v>
      </c>
      <c r="AB82" s="68">
        <f t="shared" si="42"/>
        <v>17.971422246530576</v>
      </c>
      <c r="AC82" s="68">
        <f t="shared" si="42"/>
        <v>17.979912399719879</v>
      </c>
      <c r="AD82" s="68">
        <f t="shared" si="42"/>
        <v>18.144406352965817</v>
      </c>
      <c r="AE82" s="68">
        <f>(AE81/AE79)*100</f>
        <v>17.985706571939975</v>
      </c>
    </row>
    <row r="83" spans="1:32" x14ac:dyDescent="0.15">
      <c r="A83" s="586"/>
      <c r="B83" s="622">
        <v>4378455.01</v>
      </c>
      <c r="C83" s="587">
        <v>2020</v>
      </c>
      <c r="D83" s="622">
        <v>4283204.92</v>
      </c>
      <c r="E83" s="622">
        <v>4187907.22</v>
      </c>
      <c r="F83" s="588">
        <v>4092657.13</v>
      </c>
      <c r="G83" s="622">
        <v>3997407.04</v>
      </c>
      <c r="H83" s="622">
        <v>3902082.95</v>
      </c>
      <c r="I83" s="586"/>
      <c r="J83" s="586"/>
      <c r="K83" s="586"/>
      <c r="L83" s="586"/>
      <c r="M83" s="586"/>
      <c r="N83" s="586"/>
      <c r="O83" s="586"/>
      <c r="U83" s="90"/>
      <c r="V83" s="90"/>
      <c r="W83" s="90"/>
      <c r="X83" s="35"/>
      <c r="Y83" s="90"/>
      <c r="Z83" s="35"/>
    </row>
    <row r="84" spans="1:32" x14ac:dyDescent="0.15">
      <c r="A84" s="586"/>
      <c r="B84" s="622">
        <v>286579.53000000003</v>
      </c>
      <c r="C84" s="587">
        <v>2021</v>
      </c>
      <c r="D84" s="622">
        <v>286579.53000000003</v>
      </c>
      <c r="E84" s="622">
        <v>285684.53000000003</v>
      </c>
      <c r="F84" s="588">
        <v>502483.33</v>
      </c>
      <c r="G84" s="622">
        <v>275432.53000000003</v>
      </c>
      <c r="H84" s="622">
        <v>336718.42</v>
      </c>
      <c r="I84" s="586"/>
      <c r="J84" s="586"/>
      <c r="K84" s="586"/>
      <c r="L84" s="586"/>
      <c r="M84" s="586"/>
      <c r="N84" s="586"/>
      <c r="O84" s="586"/>
      <c r="R84" s="66" t="s">
        <v>254</v>
      </c>
      <c r="S84" s="194" t="s">
        <v>255</v>
      </c>
      <c r="T84" s="194" t="s">
        <v>256</v>
      </c>
      <c r="U84" s="194" t="s">
        <v>257</v>
      </c>
      <c r="V84" s="66" t="s">
        <v>53</v>
      </c>
      <c r="W84" s="66" t="s">
        <v>258</v>
      </c>
      <c r="X84" s="66" t="s">
        <v>259</v>
      </c>
      <c r="Y84" s="66" t="s">
        <v>69</v>
      </c>
      <c r="Z84" s="194" t="s">
        <v>260</v>
      </c>
      <c r="AA84" s="66" t="s">
        <v>261</v>
      </c>
    </row>
    <row r="85" spans="1:32" x14ac:dyDescent="0.15">
      <c r="A85" s="586"/>
      <c r="B85" s="622">
        <v>9269331.7100000009</v>
      </c>
      <c r="C85" s="587">
        <v>2022</v>
      </c>
      <c r="D85" s="622">
        <v>7892141.8200000003</v>
      </c>
      <c r="E85" s="622">
        <v>7467860.5800000001</v>
      </c>
      <c r="F85" s="588">
        <v>7538047.8899999997</v>
      </c>
      <c r="G85" s="622">
        <v>7381769.6200000001</v>
      </c>
      <c r="H85" s="622">
        <v>7300569.4299999997</v>
      </c>
      <c r="I85" s="586"/>
      <c r="J85" s="586"/>
      <c r="K85" s="586"/>
      <c r="L85" s="586"/>
      <c r="M85" s="586"/>
      <c r="N85" s="586"/>
      <c r="O85" s="586"/>
      <c r="R85" s="66" t="s">
        <v>262</v>
      </c>
      <c r="S85" s="26">
        <f>Cruz!I27</f>
        <v>239261587.53999999</v>
      </c>
      <c r="T85" s="144">
        <f>S85-U85</f>
        <v>199002549.41999999</v>
      </c>
      <c r="U85" s="26">
        <f>AE67</f>
        <v>40259038.119999997</v>
      </c>
      <c r="V85" s="26">
        <f>AE64</f>
        <v>26853395.530000001</v>
      </c>
      <c r="W85" s="26">
        <f>U85-V85</f>
        <v>13405642.589999996</v>
      </c>
      <c r="X85" s="26">
        <f>19501448.58</f>
        <v>19501448.579999998</v>
      </c>
      <c r="Y85" s="144">
        <f>V85-X85</f>
        <v>7351946.950000003</v>
      </c>
      <c r="Z85" s="144">
        <f>W85+Y85</f>
        <v>20757589.539999999</v>
      </c>
      <c r="AA85" s="222">
        <f>Z85-W85</f>
        <v>7351946.950000003</v>
      </c>
    </row>
    <row r="86" spans="1:32" x14ac:dyDescent="0.15">
      <c r="A86" s="586"/>
      <c r="B86" s="623">
        <f>SUM(B69:B85)</f>
        <v>19847446.41</v>
      </c>
      <c r="C86" s="586"/>
      <c r="D86" s="623">
        <f>SUM(D69:D85)</f>
        <v>18274228.329999998</v>
      </c>
      <c r="E86" s="623">
        <f>SUM(E69:E85)</f>
        <v>17652976.289999999</v>
      </c>
      <c r="F86" s="677">
        <f>SUM(F69:F85)</f>
        <v>17743934.210000001</v>
      </c>
      <c r="G86" s="677">
        <f t="shared" ref="G86:H86" si="43">SUM(G69:G85)</f>
        <v>17162681.949999999</v>
      </c>
      <c r="H86" s="677">
        <f t="shared" si="43"/>
        <v>16946665.460000001</v>
      </c>
      <c r="I86" s="586"/>
      <c r="J86" s="586"/>
      <c r="K86" s="586"/>
      <c r="L86" s="586"/>
      <c r="M86" s="586"/>
      <c r="N86" s="586"/>
      <c r="O86" s="586"/>
      <c r="T86" s="78" t="s">
        <v>263</v>
      </c>
    </row>
    <row r="87" spans="1:32" x14ac:dyDescent="0.15">
      <c r="B87" s="338">
        <f>19847446.41-B86</f>
        <v>0</v>
      </c>
      <c r="D87" s="338">
        <f>18274228.33-D86</f>
        <v>0</v>
      </c>
      <c r="E87" s="338">
        <f>17652976.29-E86</f>
        <v>0</v>
      </c>
      <c r="F87" s="338">
        <f>17743934.21-F86</f>
        <v>0</v>
      </c>
      <c r="G87" s="90">
        <f>17162681.95-G86</f>
        <v>0</v>
      </c>
      <c r="H87" s="90">
        <f>16946665.46-H86</f>
        <v>0</v>
      </c>
      <c r="Q87" s="66" t="s">
        <v>50</v>
      </c>
      <c r="R87" s="66" t="s">
        <v>264</v>
      </c>
      <c r="S87" s="144">
        <f>S40</f>
        <v>12473185.969999999</v>
      </c>
      <c r="T87" s="144">
        <f t="shared" ref="T87:AE87" si="44">T40</f>
        <v>14380209.560000001</v>
      </c>
      <c r="U87" s="144">
        <f t="shared" si="44"/>
        <v>15552991.85</v>
      </c>
      <c r="V87" s="144">
        <f t="shared" si="44"/>
        <v>15761390.690000001</v>
      </c>
      <c r="W87" s="144">
        <f t="shared" si="44"/>
        <v>16021601.889999999</v>
      </c>
      <c r="X87" s="144">
        <f t="shared" si="44"/>
        <v>16727845.120000001</v>
      </c>
      <c r="Y87" s="144">
        <f t="shared" si="44"/>
        <v>0</v>
      </c>
      <c r="Z87" s="144">
        <f t="shared" si="44"/>
        <v>0</v>
      </c>
      <c r="AA87" s="144">
        <f t="shared" si="44"/>
        <v>0</v>
      </c>
      <c r="AB87" s="144">
        <f t="shared" si="44"/>
        <v>0</v>
      </c>
      <c r="AC87" s="144">
        <f t="shared" si="44"/>
        <v>0</v>
      </c>
      <c r="AD87" s="144">
        <f t="shared" si="44"/>
        <v>0</v>
      </c>
      <c r="AE87" s="144">
        <f t="shared" si="44"/>
        <v>90917225.079999998</v>
      </c>
      <c r="AF87" s="35"/>
    </row>
    <row r="88" spans="1:32" x14ac:dyDescent="0.15">
      <c r="A88" s="405" t="s">
        <v>371</v>
      </c>
      <c r="B88" s="172" t="s">
        <v>246</v>
      </c>
      <c r="C88" s="405" t="s">
        <v>247</v>
      </c>
      <c r="D88" s="406" t="s">
        <v>39</v>
      </c>
      <c r="E88" s="405" t="s">
        <v>40</v>
      </c>
      <c r="F88" s="419" t="s">
        <v>41</v>
      </c>
      <c r="G88" s="405" t="s">
        <v>185</v>
      </c>
      <c r="H88" s="406" t="s">
        <v>186</v>
      </c>
      <c r="I88" s="410"/>
      <c r="J88" s="406" t="s">
        <v>187</v>
      </c>
      <c r="K88" s="405" t="s">
        <v>188</v>
      </c>
      <c r="L88" s="406" t="s">
        <v>189</v>
      </c>
      <c r="M88" s="405" t="s">
        <v>191</v>
      </c>
      <c r="N88" s="406" t="s">
        <v>192</v>
      </c>
      <c r="O88" s="405" t="s">
        <v>193</v>
      </c>
    </row>
    <row r="89" spans="1:32" x14ac:dyDescent="0.15">
      <c r="A89" s="321">
        <f t="shared" ref="A89:A105" si="45">O113</f>
        <v>4383.53</v>
      </c>
      <c r="B89" s="218">
        <v>4383.53</v>
      </c>
      <c r="C89" s="409">
        <v>2004</v>
      </c>
      <c r="D89" s="218">
        <v>4383.53</v>
      </c>
      <c r="E89" s="408">
        <v>4383.53</v>
      </c>
      <c r="F89" s="420">
        <v>4383.53</v>
      </c>
      <c r="G89" s="408">
        <v>4383.53</v>
      </c>
      <c r="H89" s="218">
        <v>4383.53</v>
      </c>
      <c r="I89" s="410"/>
      <c r="J89" s="218">
        <v>4383.53</v>
      </c>
      <c r="K89" s="408">
        <v>4383.53</v>
      </c>
      <c r="L89" s="218">
        <v>4383.53</v>
      </c>
      <c r="M89" s="589">
        <v>4383.53</v>
      </c>
      <c r="N89" s="420">
        <v>4383.53</v>
      </c>
      <c r="O89" s="591"/>
      <c r="Q89" s="66">
        <f t="shared" ref="Q89:AE89" si="46">Q33</f>
        <v>10</v>
      </c>
      <c r="R89" s="66" t="str">
        <f t="shared" si="46"/>
        <v>SMSMA</v>
      </c>
      <c r="S89" s="68">
        <f t="shared" si="46"/>
        <v>1874551.38</v>
      </c>
      <c r="T89" s="68">
        <f t="shared" si="46"/>
        <v>2670563.2999999998</v>
      </c>
      <c r="U89" s="68">
        <f t="shared" si="46"/>
        <v>3037182.98</v>
      </c>
      <c r="V89" s="68">
        <f t="shared" si="46"/>
        <v>3021847.14</v>
      </c>
      <c r="W89" s="68">
        <f t="shared" si="46"/>
        <v>2968040.86</v>
      </c>
      <c r="X89" s="68">
        <f t="shared" si="46"/>
        <v>2971874.79</v>
      </c>
      <c r="Y89" s="68">
        <f t="shared" si="46"/>
        <v>0</v>
      </c>
      <c r="Z89" s="68">
        <f t="shared" si="46"/>
        <v>0</v>
      </c>
      <c r="AA89" s="68">
        <f t="shared" si="46"/>
        <v>0</v>
      </c>
      <c r="AB89" s="68">
        <f t="shared" si="46"/>
        <v>0</v>
      </c>
      <c r="AC89" s="68">
        <f t="shared" si="46"/>
        <v>0</v>
      </c>
      <c r="AD89" s="68">
        <f t="shared" si="46"/>
        <v>0</v>
      </c>
      <c r="AE89" s="68">
        <f t="shared" si="46"/>
        <v>16544060.449999999</v>
      </c>
    </row>
    <row r="90" spans="1:32" x14ac:dyDescent="0.15">
      <c r="A90" s="215">
        <f t="shared" si="45"/>
        <v>57.84</v>
      </c>
      <c r="B90" s="220">
        <v>57.84</v>
      </c>
      <c r="C90" s="36">
        <v>2005</v>
      </c>
      <c r="D90" s="220">
        <v>57.84</v>
      </c>
      <c r="E90" s="211">
        <v>57.84</v>
      </c>
      <c r="F90" s="220">
        <v>57.84</v>
      </c>
      <c r="G90" s="211">
        <v>57.84</v>
      </c>
      <c r="H90" s="220">
        <v>57.84</v>
      </c>
      <c r="I90" s="211"/>
      <c r="J90" s="220">
        <v>57.84</v>
      </c>
      <c r="K90" s="322">
        <v>57.84</v>
      </c>
      <c r="L90" s="216">
        <v>57.84</v>
      </c>
      <c r="M90" s="590">
        <v>57.84</v>
      </c>
      <c r="N90" s="216">
        <v>57.84</v>
      </c>
      <c r="O90" s="591">
        <v>57.84</v>
      </c>
      <c r="Q90" s="172" t="s">
        <v>265</v>
      </c>
      <c r="R90" s="194" t="s">
        <v>253</v>
      </c>
      <c r="S90" s="68">
        <f t="shared" ref="S90:AD90" si="47">(S89/S87)*100</f>
        <v>15.028649332324514</v>
      </c>
      <c r="T90" s="68">
        <f t="shared" si="47"/>
        <v>18.571101407509666</v>
      </c>
      <c r="U90" s="68">
        <f>(U89/U87)*100</f>
        <v>19.527966125694331</v>
      </c>
      <c r="V90" s="68">
        <f t="shared" si="47"/>
        <v>19.172465167792879</v>
      </c>
      <c r="W90" s="68">
        <f t="shared" si="47"/>
        <v>18.525244107160873</v>
      </c>
      <c r="X90" s="68">
        <f t="shared" si="47"/>
        <v>17.766034828041256</v>
      </c>
      <c r="Y90" s="68" t="e">
        <f t="shared" si="47"/>
        <v>#DIV/0!</v>
      </c>
      <c r="Z90" s="68" t="e">
        <f t="shared" si="47"/>
        <v>#DIV/0!</v>
      </c>
      <c r="AA90" s="68" t="e">
        <f t="shared" si="47"/>
        <v>#DIV/0!</v>
      </c>
      <c r="AB90" s="68" t="e">
        <f t="shared" si="47"/>
        <v>#DIV/0!</v>
      </c>
      <c r="AC90" s="68" t="e">
        <f t="shared" si="47"/>
        <v>#DIV/0!</v>
      </c>
      <c r="AD90" s="68" t="e">
        <f t="shared" si="47"/>
        <v>#DIV/0!</v>
      </c>
      <c r="AE90" s="67">
        <f>(AE89/AE87)*100</f>
        <v>18.196838316878381</v>
      </c>
    </row>
    <row r="91" spans="1:32" x14ac:dyDescent="0.15">
      <c r="A91" s="215">
        <f t="shared" si="45"/>
        <v>1022.7</v>
      </c>
      <c r="B91" s="216">
        <v>1022.7</v>
      </c>
      <c r="C91" s="36">
        <v>2006</v>
      </c>
      <c r="D91" s="216">
        <v>1022.7</v>
      </c>
      <c r="E91" s="322">
        <v>1022.7</v>
      </c>
      <c r="F91" s="216">
        <v>376.17</v>
      </c>
      <c r="G91" s="322">
        <v>1022.7</v>
      </c>
      <c r="H91" s="216">
        <v>1022.7</v>
      </c>
      <c r="I91" s="211"/>
      <c r="J91" s="216">
        <v>1022.7</v>
      </c>
      <c r="K91" s="322">
        <v>1022.7</v>
      </c>
      <c r="L91" s="216">
        <v>1022.7</v>
      </c>
      <c r="M91" s="590">
        <v>376.17</v>
      </c>
      <c r="N91" s="216">
        <v>1022.7</v>
      </c>
      <c r="O91" s="375">
        <v>1022.7</v>
      </c>
    </row>
    <row r="92" spans="1:32" x14ac:dyDescent="0.15">
      <c r="A92" s="215">
        <f t="shared" si="45"/>
        <v>776.55</v>
      </c>
      <c r="B92" s="216">
        <v>776.55</v>
      </c>
      <c r="C92" s="36">
        <v>2007</v>
      </c>
      <c r="D92" s="216">
        <v>776.55</v>
      </c>
      <c r="E92" s="322">
        <v>776.55</v>
      </c>
      <c r="F92" s="216">
        <v>776.55</v>
      </c>
      <c r="G92" s="322">
        <v>776.55</v>
      </c>
      <c r="H92" s="216">
        <v>776.55</v>
      </c>
      <c r="I92" s="211"/>
      <c r="J92" s="216">
        <v>776.55</v>
      </c>
      <c r="K92" s="322">
        <v>776.55</v>
      </c>
      <c r="L92" s="216">
        <v>776.55</v>
      </c>
      <c r="M92" s="590">
        <v>776.55</v>
      </c>
      <c r="N92" s="216">
        <v>776.55</v>
      </c>
      <c r="O92" s="375">
        <v>776.55</v>
      </c>
    </row>
    <row r="93" spans="1:32" x14ac:dyDescent="0.15">
      <c r="A93" s="215">
        <f t="shared" si="45"/>
        <v>2046.08</v>
      </c>
      <c r="B93" s="216">
        <v>2046.08</v>
      </c>
      <c r="C93" s="36">
        <v>2008</v>
      </c>
      <c r="D93" s="216">
        <v>2046.08</v>
      </c>
      <c r="E93" s="322">
        <v>2046.08</v>
      </c>
      <c r="F93" s="216">
        <v>1737.19</v>
      </c>
      <c r="G93" s="322">
        <v>2046.08</v>
      </c>
      <c r="H93" s="216">
        <v>2046.08</v>
      </c>
      <c r="I93" s="211"/>
      <c r="J93" s="216">
        <v>2046.08</v>
      </c>
      <c r="K93" s="322">
        <v>2046.08</v>
      </c>
      <c r="L93" s="216">
        <v>2046.08</v>
      </c>
      <c r="M93" s="590">
        <v>1737.19</v>
      </c>
      <c r="N93" s="216">
        <v>2006.84</v>
      </c>
      <c r="O93" s="375">
        <v>2006.84</v>
      </c>
    </row>
    <row r="94" spans="1:32" x14ac:dyDescent="0.15">
      <c r="A94" s="215">
        <f t="shared" si="45"/>
        <v>2230.9</v>
      </c>
      <c r="B94" s="216">
        <v>2230.9</v>
      </c>
      <c r="C94" s="36">
        <v>2009</v>
      </c>
      <c r="D94" s="216">
        <v>2230.9</v>
      </c>
      <c r="E94" s="322">
        <v>2230.9</v>
      </c>
      <c r="F94" s="216">
        <v>1779.08</v>
      </c>
      <c r="G94" s="322">
        <v>2230.9</v>
      </c>
      <c r="H94" s="216">
        <v>2230.9</v>
      </c>
      <c r="I94" s="211"/>
      <c r="J94" s="216">
        <v>2230.9</v>
      </c>
      <c r="K94" s="322">
        <v>2230.9</v>
      </c>
      <c r="L94" s="216">
        <v>2230.9</v>
      </c>
      <c r="M94" s="590">
        <v>1779.08</v>
      </c>
      <c r="N94" s="216">
        <v>2183</v>
      </c>
      <c r="O94" s="375">
        <v>2183</v>
      </c>
      <c r="R94" s="172" t="s">
        <v>267</v>
      </c>
      <c r="S94" s="66" t="str">
        <f t="shared" ref="S94:AE94" si="48">S43</f>
        <v>Janeiro</v>
      </c>
      <c r="T94" s="66" t="str">
        <f t="shared" si="48"/>
        <v>Fevereiro</v>
      </c>
      <c r="U94" s="66" t="str">
        <f t="shared" si="48"/>
        <v>Março</v>
      </c>
      <c r="V94" s="66" t="str">
        <f t="shared" si="48"/>
        <v>Abril</v>
      </c>
      <c r="W94" s="66" t="str">
        <f t="shared" si="48"/>
        <v>Maio</v>
      </c>
      <c r="X94" s="66" t="str">
        <f t="shared" si="48"/>
        <v>Junho</v>
      </c>
      <c r="Y94" s="66" t="str">
        <f t="shared" si="48"/>
        <v>Julho</v>
      </c>
      <c r="Z94" s="66" t="str">
        <f t="shared" si="48"/>
        <v>Agosto</v>
      </c>
      <c r="AA94" s="66" t="str">
        <f t="shared" si="48"/>
        <v>Setembro</v>
      </c>
      <c r="AB94" s="66" t="str">
        <f t="shared" si="48"/>
        <v>Outubro</v>
      </c>
      <c r="AC94" s="66" t="str">
        <f t="shared" si="48"/>
        <v>Novembro</v>
      </c>
      <c r="AD94" s="66" t="str">
        <f t="shared" si="48"/>
        <v>Dezembro</v>
      </c>
      <c r="AE94" s="66" t="str">
        <f t="shared" si="48"/>
        <v>TOTAL</v>
      </c>
    </row>
    <row r="95" spans="1:32" x14ac:dyDescent="0.15">
      <c r="A95" s="215">
        <f t="shared" si="45"/>
        <v>7980.88</v>
      </c>
      <c r="B95" s="216">
        <v>7980.88</v>
      </c>
      <c r="C95" s="36">
        <v>2010</v>
      </c>
      <c r="D95" s="216">
        <v>7980.88</v>
      </c>
      <c r="E95" s="322">
        <v>7980.88</v>
      </c>
      <c r="F95" s="216">
        <v>6480.66</v>
      </c>
      <c r="G95" s="322">
        <v>7980.88</v>
      </c>
      <c r="H95" s="216">
        <v>7980.88</v>
      </c>
      <c r="I95" s="211"/>
      <c r="J95" s="216">
        <v>7980.88</v>
      </c>
      <c r="K95" s="322">
        <v>7980.88</v>
      </c>
      <c r="L95" s="216">
        <v>7980.88</v>
      </c>
      <c r="M95" s="590">
        <v>6480.66</v>
      </c>
      <c r="N95" s="216">
        <v>6544.49</v>
      </c>
      <c r="O95" s="375">
        <v>6288.69</v>
      </c>
      <c r="Q95" s="296"/>
      <c r="R95" s="297" t="s">
        <v>198</v>
      </c>
      <c r="S95" s="181">
        <f>S89/$AE$89</f>
        <v>0.11330660847530934</v>
      </c>
      <c r="T95" s="181">
        <f t="shared" ref="T95:AD95" si="49">T89/$AE$89</f>
        <v>0.16142127309502183</v>
      </c>
      <c r="U95" s="181">
        <f t="shared" si="49"/>
        <v>0.18358147258824845</v>
      </c>
      <c r="V95" s="181">
        <f t="shared" si="49"/>
        <v>0.18265450305459929</v>
      </c>
      <c r="W95" s="181">
        <f t="shared" si="49"/>
        <v>0.17940220110837421</v>
      </c>
      <c r="X95" s="181">
        <f t="shared" si="49"/>
        <v>0.1796339416784469</v>
      </c>
      <c r="Y95" s="181">
        <f t="shared" si="49"/>
        <v>0</v>
      </c>
      <c r="Z95" s="181">
        <f t="shared" si="49"/>
        <v>0</v>
      </c>
      <c r="AA95" s="181">
        <f t="shared" si="49"/>
        <v>0</v>
      </c>
      <c r="AB95" s="181">
        <f t="shared" si="49"/>
        <v>0</v>
      </c>
      <c r="AC95" s="181">
        <f t="shared" si="49"/>
        <v>0</v>
      </c>
      <c r="AD95" s="181">
        <f t="shared" si="49"/>
        <v>0</v>
      </c>
      <c r="AE95" s="181">
        <f>AE89/$AE$20</f>
        <v>7.0394508533902125E-2</v>
      </c>
    </row>
    <row r="96" spans="1:32" x14ac:dyDescent="0.15">
      <c r="A96" s="215">
        <f t="shared" si="45"/>
        <v>172953.87</v>
      </c>
      <c r="B96" s="216">
        <v>172953.87</v>
      </c>
      <c r="C96" s="36">
        <v>2011</v>
      </c>
      <c r="D96" s="216">
        <v>172953.87</v>
      </c>
      <c r="E96" s="322">
        <v>172953.87</v>
      </c>
      <c r="F96" s="216">
        <v>169801.14</v>
      </c>
      <c r="G96" s="322">
        <v>172953.87</v>
      </c>
      <c r="H96" s="216">
        <v>172953.87</v>
      </c>
      <c r="I96" s="211"/>
      <c r="J96" s="216">
        <v>172953.87</v>
      </c>
      <c r="K96" s="322">
        <v>172953.87</v>
      </c>
      <c r="L96" s="216">
        <v>172953.87</v>
      </c>
      <c r="M96" s="590">
        <v>169801.14</v>
      </c>
      <c r="N96" s="216">
        <v>161659.35999999999</v>
      </c>
      <c r="O96" s="375">
        <v>15642.83</v>
      </c>
    </row>
    <row r="97" spans="1:31" x14ac:dyDescent="0.15">
      <c r="A97" s="215">
        <f t="shared" si="45"/>
        <v>1853617.76</v>
      </c>
      <c r="B97" s="216">
        <v>1840064.14</v>
      </c>
      <c r="C97" s="36">
        <v>2012</v>
      </c>
      <c r="D97" s="216">
        <v>1826510.52</v>
      </c>
      <c r="E97" s="322">
        <v>1812792.97</v>
      </c>
      <c r="F97" s="216">
        <v>1798786.57</v>
      </c>
      <c r="G97" s="322">
        <v>1782458.96</v>
      </c>
      <c r="H97" s="216">
        <v>1768905.34</v>
      </c>
      <c r="I97" s="211"/>
      <c r="J97" s="216">
        <v>1755351.72</v>
      </c>
      <c r="K97" s="322">
        <v>1741666.83</v>
      </c>
      <c r="L97" s="216">
        <v>1727981.94</v>
      </c>
      <c r="M97" s="590">
        <v>1681493.98</v>
      </c>
      <c r="N97" s="216">
        <v>1617481.78</v>
      </c>
      <c r="O97" s="375">
        <v>589216.79</v>
      </c>
    </row>
    <row r="98" spans="1:31" x14ac:dyDescent="0.15">
      <c r="A98" s="215">
        <f t="shared" si="45"/>
        <v>10667.58</v>
      </c>
      <c r="B98" s="216">
        <v>10667.58</v>
      </c>
      <c r="C98" s="36">
        <v>2013</v>
      </c>
      <c r="D98" s="216">
        <v>10667.58</v>
      </c>
      <c r="E98" s="322">
        <v>10667.58</v>
      </c>
      <c r="F98" s="216">
        <v>9489.8700000000008</v>
      </c>
      <c r="G98" s="322">
        <v>10667.58</v>
      </c>
      <c r="H98" s="216">
        <v>10667.58</v>
      </c>
      <c r="I98" s="211"/>
      <c r="J98" s="216">
        <v>10667.58</v>
      </c>
      <c r="K98" s="322">
        <v>10667.58</v>
      </c>
      <c r="L98" s="216">
        <v>10667.58</v>
      </c>
      <c r="M98" s="590">
        <v>9489.8700000000008</v>
      </c>
      <c r="N98" s="216">
        <v>6526.33</v>
      </c>
      <c r="O98" s="375">
        <v>2038.08</v>
      </c>
      <c r="S98" s="78" t="s">
        <v>816</v>
      </c>
    </row>
    <row r="99" spans="1:31" x14ac:dyDescent="0.15">
      <c r="A99" s="215">
        <f t="shared" si="45"/>
        <v>262666.27</v>
      </c>
      <c r="B99" s="216">
        <v>239850.34</v>
      </c>
      <c r="C99" s="36">
        <v>2014</v>
      </c>
      <c r="D99" s="216">
        <v>217034.41</v>
      </c>
      <c r="E99" s="322">
        <v>194218.48</v>
      </c>
      <c r="F99" s="216">
        <v>191899.2</v>
      </c>
      <c r="G99" s="322">
        <v>148586.62</v>
      </c>
      <c r="H99" s="216">
        <v>125770.69</v>
      </c>
      <c r="I99" s="211"/>
      <c r="J99" s="216">
        <v>102954.76</v>
      </c>
      <c r="K99" s="322">
        <v>79925.05</v>
      </c>
      <c r="L99" s="216">
        <v>56895.34</v>
      </c>
      <c r="M99" s="590">
        <v>50378.79</v>
      </c>
      <c r="N99" s="216">
        <v>29189.14</v>
      </c>
      <c r="O99" s="375">
        <v>10782.56</v>
      </c>
      <c r="Q99" s="187" t="s">
        <v>199</v>
      </c>
      <c r="R99" s="188"/>
      <c r="S99" s="181" t="s">
        <v>200</v>
      </c>
      <c r="T99" s="189">
        <f>S89+T89</f>
        <v>4545114.68</v>
      </c>
      <c r="U99" s="181" t="s">
        <v>201</v>
      </c>
      <c r="V99" s="190">
        <f>U89+V89</f>
        <v>6059030.1200000001</v>
      </c>
      <c r="W99" s="181" t="s">
        <v>202</v>
      </c>
      <c r="X99" s="190">
        <f>W89+X89</f>
        <v>5939915.6500000004</v>
      </c>
      <c r="Y99" s="181" t="s">
        <v>203</v>
      </c>
      <c r="Z99" s="190">
        <f>Y89+Z89</f>
        <v>0</v>
      </c>
      <c r="AA99" s="181" t="s">
        <v>204</v>
      </c>
      <c r="AB99" s="190">
        <f>AA89+AB89</f>
        <v>0</v>
      </c>
      <c r="AC99" s="181" t="s">
        <v>205</v>
      </c>
      <c r="AD99" s="190">
        <f>AC89+AD89</f>
        <v>0</v>
      </c>
      <c r="AE99" s="26">
        <f>SUM(S99:AD99)</f>
        <v>16544060.450000001</v>
      </c>
    </row>
    <row r="100" spans="1:31" x14ac:dyDescent="0.15">
      <c r="A100" s="215">
        <f t="shared" si="45"/>
        <v>2976030.69</v>
      </c>
      <c r="B100" s="216">
        <v>2963376.61</v>
      </c>
      <c r="C100" s="36">
        <v>2015</v>
      </c>
      <c r="D100" s="216">
        <v>2950722.53</v>
      </c>
      <c r="E100" s="322">
        <v>2938068.45</v>
      </c>
      <c r="F100" s="216">
        <v>2938068.45</v>
      </c>
      <c r="G100" s="322">
        <v>2912760.29</v>
      </c>
      <c r="H100" s="216">
        <v>2900106.21</v>
      </c>
      <c r="I100" s="211"/>
      <c r="J100" s="216">
        <v>2887452.13</v>
      </c>
      <c r="K100" s="322">
        <v>2874662.04</v>
      </c>
      <c r="L100" s="216">
        <v>2861871.95</v>
      </c>
      <c r="M100" s="590">
        <v>2849217.87</v>
      </c>
      <c r="N100" s="216">
        <v>2815379.34</v>
      </c>
      <c r="O100" s="375">
        <v>2420532.5699999998</v>
      </c>
    </row>
    <row r="101" spans="1:31" x14ac:dyDescent="0.15">
      <c r="A101" s="215">
        <f t="shared" si="45"/>
        <v>3090443.38</v>
      </c>
      <c r="B101" s="216">
        <v>3076165.72</v>
      </c>
      <c r="C101" s="36">
        <v>2016</v>
      </c>
      <c r="D101" s="216">
        <v>3061888.06</v>
      </c>
      <c r="E101" s="322">
        <v>3047610.4</v>
      </c>
      <c r="F101" s="216">
        <v>3046096.7</v>
      </c>
      <c r="G101" s="322">
        <v>3019055.08</v>
      </c>
      <c r="H101" s="216">
        <v>3004777.42</v>
      </c>
      <c r="I101" s="211"/>
      <c r="J101" s="216">
        <v>2990499.76</v>
      </c>
      <c r="K101" s="322">
        <v>2976151.94</v>
      </c>
      <c r="L101" s="216">
        <v>2961804.12</v>
      </c>
      <c r="M101" s="590">
        <v>2946012.76</v>
      </c>
      <c r="N101" s="216">
        <v>2933248.8</v>
      </c>
      <c r="O101" s="375">
        <v>1778155.14</v>
      </c>
      <c r="T101" s="78" t="s">
        <v>817</v>
      </c>
    </row>
    <row r="102" spans="1:31" x14ac:dyDescent="0.15">
      <c r="A102" s="215">
        <f t="shared" si="45"/>
        <v>1983979.69</v>
      </c>
      <c r="B102" s="216">
        <v>1946694.19</v>
      </c>
      <c r="C102" s="36">
        <v>2017</v>
      </c>
      <c r="D102" s="216">
        <v>1909408.69</v>
      </c>
      <c r="E102" s="322">
        <v>1872123.19</v>
      </c>
      <c r="F102" s="216">
        <v>1872123.19</v>
      </c>
      <c r="G102" s="322">
        <v>1797552.19</v>
      </c>
      <c r="H102" s="216">
        <v>1760285.38</v>
      </c>
      <c r="I102" s="211"/>
      <c r="J102" s="216">
        <v>1723018.57</v>
      </c>
      <c r="K102" s="322">
        <v>1685664.02</v>
      </c>
      <c r="L102" s="216">
        <v>1648309.47</v>
      </c>
      <c r="M102" s="590">
        <v>1611141.94</v>
      </c>
      <c r="N102" s="216">
        <v>1573974.41</v>
      </c>
      <c r="O102" s="375">
        <v>707539.96</v>
      </c>
      <c r="R102" s="194" t="s">
        <v>268</v>
      </c>
      <c r="S102" s="26">
        <f t="shared" ref="S102:AE102" si="50">S81-S89</f>
        <v>1016807.5853597107</v>
      </c>
      <c r="T102" s="26">
        <f t="shared" si="50"/>
        <v>-98972.79811673006</v>
      </c>
      <c r="U102" s="26">
        <f t="shared" si="50"/>
        <v>327007.37747270428</v>
      </c>
      <c r="V102" s="26">
        <f t="shared" si="50"/>
        <v>456742.13992985245</v>
      </c>
      <c r="W102" s="26">
        <f t="shared" si="50"/>
        <v>688691.48181946995</v>
      </c>
      <c r="X102" s="26">
        <f t="shared" si="50"/>
        <v>384126.514305986</v>
      </c>
      <c r="Y102" s="26">
        <f t="shared" si="50"/>
        <v>3877814.7365175877</v>
      </c>
      <c r="Z102" s="26">
        <f t="shared" si="50"/>
        <v>3327589.377341345</v>
      </c>
      <c r="AA102" s="26">
        <f t="shared" si="50"/>
        <v>3301486.2528582844</v>
      </c>
      <c r="AB102" s="26">
        <f t="shared" si="50"/>
        <v>3408964.1341102868</v>
      </c>
      <c r="AC102" s="26">
        <f t="shared" si="50"/>
        <v>3475561.9968356476</v>
      </c>
      <c r="AD102" s="26">
        <f t="shared" si="50"/>
        <v>5559982.841565867</v>
      </c>
      <c r="AE102" s="26">
        <f t="shared" si="50"/>
        <v>25725801.640000012</v>
      </c>
    </row>
    <row r="103" spans="1:31" x14ac:dyDescent="0.15">
      <c r="A103" s="215">
        <f t="shared" si="45"/>
        <v>1947123.88</v>
      </c>
      <c r="B103" s="216">
        <v>1947123.88</v>
      </c>
      <c r="C103" s="36">
        <v>2018</v>
      </c>
      <c r="D103" s="216">
        <v>1947123.88</v>
      </c>
      <c r="E103" s="322">
        <v>1947123.88</v>
      </c>
      <c r="F103" s="216">
        <v>1945507.17</v>
      </c>
      <c r="G103" s="322">
        <v>1942352.88</v>
      </c>
      <c r="H103" s="216">
        <v>1942352.88</v>
      </c>
      <c r="I103" s="211"/>
      <c r="J103" s="216">
        <v>1942352.88</v>
      </c>
      <c r="K103" s="322">
        <v>1942352.88</v>
      </c>
      <c r="L103" s="216">
        <v>1942352.88</v>
      </c>
      <c r="M103" s="590">
        <v>1940736.17</v>
      </c>
      <c r="N103" s="216">
        <v>1942352.88</v>
      </c>
      <c r="O103" s="375">
        <v>437406.15</v>
      </c>
    </row>
    <row r="104" spans="1:31" x14ac:dyDescent="0.15">
      <c r="A104" s="215">
        <f t="shared" si="45"/>
        <v>1589682.36</v>
      </c>
      <c r="B104" s="216">
        <v>1589682.36</v>
      </c>
      <c r="C104" s="36">
        <v>2019</v>
      </c>
      <c r="D104" s="216">
        <v>1589682.36</v>
      </c>
      <c r="E104" s="322">
        <v>1589682.36</v>
      </c>
      <c r="F104" s="216">
        <v>1586108.09</v>
      </c>
      <c r="G104" s="322">
        <v>1587718.75</v>
      </c>
      <c r="H104" s="216">
        <v>1581519.24</v>
      </c>
      <c r="I104" s="211"/>
      <c r="J104" s="216">
        <v>1581519.24</v>
      </c>
      <c r="K104" s="322">
        <v>1581519.24</v>
      </c>
      <c r="L104" s="216">
        <v>1581519.24</v>
      </c>
      <c r="M104" s="590">
        <v>1577944.97</v>
      </c>
      <c r="N104" s="216">
        <v>1581519.24</v>
      </c>
      <c r="O104" s="375">
        <v>40266.400000000001</v>
      </c>
    </row>
    <row r="105" spans="1:31" x14ac:dyDescent="0.15">
      <c r="A105" s="215">
        <f t="shared" si="45"/>
        <v>5680688.5700000003</v>
      </c>
      <c r="B105" s="216">
        <v>5574403.1600000001</v>
      </c>
      <c r="C105" s="36">
        <v>2020</v>
      </c>
      <c r="D105" s="216">
        <v>5452349.8099999996</v>
      </c>
      <c r="E105" s="322">
        <v>5428351.1900000004</v>
      </c>
      <c r="F105" s="216">
        <v>5425688.5499999998</v>
      </c>
      <c r="G105" s="322">
        <v>5160820.26</v>
      </c>
      <c r="H105" s="216">
        <v>5071879.8</v>
      </c>
      <c r="I105" s="211"/>
      <c r="J105" s="216">
        <v>4974185.5599999996</v>
      </c>
      <c r="K105" s="322">
        <v>4878471.75</v>
      </c>
      <c r="L105" s="216">
        <v>4765345.7</v>
      </c>
      <c r="M105" s="215">
        <v>4667432.97</v>
      </c>
      <c r="N105" s="216">
        <v>4574845.5199999996</v>
      </c>
      <c r="O105" s="375">
        <v>4473705.0999999996</v>
      </c>
    </row>
    <row r="106" spans="1:31" x14ac:dyDescent="0.15">
      <c r="A106" s="316">
        <v>1358407.71</v>
      </c>
      <c r="B106" s="407">
        <v>1358407.71</v>
      </c>
      <c r="C106" s="22">
        <v>2021</v>
      </c>
      <c r="D106" s="407">
        <v>1101746.45</v>
      </c>
      <c r="E106" s="320">
        <v>1192060.05</v>
      </c>
      <c r="F106" s="407">
        <v>1191267.1599999999</v>
      </c>
      <c r="G106" s="320">
        <v>774491.43</v>
      </c>
      <c r="H106" s="407">
        <v>721135.3</v>
      </c>
      <c r="I106" s="411"/>
      <c r="J106" s="407">
        <v>545689.11</v>
      </c>
      <c r="K106" s="320">
        <v>531930.01</v>
      </c>
      <c r="L106" s="407">
        <v>462235.07</v>
      </c>
      <c r="M106" s="215">
        <v>458930.18</v>
      </c>
      <c r="N106" s="593">
        <v>563972.44999999995</v>
      </c>
      <c r="O106" s="375">
        <v>469683.20000000001</v>
      </c>
      <c r="T106" s="78" t="s">
        <v>269</v>
      </c>
    </row>
    <row r="107" spans="1:31" x14ac:dyDescent="0.15">
      <c r="A107" s="316">
        <f>SUM(A89:A106)</f>
        <v>20944760.240000002</v>
      </c>
      <c r="B107" s="407">
        <f>SUM(B89:B106)</f>
        <v>20737888.039999999</v>
      </c>
      <c r="C107" s="412">
        <f>20737888.04-B107</f>
        <v>0</v>
      </c>
      <c r="D107" s="407">
        <f>SUM(D89:D106)</f>
        <v>20258586.639999997</v>
      </c>
      <c r="E107" s="320">
        <f>SUM(E89:E106)</f>
        <v>20224150.900000002</v>
      </c>
      <c r="F107" s="320">
        <f>SUM(F89:F106)</f>
        <v>20190427.109999999</v>
      </c>
      <c r="G107" s="320">
        <f t="shared" ref="G107" si="51">SUM(G89:G106)</f>
        <v>19327916.390000001</v>
      </c>
      <c r="H107" s="320">
        <f>SUM(H89:H106)</f>
        <v>19078852.189999998</v>
      </c>
      <c r="I107" s="411"/>
      <c r="J107" s="407">
        <f t="shared" ref="J107:O107" si="52">SUM(J89:J106)</f>
        <v>18705143.66</v>
      </c>
      <c r="K107" s="446">
        <f t="shared" si="52"/>
        <v>18494463.690000001</v>
      </c>
      <c r="L107" s="446">
        <f t="shared" si="52"/>
        <v>18210435.640000001</v>
      </c>
      <c r="M107" s="594">
        <f t="shared" si="52"/>
        <v>17978171.66</v>
      </c>
      <c r="N107" s="588">
        <f t="shared" si="52"/>
        <v>17817124.199999999</v>
      </c>
      <c r="O107" s="592">
        <f t="shared" si="52"/>
        <v>10957304.399999999</v>
      </c>
    </row>
    <row r="108" spans="1:31" x14ac:dyDescent="0.15">
      <c r="A108" s="595" t="s">
        <v>800</v>
      </c>
      <c r="B108" s="596">
        <f>A107-B107</f>
        <v>206872.20000000298</v>
      </c>
      <c r="C108" s="596"/>
      <c r="D108" s="597">
        <f>B107-D107</f>
        <v>479301.40000000224</v>
      </c>
      <c r="E108" s="596">
        <f>D107-E107</f>
        <v>34435.739999994636</v>
      </c>
      <c r="F108" s="597">
        <f>E107-F107</f>
        <v>33723.790000002831</v>
      </c>
      <c r="G108" s="596">
        <f>F107-G107</f>
        <v>862510.71999999881</v>
      </c>
      <c r="H108" s="597">
        <f>G107-H107</f>
        <v>249064.20000000298</v>
      </c>
      <c r="I108" s="209"/>
      <c r="J108" s="597">
        <f>H107-J107</f>
        <v>373708.52999999747</v>
      </c>
      <c r="K108" s="596">
        <f>J107-K107</f>
        <v>210679.96999999881</v>
      </c>
      <c r="L108" s="597">
        <f>K107-L107</f>
        <v>284028.05000000075</v>
      </c>
      <c r="M108" s="596">
        <f>L107-M107</f>
        <v>232263.98000000045</v>
      </c>
      <c r="N108" s="596">
        <f>M107-N107</f>
        <v>161047.46000000089</v>
      </c>
      <c r="O108" s="203">
        <f>N107-O107</f>
        <v>6859819.8000000007</v>
      </c>
      <c r="S108" s="78" t="s">
        <v>270</v>
      </c>
    </row>
    <row r="109" spans="1:31" x14ac:dyDescent="0.15">
      <c r="S109" s="66" t="s">
        <v>271</v>
      </c>
      <c r="T109" s="66" t="s">
        <v>272</v>
      </c>
      <c r="U109" s="66" t="s">
        <v>273</v>
      </c>
      <c r="V109" s="66" t="s">
        <v>274</v>
      </c>
      <c r="W109" s="66" t="s">
        <v>275</v>
      </c>
      <c r="X109" s="66" t="s">
        <v>276</v>
      </c>
      <c r="Y109" s="66" t="s">
        <v>277</v>
      </c>
      <c r="Z109" s="66" t="s">
        <v>278</v>
      </c>
      <c r="AA109" s="66" t="s">
        <v>279</v>
      </c>
      <c r="AB109" s="66" t="s">
        <v>280</v>
      </c>
      <c r="AC109" s="66" t="s">
        <v>281</v>
      </c>
      <c r="AD109" s="66" t="s">
        <v>282</v>
      </c>
      <c r="AE109" s="66" t="s">
        <v>283</v>
      </c>
    </row>
    <row r="110" spans="1:31" x14ac:dyDescent="0.15">
      <c r="Q110" s="172" t="s">
        <v>252</v>
      </c>
      <c r="R110" s="66" t="s">
        <v>182</v>
      </c>
      <c r="S110" s="68">
        <f t="shared" ref="S110:AE110" si="53">S12</f>
        <v>4316896.9284994174</v>
      </c>
      <c r="T110" s="68">
        <f t="shared" si="53"/>
        <v>3839471.7750160308</v>
      </c>
      <c r="U110" s="68">
        <f t="shared" si="53"/>
        <v>5022850.2220078027</v>
      </c>
      <c r="V110" s="68">
        <f t="shared" si="53"/>
        <v>5193651.6904160911</v>
      </c>
      <c r="W110" s="68">
        <f t="shared" si="53"/>
        <v>5459625.3193975398</v>
      </c>
      <c r="X110" s="68">
        <f t="shared" si="53"/>
        <v>5010623.6880885437</v>
      </c>
      <c r="Y110" s="68">
        <f t="shared" si="53"/>
        <v>5789708.8275512457</v>
      </c>
      <c r="Z110" s="68">
        <f t="shared" si="53"/>
        <v>4968203.7182003884</v>
      </c>
      <c r="AA110" s="68">
        <f t="shared" si="53"/>
        <v>4929230.8686665902</v>
      </c>
      <c r="AB110" s="68">
        <f t="shared" si="53"/>
        <v>5089698.9879893912</v>
      </c>
      <c r="AC110" s="68">
        <f t="shared" si="53"/>
        <v>5189131.8541565193</v>
      </c>
      <c r="AD110" s="68">
        <f t="shared" si="53"/>
        <v>8301242.8200104544</v>
      </c>
      <c r="AE110" s="68">
        <f t="shared" si="53"/>
        <v>63110336.700000003</v>
      </c>
    </row>
    <row r="111" spans="1:31" x14ac:dyDescent="0.15">
      <c r="C111" s="78" t="s">
        <v>244</v>
      </c>
      <c r="R111" s="194" t="s">
        <v>253</v>
      </c>
      <c r="S111" s="68">
        <f t="shared" ref="S111:AE111" si="54">(S110/S79)*100</f>
        <v>26.714092461186944</v>
      </c>
      <c r="T111" s="68">
        <f t="shared" si="54"/>
        <v>26.618347409493246</v>
      </c>
      <c r="U111" s="68">
        <f t="shared" si="54"/>
        <v>26.82314527463625</v>
      </c>
      <c r="V111" s="68">
        <f t="shared" si="54"/>
        <v>26.845183535395812</v>
      </c>
      <c r="W111" s="68">
        <f t="shared" si="54"/>
        <v>26.876819410806196</v>
      </c>
      <c r="X111" s="68">
        <f t="shared" si="54"/>
        <v>26.821511519451207</v>
      </c>
      <c r="Y111" s="68">
        <f t="shared" si="54"/>
        <v>26.912126575285345</v>
      </c>
      <c r="Z111" s="68">
        <f t="shared" si="54"/>
        <v>26.815782430281693</v>
      </c>
      <c r="AA111" s="68">
        <f t="shared" si="54"/>
        <v>26.810434193665312</v>
      </c>
      <c r="AB111" s="68">
        <f t="shared" si="54"/>
        <v>26.831942497033474</v>
      </c>
      <c r="AC111" s="68">
        <f t="shared" si="54"/>
        <v>26.844618583491258</v>
      </c>
      <c r="AD111" s="68">
        <f t="shared" si="54"/>
        <v>27.090213630675503</v>
      </c>
      <c r="AE111" s="67">
        <f t="shared" si="54"/>
        <v>26.853269478990494</v>
      </c>
    </row>
    <row r="112" spans="1:31" x14ac:dyDescent="0.15">
      <c r="A112" s="93" t="s">
        <v>245</v>
      </c>
      <c r="B112" s="213" t="s">
        <v>246</v>
      </c>
      <c r="C112" s="93" t="s">
        <v>247</v>
      </c>
      <c r="D112" s="93" t="s">
        <v>39</v>
      </c>
      <c r="E112" s="213" t="s">
        <v>40</v>
      </c>
      <c r="F112" s="213" t="s">
        <v>41</v>
      </c>
      <c r="G112" s="318" t="s">
        <v>185</v>
      </c>
      <c r="H112" s="172" t="s">
        <v>186</v>
      </c>
      <c r="I112" s="319"/>
      <c r="J112" s="93" t="s">
        <v>187</v>
      </c>
      <c r="K112" s="172" t="s">
        <v>188</v>
      </c>
      <c r="L112" s="214" t="s">
        <v>189</v>
      </c>
      <c r="M112" s="93" t="s">
        <v>191</v>
      </c>
      <c r="N112" s="172" t="s">
        <v>192</v>
      </c>
      <c r="O112" s="93" t="s">
        <v>193</v>
      </c>
    </row>
    <row r="113" spans="1:31" x14ac:dyDescent="0.15">
      <c r="A113" s="215">
        <v>4383.53</v>
      </c>
      <c r="B113" s="215">
        <v>4383.53</v>
      </c>
      <c r="C113" s="58">
        <v>2004</v>
      </c>
      <c r="D113" s="34">
        <v>4383.53</v>
      </c>
      <c r="E113" s="215">
        <v>4383.53</v>
      </c>
      <c r="F113" s="215">
        <v>4383.53</v>
      </c>
      <c r="G113" s="321">
        <v>4383.53</v>
      </c>
      <c r="H113" s="215">
        <v>4383.53</v>
      </c>
      <c r="I113" s="319"/>
      <c r="J113" s="389">
        <v>4383.53</v>
      </c>
      <c r="K113" s="322">
        <v>57.84</v>
      </c>
      <c r="L113" s="217">
        <v>4383.53</v>
      </c>
      <c r="M113" s="34">
        <v>4383.53</v>
      </c>
      <c r="N113" s="218">
        <v>4383.53</v>
      </c>
      <c r="O113" s="218">
        <v>4383.53</v>
      </c>
      <c r="T113" s="78" t="s">
        <v>284</v>
      </c>
    </row>
    <row r="114" spans="1:31" x14ac:dyDescent="0.15">
      <c r="A114" s="219">
        <v>57.84</v>
      </c>
      <c r="B114" s="219">
        <v>57.84</v>
      </c>
      <c r="C114" s="58">
        <v>2005</v>
      </c>
      <c r="D114" s="33">
        <v>57.84</v>
      </c>
      <c r="E114" s="219">
        <v>57.84</v>
      </c>
      <c r="F114" s="219">
        <v>57.84</v>
      </c>
      <c r="G114" s="219">
        <v>57.84</v>
      </c>
      <c r="H114" s="219">
        <v>57.84</v>
      </c>
      <c r="I114" s="202"/>
      <c r="J114" s="202">
        <v>57.84</v>
      </c>
      <c r="K114" s="322">
        <v>1022.7</v>
      </c>
      <c r="L114" s="221">
        <v>57.84</v>
      </c>
      <c r="M114" s="33">
        <v>57.84</v>
      </c>
      <c r="N114" s="220">
        <v>57.84</v>
      </c>
      <c r="O114" s="220">
        <v>57.84</v>
      </c>
      <c r="S114" s="66" t="s">
        <v>271</v>
      </c>
      <c r="T114" s="66" t="s">
        <v>272</v>
      </c>
      <c r="U114" s="66" t="s">
        <v>273</v>
      </c>
      <c r="V114" s="66" t="s">
        <v>274</v>
      </c>
      <c r="W114" s="66" t="s">
        <v>275</v>
      </c>
      <c r="X114" s="66" t="s">
        <v>276</v>
      </c>
      <c r="Y114" s="66" t="s">
        <v>277</v>
      </c>
      <c r="Z114" s="66" t="s">
        <v>278</v>
      </c>
      <c r="AA114" s="66" t="s">
        <v>279</v>
      </c>
      <c r="AB114" s="66" t="s">
        <v>280</v>
      </c>
      <c r="AC114" s="66" t="s">
        <v>281</v>
      </c>
      <c r="AD114" s="66" t="s">
        <v>282</v>
      </c>
      <c r="AE114" s="66" t="s">
        <v>283</v>
      </c>
    </row>
    <row r="115" spans="1:31" x14ac:dyDescent="0.15">
      <c r="A115" s="215">
        <v>1022.7</v>
      </c>
      <c r="B115" s="215">
        <v>1022.7</v>
      </c>
      <c r="C115" s="58">
        <v>2006</v>
      </c>
      <c r="D115" s="34">
        <v>1022.7</v>
      </c>
      <c r="E115" s="215">
        <v>1022.7</v>
      </c>
      <c r="F115" s="215">
        <v>1022.7</v>
      </c>
      <c r="G115" s="215">
        <v>1022.7</v>
      </c>
      <c r="H115" s="215">
        <v>1022.7</v>
      </c>
      <c r="I115" s="202"/>
      <c r="J115" s="375">
        <v>1022.7</v>
      </c>
      <c r="K115" s="322">
        <v>776.55</v>
      </c>
      <c r="L115" s="221">
        <v>1022.7</v>
      </c>
      <c r="M115" s="34">
        <v>376.17</v>
      </c>
      <c r="N115" s="216">
        <v>376.17</v>
      </c>
      <c r="O115" s="216">
        <v>1022.7</v>
      </c>
      <c r="Q115" s="66" t="s">
        <v>50</v>
      </c>
      <c r="R115" s="66" t="s">
        <v>168</v>
      </c>
      <c r="S115" s="144">
        <f>S12</f>
        <v>4316896.9284994174</v>
      </c>
      <c r="T115" s="144">
        <f t="shared" ref="T115:AD115" si="55">T12</f>
        <v>3839471.7750160308</v>
      </c>
      <c r="U115" s="144">
        <f t="shared" si="55"/>
        <v>5022850.2220078027</v>
      </c>
      <c r="V115" s="144">
        <f t="shared" si="55"/>
        <v>5193651.6904160911</v>
      </c>
      <c r="W115" s="144">
        <f t="shared" si="55"/>
        <v>5459625.3193975398</v>
      </c>
      <c r="X115" s="144">
        <f t="shared" si="55"/>
        <v>5010623.6880885437</v>
      </c>
      <c r="Y115" s="144">
        <f t="shared" si="55"/>
        <v>5789708.8275512457</v>
      </c>
      <c r="Z115" s="144">
        <f t="shared" si="55"/>
        <v>4968203.7182003884</v>
      </c>
      <c r="AA115" s="144">
        <f t="shared" si="55"/>
        <v>4929230.8686665902</v>
      </c>
      <c r="AB115" s="144">
        <f t="shared" si="55"/>
        <v>5089698.9879893912</v>
      </c>
      <c r="AC115" s="144">
        <f t="shared" si="55"/>
        <v>5189131.8541565193</v>
      </c>
      <c r="AD115" s="144">
        <f t="shared" si="55"/>
        <v>8301242.8200104544</v>
      </c>
      <c r="AE115" s="144">
        <f>SUM(S115:AD115)</f>
        <v>63110336.700000003</v>
      </c>
    </row>
    <row r="116" spans="1:31" x14ac:dyDescent="0.15">
      <c r="A116" s="215">
        <v>776.55</v>
      </c>
      <c r="B116" s="215">
        <v>776.55</v>
      </c>
      <c r="C116" s="58">
        <v>2007</v>
      </c>
      <c r="D116" s="34">
        <v>776.55</v>
      </c>
      <c r="E116" s="215">
        <v>776.55</v>
      </c>
      <c r="F116" s="215">
        <v>776.55</v>
      </c>
      <c r="G116" s="215">
        <v>776.55</v>
      </c>
      <c r="H116" s="215">
        <v>776.55</v>
      </c>
      <c r="I116" s="202"/>
      <c r="J116" s="375">
        <v>776.55</v>
      </c>
      <c r="K116" s="322">
        <v>2046.08</v>
      </c>
      <c r="L116" s="221">
        <v>776.55</v>
      </c>
      <c r="M116" s="34">
        <v>776.55</v>
      </c>
      <c r="N116" s="216">
        <v>776.55</v>
      </c>
      <c r="O116" s="220">
        <v>776.55</v>
      </c>
    </row>
    <row r="117" spans="1:31" x14ac:dyDescent="0.15">
      <c r="A117" s="215">
        <v>2046.08</v>
      </c>
      <c r="B117" s="215">
        <v>2046.08</v>
      </c>
      <c r="C117" s="58">
        <v>2008</v>
      </c>
      <c r="D117" s="34">
        <v>2046.08</v>
      </c>
      <c r="E117" s="215">
        <v>2046.08</v>
      </c>
      <c r="F117" s="215">
        <v>2046.08</v>
      </c>
      <c r="G117" s="215">
        <v>2046.08</v>
      </c>
      <c r="H117" s="215">
        <v>2046.08</v>
      </c>
      <c r="I117" s="202"/>
      <c r="J117" s="375">
        <v>2046.08</v>
      </c>
      <c r="K117" s="322">
        <v>2230.9</v>
      </c>
      <c r="L117" s="221">
        <v>2046.08</v>
      </c>
      <c r="M117" s="34">
        <v>1737.19</v>
      </c>
      <c r="N117" s="216">
        <v>1737.19</v>
      </c>
      <c r="O117" s="216">
        <v>2046.08</v>
      </c>
    </row>
    <row r="118" spans="1:31" x14ac:dyDescent="0.15">
      <c r="A118" s="215">
        <v>2230.9</v>
      </c>
      <c r="B118" s="215">
        <v>2230.9</v>
      </c>
      <c r="C118" s="58">
        <v>2009</v>
      </c>
      <c r="D118" s="34">
        <v>2230.9</v>
      </c>
      <c r="E118" s="215">
        <v>2230.9</v>
      </c>
      <c r="F118" s="215">
        <v>2230.9</v>
      </c>
      <c r="G118" s="215">
        <v>2230.9</v>
      </c>
      <c r="H118" s="215">
        <v>2230.9</v>
      </c>
      <c r="I118" s="202"/>
      <c r="J118" s="375">
        <v>2230.9</v>
      </c>
      <c r="K118" s="322">
        <v>7980.88</v>
      </c>
      <c r="L118" s="221">
        <v>2230.9</v>
      </c>
      <c r="M118" s="34">
        <v>1779.08</v>
      </c>
      <c r="N118" s="216">
        <v>1779.08</v>
      </c>
      <c r="O118" s="216">
        <v>2230.9</v>
      </c>
      <c r="R118" s="172" t="s">
        <v>267</v>
      </c>
      <c r="S118" s="66" t="s">
        <v>271</v>
      </c>
      <c r="T118" s="66" t="s">
        <v>272</v>
      </c>
      <c r="U118" s="66" t="s">
        <v>273</v>
      </c>
      <c r="V118" s="66" t="s">
        <v>274</v>
      </c>
      <c r="W118" s="66" t="s">
        <v>275</v>
      </c>
      <c r="X118" s="66" t="s">
        <v>276</v>
      </c>
      <c r="Y118" s="66" t="s">
        <v>277</v>
      </c>
      <c r="Z118" s="66" t="s">
        <v>278</v>
      </c>
      <c r="AA118" s="66" t="s">
        <v>279</v>
      </c>
      <c r="AB118" s="66" t="s">
        <v>280</v>
      </c>
      <c r="AC118" s="66" t="s">
        <v>281</v>
      </c>
      <c r="AD118" s="66" t="s">
        <v>282</v>
      </c>
      <c r="AE118" s="66" t="s">
        <v>283</v>
      </c>
    </row>
    <row r="119" spans="1:31" x14ac:dyDescent="0.15">
      <c r="A119" s="215">
        <v>7980.88</v>
      </c>
      <c r="B119" s="215">
        <v>7980.88</v>
      </c>
      <c r="C119" s="58">
        <v>2010</v>
      </c>
      <c r="D119" s="34">
        <v>7980.88</v>
      </c>
      <c r="E119" s="215">
        <v>7980.88</v>
      </c>
      <c r="F119" s="215">
        <v>7980.88</v>
      </c>
      <c r="G119" s="215">
        <v>7980.88</v>
      </c>
      <c r="H119" s="215">
        <v>7980.88</v>
      </c>
      <c r="I119" s="202"/>
      <c r="J119" s="375">
        <v>7980.88</v>
      </c>
      <c r="K119" s="322">
        <v>172953.87</v>
      </c>
      <c r="L119" s="221">
        <v>7980.88</v>
      </c>
      <c r="M119" s="34">
        <v>6480.66</v>
      </c>
      <c r="N119" s="216">
        <v>6480.66</v>
      </c>
      <c r="O119" s="216">
        <v>7980.88</v>
      </c>
      <c r="Q119" s="66">
        <v>9</v>
      </c>
      <c r="R119" s="66" t="s">
        <v>62</v>
      </c>
      <c r="S119" s="68">
        <f t="shared" ref="S119:AD119" si="56">S32</f>
        <v>4202741.7699999996</v>
      </c>
      <c r="T119" s="68">
        <f t="shared" si="56"/>
        <v>3967290.86</v>
      </c>
      <c r="U119" s="68">
        <f t="shared" si="56"/>
        <v>5270665.8899999997</v>
      </c>
      <c r="V119" s="68">
        <f t="shared" si="56"/>
        <v>5200910.9000000004</v>
      </c>
      <c r="W119" s="68">
        <f t="shared" si="56"/>
        <v>4674953.41</v>
      </c>
      <c r="X119" s="68">
        <f t="shared" si="56"/>
        <v>4713829.83</v>
      </c>
      <c r="Y119" s="68">
        <f t="shared" si="56"/>
        <v>0</v>
      </c>
      <c r="Z119" s="68">
        <f t="shared" si="56"/>
        <v>0</v>
      </c>
      <c r="AA119" s="68">
        <f t="shared" si="56"/>
        <v>0</v>
      </c>
      <c r="AB119" s="68">
        <f t="shared" si="56"/>
        <v>0</v>
      </c>
      <c r="AC119" s="68">
        <f t="shared" si="56"/>
        <v>0</v>
      </c>
      <c r="AD119" s="68">
        <f t="shared" si="56"/>
        <v>0</v>
      </c>
      <c r="AE119" s="144">
        <f>SUM(S119:AD119)</f>
        <v>28030392.660000004</v>
      </c>
    </row>
    <row r="120" spans="1:31" x14ac:dyDescent="0.15">
      <c r="A120" s="215">
        <v>172953.87</v>
      </c>
      <c r="B120" s="215">
        <v>172953.87</v>
      </c>
      <c r="C120" s="58">
        <v>2011</v>
      </c>
      <c r="D120" s="34">
        <v>172953.87</v>
      </c>
      <c r="E120" s="215">
        <v>172953.87</v>
      </c>
      <c r="F120" s="215">
        <v>172953.87</v>
      </c>
      <c r="G120" s="215">
        <v>172953.87</v>
      </c>
      <c r="H120" s="215">
        <v>172953.87</v>
      </c>
      <c r="I120" s="202"/>
      <c r="J120" s="375">
        <v>172953.87</v>
      </c>
      <c r="K120" s="322">
        <v>1907832.24</v>
      </c>
      <c r="L120" s="221">
        <v>172953.87</v>
      </c>
      <c r="M120" s="34">
        <v>169801.14</v>
      </c>
      <c r="N120" s="216">
        <v>169801.14</v>
      </c>
      <c r="O120" s="216">
        <v>172953.87</v>
      </c>
      <c r="Q120" s="172" t="s">
        <v>265</v>
      </c>
      <c r="R120" s="194" t="s">
        <v>253</v>
      </c>
      <c r="S120" s="68">
        <f t="shared" ref="S120:AE120" si="57">(S119/S87)*100</f>
        <v>33.694212369704616</v>
      </c>
      <c r="T120" s="68">
        <f t="shared" si="57"/>
        <v>27.588546908491647</v>
      </c>
      <c r="U120" s="68">
        <f t="shared" si="57"/>
        <v>33.888437291246952</v>
      </c>
      <c r="V120" s="68">
        <f t="shared" si="57"/>
        <v>32.997791897258026</v>
      </c>
      <c r="W120" s="68">
        <f t="shared" si="57"/>
        <v>29.179063629822849</v>
      </c>
      <c r="X120" s="68">
        <f t="shared" si="57"/>
        <v>28.179540139118647</v>
      </c>
      <c r="Y120" s="68" t="e">
        <f t="shared" si="57"/>
        <v>#DIV/0!</v>
      </c>
      <c r="Z120" s="68" t="e">
        <f t="shared" si="57"/>
        <v>#DIV/0!</v>
      </c>
      <c r="AA120" s="68" t="e">
        <f t="shared" si="57"/>
        <v>#DIV/0!</v>
      </c>
      <c r="AB120" s="68" t="e">
        <f t="shared" si="57"/>
        <v>#DIV/0!</v>
      </c>
      <c r="AC120" s="68" t="e">
        <f t="shared" si="57"/>
        <v>#DIV/0!</v>
      </c>
      <c r="AD120" s="68" t="e">
        <f t="shared" si="57"/>
        <v>#DIV/0!</v>
      </c>
      <c r="AE120" s="67">
        <f t="shared" si="57"/>
        <v>30.830673324373315</v>
      </c>
    </row>
    <row r="121" spans="1:31" x14ac:dyDescent="0.15">
      <c r="A121" s="215">
        <v>2016261.2</v>
      </c>
      <c r="B121" s="215">
        <v>2002707.58</v>
      </c>
      <c r="C121" s="58">
        <v>2012</v>
      </c>
      <c r="D121" s="34">
        <v>1989153.96</v>
      </c>
      <c r="E121" s="215">
        <v>1975600.34</v>
      </c>
      <c r="F121" s="215">
        <v>1962046.72</v>
      </c>
      <c r="G121" s="215">
        <v>1948493.1</v>
      </c>
      <c r="H121" s="215">
        <v>1934939.48</v>
      </c>
      <c r="I121" s="202"/>
      <c r="J121" s="375">
        <v>1921385.86</v>
      </c>
      <c r="K121" s="322">
        <v>10667.58</v>
      </c>
      <c r="L121" s="221">
        <v>1894278.62</v>
      </c>
      <c r="M121" s="34">
        <v>1866718.6</v>
      </c>
      <c r="N121" s="216">
        <v>1853164.98</v>
      </c>
      <c r="O121" s="216">
        <v>1853617.76</v>
      </c>
      <c r="R121" s="214"/>
      <c r="S121" s="66"/>
      <c r="T121" s="66"/>
      <c r="U121" s="66"/>
      <c r="V121" s="66"/>
      <c r="W121" s="66"/>
      <c r="X121" s="66"/>
      <c r="Y121" s="66"/>
      <c r="Z121" s="66"/>
      <c r="AA121" s="66"/>
      <c r="AB121" s="66"/>
      <c r="AC121" s="66"/>
      <c r="AD121" s="66"/>
      <c r="AE121" s="66"/>
    </row>
    <row r="122" spans="1:31" ht="12.75" customHeight="1" x14ac:dyDescent="0.15">
      <c r="A122" s="215">
        <v>10667.58</v>
      </c>
      <c r="B122" s="215">
        <v>10667.58</v>
      </c>
      <c r="C122" s="58">
        <v>2013</v>
      </c>
      <c r="D122" s="34">
        <v>10667.58</v>
      </c>
      <c r="E122" s="215">
        <v>10667.58</v>
      </c>
      <c r="F122" s="215">
        <v>10667.58</v>
      </c>
      <c r="G122" s="215">
        <v>10667.58</v>
      </c>
      <c r="H122" s="215">
        <v>10667.58</v>
      </c>
      <c r="I122" s="202"/>
      <c r="J122" s="375">
        <v>10667.58</v>
      </c>
      <c r="K122" s="322">
        <v>353929.99</v>
      </c>
      <c r="L122" s="221">
        <v>10667.58</v>
      </c>
      <c r="M122" s="34">
        <v>9489.8700000000008</v>
      </c>
      <c r="N122" s="216">
        <v>9489.8700000000008</v>
      </c>
      <c r="O122" s="216">
        <v>10667.58</v>
      </c>
      <c r="Q122" s="1203" t="s">
        <v>285</v>
      </c>
      <c r="R122" s="1204"/>
      <c r="S122" s="181">
        <f t="shared" ref="S122:AE122" si="58">S119/$AE$119</f>
        <v>0.14993517290242622</v>
      </c>
      <c r="T122" s="181">
        <f t="shared" si="58"/>
        <v>0.14153532945906294</v>
      </c>
      <c r="U122" s="181">
        <f t="shared" si="58"/>
        <v>0.18803396562907795</v>
      </c>
      <c r="V122" s="181">
        <f t="shared" si="58"/>
        <v>0.18554541718646048</v>
      </c>
      <c r="W122" s="181">
        <f t="shared" si="58"/>
        <v>0.16678158835324711</v>
      </c>
      <c r="X122" s="181">
        <f t="shared" si="58"/>
        <v>0.16816852646972513</v>
      </c>
      <c r="Y122" s="181">
        <f t="shared" si="58"/>
        <v>0</v>
      </c>
      <c r="Z122" s="181">
        <f t="shared" si="58"/>
        <v>0</v>
      </c>
      <c r="AA122" s="181">
        <f t="shared" si="58"/>
        <v>0</v>
      </c>
      <c r="AB122" s="181">
        <f t="shared" si="58"/>
        <v>0</v>
      </c>
      <c r="AC122" s="181">
        <f t="shared" si="58"/>
        <v>0</v>
      </c>
      <c r="AD122" s="181">
        <f t="shared" si="58"/>
        <v>0</v>
      </c>
      <c r="AE122" s="181">
        <f t="shared" si="58"/>
        <v>1</v>
      </c>
    </row>
    <row r="123" spans="1:31" x14ac:dyDescent="0.15">
      <c r="A123" s="215">
        <v>536457.43000000005</v>
      </c>
      <c r="B123" s="215">
        <v>513641.5</v>
      </c>
      <c r="C123" s="58">
        <v>2014</v>
      </c>
      <c r="D123" s="34">
        <v>490825.57</v>
      </c>
      <c r="E123" s="215">
        <v>468009.64</v>
      </c>
      <c r="F123" s="215">
        <v>445193.71</v>
      </c>
      <c r="G123" s="215">
        <v>422377.78</v>
      </c>
      <c r="H123" s="215">
        <v>399561.85</v>
      </c>
      <c r="I123" s="202"/>
      <c r="J123" s="375">
        <v>376745.92</v>
      </c>
      <c r="K123" s="322">
        <v>3106976.28</v>
      </c>
      <c r="L123" s="221">
        <v>331114.06</v>
      </c>
      <c r="M123" s="34">
        <v>305978.84999999998</v>
      </c>
      <c r="N123" s="216">
        <v>283162.92</v>
      </c>
      <c r="O123" s="216">
        <v>262666.27</v>
      </c>
    </row>
    <row r="124" spans="1:31" x14ac:dyDescent="0.15">
      <c r="A124" s="215">
        <v>3209482.31</v>
      </c>
      <c r="B124" s="215">
        <v>3196828.23</v>
      </c>
      <c r="C124" s="58">
        <v>2015</v>
      </c>
      <c r="D124" s="34">
        <v>3184060.76</v>
      </c>
      <c r="E124" s="215">
        <v>3171406.68</v>
      </c>
      <c r="F124" s="215">
        <v>3157592.6</v>
      </c>
      <c r="G124" s="215">
        <v>3144938.52</v>
      </c>
      <c r="H124" s="215">
        <v>3132284.44</v>
      </c>
      <c r="I124" s="202"/>
      <c r="J124" s="375">
        <v>3119630.36</v>
      </c>
      <c r="K124" s="322">
        <v>3147554.02</v>
      </c>
      <c r="L124" s="221">
        <v>3094309.4</v>
      </c>
      <c r="M124" s="34">
        <v>3081655.32</v>
      </c>
      <c r="N124" s="216">
        <v>3013743.68</v>
      </c>
      <c r="O124" s="216">
        <v>2976030.69</v>
      </c>
    </row>
    <row r="125" spans="1:31" x14ac:dyDescent="0.15">
      <c r="A125" s="215">
        <v>3398020.7</v>
      </c>
      <c r="B125" s="215">
        <v>3376054.18</v>
      </c>
      <c r="C125" s="58">
        <v>2016</v>
      </c>
      <c r="D125" s="34">
        <v>3354087.66</v>
      </c>
      <c r="E125" s="215">
        <v>3332121.14</v>
      </c>
      <c r="F125" s="215">
        <v>3255394.06</v>
      </c>
      <c r="G125" s="215">
        <v>3241116.4</v>
      </c>
      <c r="H125" s="215">
        <v>3183940.86</v>
      </c>
      <c r="I125" s="202"/>
      <c r="J125" s="375">
        <v>3161831.68</v>
      </c>
      <c r="K125" s="322">
        <v>2133121.69</v>
      </c>
      <c r="L125" s="221">
        <v>3133276.36</v>
      </c>
      <c r="M125" s="34">
        <v>3117485</v>
      </c>
      <c r="N125" s="216">
        <v>3103207.34</v>
      </c>
      <c r="O125" s="216">
        <v>3090443.38</v>
      </c>
      <c r="S125" s="78" t="s">
        <v>818</v>
      </c>
      <c r="AE125" s="58" t="s">
        <v>286</v>
      </c>
    </row>
    <row r="126" spans="1:31" x14ac:dyDescent="0.15">
      <c r="A126" s="215">
        <v>2431405.69</v>
      </c>
      <c r="B126" s="215">
        <v>2394120.19</v>
      </c>
      <c r="C126" s="58">
        <v>2017</v>
      </c>
      <c r="D126" s="34">
        <v>2356834.69</v>
      </c>
      <c r="E126" s="215">
        <v>2319549.19</v>
      </c>
      <c r="F126" s="215">
        <v>2282263.69</v>
      </c>
      <c r="G126" s="215">
        <v>2244978.19</v>
      </c>
      <c r="H126" s="215">
        <v>2207692.69</v>
      </c>
      <c r="I126" s="202"/>
      <c r="J126" s="375">
        <v>2170407.19</v>
      </c>
      <c r="K126" s="322">
        <v>1950038.57</v>
      </c>
      <c r="L126" s="221">
        <v>2095836.19</v>
      </c>
      <c r="M126" s="34">
        <v>2058550.69</v>
      </c>
      <c r="N126" s="216">
        <v>2021265.19</v>
      </c>
      <c r="O126" s="216">
        <v>1983979.69</v>
      </c>
      <c r="Q126" s="187" t="s">
        <v>199</v>
      </c>
      <c r="R126" s="188"/>
      <c r="S126" s="181" t="s">
        <v>200</v>
      </c>
      <c r="T126" s="189">
        <f>S119+T119</f>
        <v>8170032.629999999</v>
      </c>
      <c r="U126" s="181" t="s">
        <v>201</v>
      </c>
      <c r="V126" s="190">
        <f>U119+V119</f>
        <v>10471576.789999999</v>
      </c>
      <c r="W126" s="181" t="s">
        <v>202</v>
      </c>
      <c r="X126" s="190">
        <f>W119+X119</f>
        <v>9388783.2400000002</v>
      </c>
      <c r="Y126" s="181" t="s">
        <v>203</v>
      </c>
      <c r="Z126" s="190">
        <f>Y119+Z119</f>
        <v>0</v>
      </c>
      <c r="AA126" s="181" t="s">
        <v>204</v>
      </c>
      <c r="AB126" s="190">
        <f>AA119+AB119</f>
        <v>0</v>
      </c>
      <c r="AC126" s="181" t="s">
        <v>205</v>
      </c>
      <c r="AD126" s="190">
        <f>AC119+AD119</f>
        <v>0</v>
      </c>
      <c r="AE126" s="26">
        <f>SUM(S126:AD126)</f>
        <v>28030392.659999996</v>
      </c>
    </row>
    <row r="127" spans="1:31" x14ac:dyDescent="0.15">
      <c r="A127" s="215">
        <v>1951977.07</v>
      </c>
      <c r="B127" s="215">
        <v>1951977.07</v>
      </c>
      <c r="C127" s="58">
        <v>2018</v>
      </c>
      <c r="D127" s="34">
        <v>1950772.37</v>
      </c>
      <c r="E127" s="215">
        <v>1950772.37</v>
      </c>
      <c r="F127" s="215">
        <v>1950772.37</v>
      </c>
      <c r="G127" s="215">
        <v>1950038.57</v>
      </c>
      <c r="H127" s="215">
        <v>1950038.57</v>
      </c>
      <c r="I127" s="202"/>
      <c r="J127" s="375">
        <v>1950038.57</v>
      </c>
      <c r="K127" s="322">
        <v>1591853.37</v>
      </c>
      <c r="L127" s="221">
        <v>1950038.57</v>
      </c>
      <c r="M127" s="34">
        <v>1948421.86</v>
      </c>
      <c r="N127" s="216">
        <v>1945722.09</v>
      </c>
      <c r="O127" s="216">
        <v>1947123.88</v>
      </c>
    </row>
    <row r="128" spans="1:31" x14ac:dyDescent="0.15">
      <c r="A128" s="215">
        <v>1602004.85</v>
      </c>
      <c r="B128" s="215">
        <v>1602004.85</v>
      </c>
      <c r="C128" s="58">
        <v>2019</v>
      </c>
      <c r="D128" s="34">
        <v>1597163.51</v>
      </c>
      <c r="E128" s="215">
        <v>1595013.1</v>
      </c>
      <c r="F128" s="215">
        <v>1595013.1</v>
      </c>
      <c r="G128" s="215">
        <v>1590916.36</v>
      </c>
      <c r="H128" s="215">
        <v>1590916.36</v>
      </c>
      <c r="I128" s="202"/>
      <c r="J128" s="375">
        <v>1590916.36</v>
      </c>
      <c r="K128" s="322">
        <v>6154226.1600000001</v>
      </c>
      <c r="L128" s="221">
        <v>1589832.36</v>
      </c>
      <c r="M128" s="34">
        <v>1586258.09</v>
      </c>
      <c r="N128" s="216">
        <v>1586258.09</v>
      </c>
      <c r="O128" s="216">
        <v>1589682.36</v>
      </c>
    </row>
    <row r="129" spans="1:28" x14ac:dyDescent="0.15">
      <c r="A129" s="34">
        <v>11681226.07</v>
      </c>
      <c r="B129" s="34">
        <v>8367616.3600000003</v>
      </c>
      <c r="C129" s="58">
        <v>2020</v>
      </c>
      <c r="D129" s="34">
        <v>7165670.71</v>
      </c>
      <c r="E129" s="34">
        <v>7195049.4699999997</v>
      </c>
      <c r="F129" s="215">
        <v>6792191.1500000004</v>
      </c>
      <c r="G129" s="316">
        <v>6524062.2000000002</v>
      </c>
      <c r="H129" s="215">
        <v>6409256.2400000002</v>
      </c>
      <c r="I129" s="317"/>
      <c r="J129" s="390">
        <v>6297433.3700000001</v>
      </c>
      <c r="L129" s="216">
        <v>6043305.2300000004</v>
      </c>
      <c r="M129" s="34">
        <v>5949903.7199999997</v>
      </c>
      <c r="N129" s="216">
        <v>5867876.3899999997</v>
      </c>
      <c r="O129" s="216">
        <v>5680688.5700000003</v>
      </c>
    </row>
    <row r="130" spans="1:28" x14ac:dyDescent="0.15">
      <c r="A130" s="223">
        <f>SUM(A113:A129)</f>
        <v>27028955.25</v>
      </c>
      <c r="B130" s="223">
        <f>SUM(B113:B129)</f>
        <v>23607069.890000001</v>
      </c>
      <c r="C130" s="203">
        <f>23607069.89-B130</f>
        <v>0</v>
      </c>
      <c r="D130" s="224">
        <f>SUM(D113:D129)</f>
        <v>22290689.159999996</v>
      </c>
      <c r="E130" s="224">
        <f>SUM(E113:E129)</f>
        <v>22209641.859999999</v>
      </c>
      <c r="F130" s="223">
        <f>SUM(F113:F129)</f>
        <v>21642587.329999998</v>
      </c>
      <c r="G130" s="320">
        <f>SUM(G113:G129)</f>
        <v>21269041.050000001</v>
      </c>
      <c r="H130" s="69">
        <f>SUM(H113:H129)</f>
        <v>21010750.420000002</v>
      </c>
      <c r="I130" s="317"/>
      <c r="J130" s="224">
        <f t="shared" ref="J130:O130" si="59">SUM(J113:J129)</f>
        <v>20790509.239999998</v>
      </c>
      <c r="K130" s="223">
        <f t="shared" si="59"/>
        <v>20543268.719999999</v>
      </c>
      <c r="L130" s="144">
        <f t="shared" si="59"/>
        <v>20334110.719999999</v>
      </c>
      <c r="M130" s="225">
        <f t="shared" si="59"/>
        <v>20109854.16</v>
      </c>
      <c r="N130" s="144">
        <f t="shared" si="59"/>
        <v>19869282.709999997</v>
      </c>
      <c r="O130" s="144">
        <f t="shared" si="59"/>
        <v>19586352.530000001</v>
      </c>
      <c r="S130" s="304" t="s">
        <v>23</v>
      </c>
      <c r="T130" s="305"/>
      <c r="U130" s="305"/>
      <c r="V130" s="306" t="s">
        <v>24</v>
      </c>
      <c r="W130" s="306"/>
      <c r="Y130" s="304"/>
      <c r="Z130" s="307" t="s">
        <v>25</v>
      </c>
      <c r="AA130" s="310"/>
    </row>
    <row r="131" spans="1:28" x14ac:dyDescent="0.15">
      <c r="A131" s="57" t="s">
        <v>266</v>
      </c>
      <c r="B131" s="35">
        <f>A130-B130</f>
        <v>3421885.3599999994</v>
      </c>
      <c r="C131" s="35"/>
      <c r="D131" s="35">
        <f>B130-D130</f>
        <v>1316380.7300000042</v>
      </c>
      <c r="E131" s="35">
        <f>D130-E130</f>
        <v>81047.29999999702</v>
      </c>
      <c r="F131" s="35">
        <f>E130-F130</f>
        <v>567054.53000000119</v>
      </c>
      <c r="G131" s="35">
        <f>F130-G130</f>
        <v>373546.27999999747</v>
      </c>
      <c r="H131" s="35">
        <f>G130-H130</f>
        <v>258290.62999999896</v>
      </c>
      <c r="J131" s="35">
        <f>H130-J130</f>
        <v>220241.18000000343</v>
      </c>
      <c r="K131" s="35">
        <f>J130-K130</f>
        <v>247240.51999999955</v>
      </c>
      <c r="L131" s="35">
        <f>K130-L130</f>
        <v>209158</v>
      </c>
      <c r="M131" s="35">
        <f>L130-M130</f>
        <v>224256.55999999866</v>
      </c>
      <c r="N131" s="35">
        <f>M130-N130</f>
        <v>240571.45000000298</v>
      </c>
      <c r="O131" s="35">
        <f>N130-O130</f>
        <v>282930.17999999598</v>
      </c>
      <c r="R131" s="308"/>
      <c r="S131" s="304" t="s">
        <v>26</v>
      </c>
      <c r="T131" s="305"/>
      <c r="U131" s="305"/>
      <c r="V131" s="306" t="s">
        <v>27</v>
      </c>
      <c r="W131" s="306"/>
      <c r="Y131" s="304"/>
      <c r="Z131" s="307" t="s">
        <v>28</v>
      </c>
      <c r="AA131" s="310"/>
      <c r="AB131" s="308"/>
    </row>
    <row r="132" spans="1:28" x14ac:dyDescent="0.15">
      <c r="R132" s="310"/>
      <c r="S132" s="310"/>
      <c r="T132" s="310"/>
      <c r="U132" s="310"/>
      <c r="V132" s="310"/>
      <c r="W132" s="310"/>
      <c r="X132" s="310"/>
      <c r="Y132" s="310"/>
      <c r="Z132" s="310"/>
      <c r="AA132" s="310"/>
      <c r="AB132" s="310"/>
    </row>
    <row r="133" spans="1:28" x14ac:dyDescent="0.15">
      <c r="R133" s="310"/>
      <c r="AB133" s="310"/>
    </row>
    <row r="134" spans="1:28" x14ac:dyDescent="0.15">
      <c r="J134" s="308"/>
    </row>
  </sheetData>
  <mergeCells count="9">
    <mergeCell ref="A35:B35"/>
    <mergeCell ref="Q122:R122"/>
    <mergeCell ref="B3:K3"/>
    <mergeCell ref="L3:M3"/>
    <mergeCell ref="N3:O3"/>
    <mergeCell ref="A18:B18"/>
    <mergeCell ref="B20:K20"/>
    <mergeCell ref="L20:M20"/>
    <mergeCell ref="N20:O20"/>
  </mergeCells>
  <pageMargins left="0.23622047244094491" right="0.23622047244094491" top="0.74803149606299213" bottom="0.19685039370078741" header="0.31496062992125984" footer="0.31496062992125984"/>
  <pageSetup paperSize="9" orientation="landscape" horizontalDpi="0" verticalDpi="0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84"/>
  <sheetViews>
    <sheetView topLeftCell="A6" workbookViewId="0">
      <selection activeCell="E10" sqref="E10"/>
    </sheetView>
  </sheetViews>
  <sheetFormatPr defaultRowHeight="12.75" x14ac:dyDescent="0.2"/>
  <cols>
    <col min="1" max="1" width="2.7109375" style="37" bestFit="1" customWidth="1"/>
    <col min="2" max="3" width="9.140625" style="37"/>
    <col min="4" max="4" width="10" style="37" customWidth="1"/>
    <col min="5" max="5" width="13" style="37" customWidth="1"/>
    <col min="6" max="6" width="13.85546875" style="37" customWidth="1"/>
    <col min="7" max="7" width="13.28515625" style="37" bestFit="1" customWidth="1"/>
    <col min="8" max="8" width="14.28515625" style="37" customWidth="1"/>
    <col min="9" max="9" width="14.7109375" style="37" customWidth="1"/>
    <col min="10" max="10" width="13.42578125" style="37" customWidth="1"/>
    <col min="11" max="11" width="12.85546875" style="37" bestFit="1" customWidth="1"/>
    <col min="12" max="12" width="9.28515625" style="37" bestFit="1" customWidth="1"/>
    <col min="13" max="13" width="11.85546875" style="37" bestFit="1" customWidth="1"/>
    <col min="14" max="14" width="2.7109375" style="37" bestFit="1" customWidth="1"/>
    <col min="15" max="15" width="40.7109375" style="37" bestFit="1" customWidth="1"/>
    <col min="16" max="16" width="12.5703125" style="37" customWidth="1"/>
    <col min="17" max="17" width="7" style="37" bestFit="1" customWidth="1"/>
    <col min="18" max="18" width="11.7109375" style="37" bestFit="1" customWidth="1"/>
    <col min="19" max="19" width="12.85546875" style="37" bestFit="1" customWidth="1"/>
    <col min="20" max="20" width="11.5703125" style="37" bestFit="1" customWidth="1"/>
    <col min="21" max="21" width="12.5703125" style="37" bestFit="1" customWidth="1"/>
    <col min="22" max="256" width="9.140625" style="37"/>
    <col min="257" max="257" width="2.7109375" style="37" bestFit="1" customWidth="1"/>
    <col min="258" max="259" width="9.140625" style="37"/>
    <col min="260" max="260" width="10" style="37" customWidth="1"/>
    <col min="261" max="261" width="13" style="37" customWidth="1"/>
    <col min="262" max="262" width="13.85546875" style="37" customWidth="1"/>
    <col min="263" max="263" width="13.28515625" style="37" bestFit="1" customWidth="1"/>
    <col min="264" max="264" width="15.140625" style="37" customWidth="1"/>
    <col min="265" max="265" width="14.7109375" style="37" customWidth="1"/>
    <col min="266" max="266" width="13.42578125" style="37" customWidth="1"/>
    <col min="267" max="267" width="12.85546875" style="37" bestFit="1" customWidth="1"/>
    <col min="268" max="268" width="9.28515625" style="37" bestFit="1" customWidth="1"/>
    <col min="269" max="269" width="11.85546875" style="37" bestFit="1" customWidth="1"/>
    <col min="270" max="270" width="2.7109375" style="37" bestFit="1" customWidth="1"/>
    <col min="271" max="271" width="40.7109375" style="37" bestFit="1" customWidth="1"/>
    <col min="272" max="272" width="12.5703125" style="37" customWidth="1"/>
    <col min="273" max="273" width="7" style="37" bestFit="1" customWidth="1"/>
    <col min="274" max="274" width="11.7109375" style="37" bestFit="1" customWidth="1"/>
    <col min="275" max="275" width="12.85546875" style="37" bestFit="1" customWidth="1"/>
    <col min="276" max="276" width="11.5703125" style="37" bestFit="1" customWidth="1"/>
    <col min="277" max="277" width="12.5703125" style="37" bestFit="1" customWidth="1"/>
    <col min="278" max="512" width="9.140625" style="37"/>
    <col min="513" max="513" width="2.7109375" style="37" bestFit="1" customWidth="1"/>
    <col min="514" max="515" width="9.140625" style="37"/>
    <col min="516" max="516" width="10" style="37" customWidth="1"/>
    <col min="517" max="517" width="13" style="37" customWidth="1"/>
    <col min="518" max="518" width="13.85546875" style="37" customWidth="1"/>
    <col min="519" max="519" width="13.28515625" style="37" bestFit="1" customWidth="1"/>
    <col min="520" max="520" width="15.140625" style="37" customWidth="1"/>
    <col min="521" max="521" width="14.7109375" style="37" customWidth="1"/>
    <col min="522" max="522" width="13.42578125" style="37" customWidth="1"/>
    <col min="523" max="523" width="12.85546875" style="37" bestFit="1" customWidth="1"/>
    <col min="524" max="524" width="9.28515625" style="37" bestFit="1" customWidth="1"/>
    <col min="525" max="525" width="11.85546875" style="37" bestFit="1" customWidth="1"/>
    <col min="526" max="526" width="2.7109375" style="37" bestFit="1" customWidth="1"/>
    <col min="527" max="527" width="40.7109375" style="37" bestFit="1" customWidth="1"/>
    <col min="528" max="528" width="12.5703125" style="37" customWidth="1"/>
    <col min="529" max="529" width="7" style="37" bestFit="1" customWidth="1"/>
    <col min="530" max="530" width="11.7109375" style="37" bestFit="1" customWidth="1"/>
    <col min="531" max="531" width="12.85546875" style="37" bestFit="1" customWidth="1"/>
    <col min="532" max="532" width="11.5703125" style="37" bestFit="1" customWidth="1"/>
    <col min="533" max="533" width="12.5703125" style="37" bestFit="1" customWidth="1"/>
    <col min="534" max="768" width="9.140625" style="37"/>
    <col min="769" max="769" width="2.7109375" style="37" bestFit="1" customWidth="1"/>
    <col min="770" max="771" width="9.140625" style="37"/>
    <col min="772" max="772" width="10" style="37" customWidth="1"/>
    <col min="773" max="773" width="13" style="37" customWidth="1"/>
    <col min="774" max="774" width="13.85546875" style="37" customWidth="1"/>
    <col min="775" max="775" width="13.28515625" style="37" bestFit="1" customWidth="1"/>
    <col min="776" max="776" width="15.140625" style="37" customWidth="1"/>
    <col min="777" max="777" width="14.7109375" style="37" customWidth="1"/>
    <col min="778" max="778" width="13.42578125" style="37" customWidth="1"/>
    <col min="779" max="779" width="12.85546875" style="37" bestFit="1" customWidth="1"/>
    <col min="780" max="780" width="9.28515625" style="37" bestFit="1" customWidth="1"/>
    <col min="781" max="781" width="11.85546875" style="37" bestFit="1" customWidth="1"/>
    <col min="782" max="782" width="2.7109375" style="37" bestFit="1" customWidth="1"/>
    <col min="783" max="783" width="40.7109375" style="37" bestFit="1" customWidth="1"/>
    <col min="784" max="784" width="12.5703125" style="37" customWidth="1"/>
    <col min="785" max="785" width="7" style="37" bestFit="1" customWidth="1"/>
    <col min="786" max="786" width="11.7109375" style="37" bestFit="1" customWidth="1"/>
    <col min="787" max="787" width="12.85546875" style="37" bestFit="1" customWidth="1"/>
    <col min="788" max="788" width="11.5703125" style="37" bestFit="1" customWidth="1"/>
    <col min="789" max="789" width="12.5703125" style="37" bestFit="1" customWidth="1"/>
    <col min="790" max="1024" width="9.140625" style="37"/>
    <col min="1025" max="1025" width="2.7109375" style="37" bestFit="1" customWidth="1"/>
    <col min="1026" max="1027" width="9.140625" style="37"/>
    <col min="1028" max="1028" width="10" style="37" customWidth="1"/>
    <col min="1029" max="1029" width="13" style="37" customWidth="1"/>
    <col min="1030" max="1030" width="13.85546875" style="37" customWidth="1"/>
    <col min="1031" max="1031" width="13.28515625" style="37" bestFit="1" customWidth="1"/>
    <col min="1032" max="1032" width="15.140625" style="37" customWidth="1"/>
    <col min="1033" max="1033" width="14.7109375" style="37" customWidth="1"/>
    <col min="1034" max="1034" width="13.42578125" style="37" customWidth="1"/>
    <col min="1035" max="1035" width="12.85546875" style="37" bestFit="1" customWidth="1"/>
    <col min="1036" max="1036" width="9.28515625" style="37" bestFit="1" customWidth="1"/>
    <col min="1037" max="1037" width="11.85546875" style="37" bestFit="1" customWidth="1"/>
    <col min="1038" max="1038" width="2.7109375" style="37" bestFit="1" customWidth="1"/>
    <col min="1039" max="1039" width="40.7109375" style="37" bestFit="1" customWidth="1"/>
    <col min="1040" max="1040" width="12.5703125" style="37" customWidth="1"/>
    <col min="1041" max="1041" width="7" style="37" bestFit="1" customWidth="1"/>
    <col min="1042" max="1042" width="11.7109375" style="37" bestFit="1" customWidth="1"/>
    <col min="1043" max="1043" width="12.85546875" style="37" bestFit="1" customWidth="1"/>
    <col min="1044" max="1044" width="11.5703125" style="37" bestFit="1" customWidth="1"/>
    <col min="1045" max="1045" width="12.5703125" style="37" bestFit="1" customWidth="1"/>
    <col min="1046" max="1280" width="9.140625" style="37"/>
    <col min="1281" max="1281" width="2.7109375" style="37" bestFit="1" customWidth="1"/>
    <col min="1282" max="1283" width="9.140625" style="37"/>
    <col min="1284" max="1284" width="10" style="37" customWidth="1"/>
    <col min="1285" max="1285" width="13" style="37" customWidth="1"/>
    <col min="1286" max="1286" width="13.85546875" style="37" customWidth="1"/>
    <col min="1287" max="1287" width="13.28515625" style="37" bestFit="1" customWidth="1"/>
    <col min="1288" max="1288" width="15.140625" style="37" customWidth="1"/>
    <col min="1289" max="1289" width="14.7109375" style="37" customWidth="1"/>
    <col min="1290" max="1290" width="13.42578125" style="37" customWidth="1"/>
    <col min="1291" max="1291" width="12.85546875" style="37" bestFit="1" customWidth="1"/>
    <col min="1292" max="1292" width="9.28515625" style="37" bestFit="1" customWidth="1"/>
    <col min="1293" max="1293" width="11.85546875" style="37" bestFit="1" customWidth="1"/>
    <col min="1294" max="1294" width="2.7109375" style="37" bestFit="1" customWidth="1"/>
    <col min="1295" max="1295" width="40.7109375" style="37" bestFit="1" customWidth="1"/>
    <col min="1296" max="1296" width="12.5703125" style="37" customWidth="1"/>
    <col min="1297" max="1297" width="7" style="37" bestFit="1" customWidth="1"/>
    <col min="1298" max="1298" width="11.7109375" style="37" bestFit="1" customWidth="1"/>
    <col min="1299" max="1299" width="12.85546875" style="37" bestFit="1" customWidth="1"/>
    <col min="1300" max="1300" width="11.5703125" style="37" bestFit="1" customWidth="1"/>
    <col min="1301" max="1301" width="12.5703125" style="37" bestFit="1" customWidth="1"/>
    <col min="1302" max="1536" width="9.140625" style="37"/>
    <col min="1537" max="1537" width="2.7109375" style="37" bestFit="1" customWidth="1"/>
    <col min="1538" max="1539" width="9.140625" style="37"/>
    <col min="1540" max="1540" width="10" style="37" customWidth="1"/>
    <col min="1541" max="1541" width="13" style="37" customWidth="1"/>
    <col min="1542" max="1542" width="13.85546875" style="37" customWidth="1"/>
    <col min="1543" max="1543" width="13.28515625" style="37" bestFit="1" customWidth="1"/>
    <col min="1544" max="1544" width="15.140625" style="37" customWidth="1"/>
    <col min="1545" max="1545" width="14.7109375" style="37" customWidth="1"/>
    <col min="1546" max="1546" width="13.42578125" style="37" customWidth="1"/>
    <col min="1547" max="1547" width="12.85546875" style="37" bestFit="1" customWidth="1"/>
    <col min="1548" max="1548" width="9.28515625" style="37" bestFit="1" customWidth="1"/>
    <col min="1549" max="1549" width="11.85546875" style="37" bestFit="1" customWidth="1"/>
    <col min="1550" max="1550" width="2.7109375" style="37" bestFit="1" customWidth="1"/>
    <col min="1551" max="1551" width="40.7109375" style="37" bestFit="1" customWidth="1"/>
    <col min="1552" max="1552" width="12.5703125" style="37" customWidth="1"/>
    <col min="1553" max="1553" width="7" style="37" bestFit="1" customWidth="1"/>
    <col min="1554" max="1554" width="11.7109375" style="37" bestFit="1" customWidth="1"/>
    <col min="1555" max="1555" width="12.85546875" style="37" bestFit="1" customWidth="1"/>
    <col min="1556" max="1556" width="11.5703125" style="37" bestFit="1" customWidth="1"/>
    <col min="1557" max="1557" width="12.5703125" style="37" bestFit="1" customWidth="1"/>
    <col min="1558" max="1792" width="9.140625" style="37"/>
    <col min="1793" max="1793" width="2.7109375" style="37" bestFit="1" customWidth="1"/>
    <col min="1794" max="1795" width="9.140625" style="37"/>
    <col min="1796" max="1796" width="10" style="37" customWidth="1"/>
    <col min="1797" max="1797" width="13" style="37" customWidth="1"/>
    <col min="1798" max="1798" width="13.85546875" style="37" customWidth="1"/>
    <col min="1799" max="1799" width="13.28515625" style="37" bestFit="1" customWidth="1"/>
    <col min="1800" max="1800" width="15.140625" style="37" customWidth="1"/>
    <col min="1801" max="1801" width="14.7109375" style="37" customWidth="1"/>
    <col min="1802" max="1802" width="13.42578125" style="37" customWidth="1"/>
    <col min="1803" max="1803" width="12.85546875" style="37" bestFit="1" customWidth="1"/>
    <col min="1804" max="1804" width="9.28515625" style="37" bestFit="1" customWidth="1"/>
    <col min="1805" max="1805" width="11.85546875" style="37" bestFit="1" customWidth="1"/>
    <col min="1806" max="1806" width="2.7109375" style="37" bestFit="1" customWidth="1"/>
    <col min="1807" max="1807" width="40.7109375" style="37" bestFit="1" customWidth="1"/>
    <col min="1808" max="1808" width="12.5703125" style="37" customWidth="1"/>
    <col min="1809" max="1809" width="7" style="37" bestFit="1" customWidth="1"/>
    <col min="1810" max="1810" width="11.7109375" style="37" bestFit="1" customWidth="1"/>
    <col min="1811" max="1811" width="12.85546875" style="37" bestFit="1" customWidth="1"/>
    <col min="1812" max="1812" width="11.5703125" style="37" bestFit="1" customWidth="1"/>
    <col min="1813" max="1813" width="12.5703125" style="37" bestFit="1" customWidth="1"/>
    <col min="1814" max="2048" width="9.140625" style="37"/>
    <col min="2049" max="2049" width="2.7109375" style="37" bestFit="1" customWidth="1"/>
    <col min="2050" max="2051" width="9.140625" style="37"/>
    <col min="2052" max="2052" width="10" style="37" customWidth="1"/>
    <col min="2053" max="2053" width="13" style="37" customWidth="1"/>
    <col min="2054" max="2054" width="13.85546875" style="37" customWidth="1"/>
    <col min="2055" max="2055" width="13.28515625" style="37" bestFit="1" customWidth="1"/>
    <col min="2056" max="2056" width="15.140625" style="37" customWidth="1"/>
    <col min="2057" max="2057" width="14.7109375" style="37" customWidth="1"/>
    <col min="2058" max="2058" width="13.42578125" style="37" customWidth="1"/>
    <col min="2059" max="2059" width="12.85546875" style="37" bestFit="1" customWidth="1"/>
    <col min="2060" max="2060" width="9.28515625" style="37" bestFit="1" customWidth="1"/>
    <col min="2061" max="2061" width="11.85546875" style="37" bestFit="1" customWidth="1"/>
    <col min="2062" max="2062" width="2.7109375" style="37" bestFit="1" customWidth="1"/>
    <col min="2063" max="2063" width="40.7109375" style="37" bestFit="1" customWidth="1"/>
    <col min="2064" max="2064" width="12.5703125" style="37" customWidth="1"/>
    <col min="2065" max="2065" width="7" style="37" bestFit="1" customWidth="1"/>
    <col min="2066" max="2066" width="11.7109375" style="37" bestFit="1" customWidth="1"/>
    <col min="2067" max="2067" width="12.85546875" style="37" bestFit="1" customWidth="1"/>
    <col min="2068" max="2068" width="11.5703125" style="37" bestFit="1" customWidth="1"/>
    <col min="2069" max="2069" width="12.5703125" style="37" bestFit="1" customWidth="1"/>
    <col min="2070" max="2304" width="9.140625" style="37"/>
    <col min="2305" max="2305" width="2.7109375" style="37" bestFit="1" customWidth="1"/>
    <col min="2306" max="2307" width="9.140625" style="37"/>
    <col min="2308" max="2308" width="10" style="37" customWidth="1"/>
    <col min="2309" max="2309" width="13" style="37" customWidth="1"/>
    <col min="2310" max="2310" width="13.85546875" style="37" customWidth="1"/>
    <col min="2311" max="2311" width="13.28515625" style="37" bestFit="1" customWidth="1"/>
    <col min="2312" max="2312" width="15.140625" style="37" customWidth="1"/>
    <col min="2313" max="2313" width="14.7109375" style="37" customWidth="1"/>
    <col min="2314" max="2314" width="13.42578125" style="37" customWidth="1"/>
    <col min="2315" max="2315" width="12.85546875" style="37" bestFit="1" customWidth="1"/>
    <col min="2316" max="2316" width="9.28515625" style="37" bestFit="1" customWidth="1"/>
    <col min="2317" max="2317" width="11.85546875" style="37" bestFit="1" customWidth="1"/>
    <col min="2318" max="2318" width="2.7109375" style="37" bestFit="1" customWidth="1"/>
    <col min="2319" max="2319" width="40.7109375" style="37" bestFit="1" customWidth="1"/>
    <col min="2320" max="2320" width="12.5703125" style="37" customWidth="1"/>
    <col min="2321" max="2321" width="7" style="37" bestFit="1" customWidth="1"/>
    <col min="2322" max="2322" width="11.7109375" style="37" bestFit="1" customWidth="1"/>
    <col min="2323" max="2323" width="12.85546875" style="37" bestFit="1" customWidth="1"/>
    <col min="2324" max="2324" width="11.5703125" style="37" bestFit="1" customWidth="1"/>
    <col min="2325" max="2325" width="12.5703125" style="37" bestFit="1" customWidth="1"/>
    <col min="2326" max="2560" width="9.140625" style="37"/>
    <col min="2561" max="2561" width="2.7109375" style="37" bestFit="1" customWidth="1"/>
    <col min="2562" max="2563" width="9.140625" style="37"/>
    <col min="2564" max="2564" width="10" style="37" customWidth="1"/>
    <col min="2565" max="2565" width="13" style="37" customWidth="1"/>
    <col min="2566" max="2566" width="13.85546875" style="37" customWidth="1"/>
    <col min="2567" max="2567" width="13.28515625" style="37" bestFit="1" customWidth="1"/>
    <col min="2568" max="2568" width="15.140625" style="37" customWidth="1"/>
    <col min="2569" max="2569" width="14.7109375" style="37" customWidth="1"/>
    <col min="2570" max="2570" width="13.42578125" style="37" customWidth="1"/>
    <col min="2571" max="2571" width="12.85546875" style="37" bestFit="1" customWidth="1"/>
    <col min="2572" max="2572" width="9.28515625" style="37" bestFit="1" customWidth="1"/>
    <col min="2573" max="2573" width="11.85546875" style="37" bestFit="1" customWidth="1"/>
    <col min="2574" max="2574" width="2.7109375" style="37" bestFit="1" customWidth="1"/>
    <col min="2575" max="2575" width="40.7109375" style="37" bestFit="1" customWidth="1"/>
    <col min="2576" max="2576" width="12.5703125" style="37" customWidth="1"/>
    <col min="2577" max="2577" width="7" style="37" bestFit="1" customWidth="1"/>
    <col min="2578" max="2578" width="11.7109375" style="37" bestFit="1" customWidth="1"/>
    <col min="2579" max="2579" width="12.85546875" style="37" bestFit="1" customWidth="1"/>
    <col min="2580" max="2580" width="11.5703125" style="37" bestFit="1" customWidth="1"/>
    <col min="2581" max="2581" width="12.5703125" style="37" bestFit="1" customWidth="1"/>
    <col min="2582" max="2816" width="9.140625" style="37"/>
    <col min="2817" max="2817" width="2.7109375" style="37" bestFit="1" customWidth="1"/>
    <col min="2818" max="2819" width="9.140625" style="37"/>
    <col min="2820" max="2820" width="10" style="37" customWidth="1"/>
    <col min="2821" max="2821" width="13" style="37" customWidth="1"/>
    <col min="2822" max="2822" width="13.85546875" style="37" customWidth="1"/>
    <col min="2823" max="2823" width="13.28515625" style="37" bestFit="1" customWidth="1"/>
    <col min="2824" max="2824" width="15.140625" style="37" customWidth="1"/>
    <col min="2825" max="2825" width="14.7109375" style="37" customWidth="1"/>
    <col min="2826" max="2826" width="13.42578125" style="37" customWidth="1"/>
    <col min="2827" max="2827" width="12.85546875" style="37" bestFit="1" customWidth="1"/>
    <col min="2828" max="2828" width="9.28515625" style="37" bestFit="1" customWidth="1"/>
    <col min="2829" max="2829" width="11.85546875" style="37" bestFit="1" customWidth="1"/>
    <col min="2830" max="2830" width="2.7109375" style="37" bestFit="1" customWidth="1"/>
    <col min="2831" max="2831" width="40.7109375" style="37" bestFit="1" customWidth="1"/>
    <col min="2832" max="2832" width="12.5703125" style="37" customWidth="1"/>
    <col min="2833" max="2833" width="7" style="37" bestFit="1" customWidth="1"/>
    <col min="2834" max="2834" width="11.7109375" style="37" bestFit="1" customWidth="1"/>
    <col min="2835" max="2835" width="12.85546875" style="37" bestFit="1" customWidth="1"/>
    <col min="2836" max="2836" width="11.5703125" style="37" bestFit="1" customWidth="1"/>
    <col min="2837" max="2837" width="12.5703125" style="37" bestFit="1" customWidth="1"/>
    <col min="2838" max="3072" width="9.140625" style="37"/>
    <col min="3073" max="3073" width="2.7109375" style="37" bestFit="1" customWidth="1"/>
    <col min="3074" max="3075" width="9.140625" style="37"/>
    <col min="3076" max="3076" width="10" style="37" customWidth="1"/>
    <col min="3077" max="3077" width="13" style="37" customWidth="1"/>
    <col min="3078" max="3078" width="13.85546875" style="37" customWidth="1"/>
    <col min="3079" max="3079" width="13.28515625" style="37" bestFit="1" customWidth="1"/>
    <col min="3080" max="3080" width="15.140625" style="37" customWidth="1"/>
    <col min="3081" max="3081" width="14.7109375" style="37" customWidth="1"/>
    <col min="3082" max="3082" width="13.42578125" style="37" customWidth="1"/>
    <col min="3083" max="3083" width="12.85546875" style="37" bestFit="1" customWidth="1"/>
    <col min="3084" max="3084" width="9.28515625" style="37" bestFit="1" customWidth="1"/>
    <col min="3085" max="3085" width="11.85546875" style="37" bestFit="1" customWidth="1"/>
    <col min="3086" max="3086" width="2.7109375" style="37" bestFit="1" customWidth="1"/>
    <col min="3087" max="3087" width="40.7109375" style="37" bestFit="1" customWidth="1"/>
    <col min="3088" max="3088" width="12.5703125" style="37" customWidth="1"/>
    <col min="3089" max="3089" width="7" style="37" bestFit="1" customWidth="1"/>
    <col min="3090" max="3090" width="11.7109375" style="37" bestFit="1" customWidth="1"/>
    <col min="3091" max="3091" width="12.85546875" style="37" bestFit="1" customWidth="1"/>
    <col min="3092" max="3092" width="11.5703125" style="37" bestFit="1" customWidth="1"/>
    <col min="3093" max="3093" width="12.5703125" style="37" bestFit="1" customWidth="1"/>
    <col min="3094" max="3328" width="9.140625" style="37"/>
    <col min="3329" max="3329" width="2.7109375" style="37" bestFit="1" customWidth="1"/>
    <col min="3330" max="3331" width="9.140625" style="37"/>
    <col min="3332" max="3332" width="10" style="37" customWidth="1"/>
    <col min="3333" max="3333" width="13" style="37" customWidth="1"/>
    <col min="3334" max="3334" width="13.85546875" style="37" customWidth="1"/>
    <col min="3335" max="3335" width="13.28515625" style="37" bestFit="1" customWidth="1"/>
    <col min="3336" max="3336" width="15.140625" style="37" customWidth="1"/>
    <col min="3337" max="3337" width="14.7109375" style="37" customWidth="1"/>
    <col min="3338" max="3338" width="13.42578125" style="37" customWidth="1"/>
    <col min="3339" max="3339" width="12.85546875" style="37" bestFit="1" customWidth="1"/>
    <col min="3340" max="3340" width="9.28515625" style="37" bestFit="1" customWidth="1"/>
    <col min="3341" max="3341" width="11.85546875" style="37" bestFit="1" customWidth="1"/>
    <col min="3342" max="3342" width="2.7109375" style="37" bestFit="1" customWidth="1"/>
    <col min="3343" max="3343" width="40.7109375" style="37" bestFit="1" customWidth="1"/>
    <col min="3344" max="3344" width="12.5703125" style="37" customWidth="1"/>
    <col min="3345" max="3345" width="7" style="37" bestFit="1" customWidth="1"/>
    <col min="3346" max="3346" width="11.7109375" style="37" bestFit="1" customWidth="1"/>
    <col min="3347" max="3347" width="12.85546875" style="37" bestFit="1" customWidth="1"/>
    <col min="3348" max="3348" width="11.5703125" style="37" bestFit="1" customWidth="1"/>
    <col min="3349" max="3349" width="12.5703125" style="37" bestFit="1" customWidth="1"/>
    <col min="3350" max="3584" width="9.140625" style="37"/>
    <col min="3585" max="3585" width="2.7109375" style="37" bestFit="1" customWidth="1"/>
    <col min="3586" max="3587" width="9.140625" style="37"/>
    <col min="3588" max="3588" width="10" style="37" customWidth="1"/>
    <col min="3589" max="3589" width="13" style="37" customWidth="1"/>
    <col min="3590" max="3590" width="13.85546875" style="37" customWidth="1"/>
    <col min="3591" max="3591" width="13.28515625" style="37" bestFit="1" customWidth="1"/>
    <col min="3592" max="3592" width="15.140625" style="37" customWidth="1"/>
    <col min="3593" max="3593" width="14.7109375" style="37" customWidth="1"/>
    <col min="3594" max="3594" width="13.42578125" style="37" customWidth="1"/>
    <col min="3595" max="3595" width="12.85546875" style="37" bestFit="1" customWidth="1"/>
    <col min="3596" max="3596" width="9.28515625" style="37" bestFit="1" customWidth="1"/>
    <col min="3597" max="3597" width="11.85546875" style="37" bestFit="1" customWidth="1"/>
    <col min="3598" max="3598" width="2.7109375" style="37" bestFit="1" customWidth="1"/>
    <col min="3599" max="3599" width="40.7109375" style="37" bestFit="1" customWidth="1"/>
    <col min="3600" max="3600" width="12.5703125" style="37" customWidth="1"/>
    <col min="3601" max="3601" width="7" style="37" bestFit="1" customWidth="1"/>
    <col min="3602" max="3602" width="11.7109375" style="37" bestFit="1" customWidth="1"/>
    <col min="3603" max="3603" width="12.85546875" style="37" bestFit="1" customWidth="1"/>
    <col min="3604" max="3604" width="11.5703125" style="37" bestFit="1" customWidth="1"/>
    <col min="3605" max="3605" width="12.5703125" style="37" bestFit="1" customWidth="1"/>
    <col min="3606" max="3840" width="9.140625" style="37"/>
    <col min="3841" max="3841" width="2.7109375" style="37" bestFit="1" customWidth="1"/>
    <col min="3842" max="3843" width="9.140625" style="37"/>
    <col min="3844" max="3844" width="10" style="37" customWidth="1"/>
    <col min="3845" max="3845" width="13" style="37" customWidth="1"/>
    <col min="3846" max="3846" width="13.85546875" style="37" customWidth="1"/>
    <col min="3847" max="3847" width="13.28515625" style="37" bestFit="1" customWidth="1"/>
    <col min="3848" max="3848" width="15.140625" style="37" customWidth="1"/>
    <col min="3849" max="3849" width="14.7109375" style="37" customWidth="1"/>
    <col min="3850" max="3850" width="13.42578125" style="37" customWidth="1"/>
    <col min="3851" max="3851" width="12.85546875" style="37" bestFit="1" customWidth="1"/>
    <col min="3852" max="3852" width="9.28515625" style="37" bestFit="1" customWidth="1"/>
    <col min="3853" max="3853" width="11.85546875" style="37" bestFit="1" customWidth="1"/>
    <col min="3854" max="3854" width="2.7109375" style="37" bestFit="1" customWidth="1"/>
    <col min="3855" max="3855" width="40.7109375" style="37" bestFit="1" customWidth="1"/>
    <col min="3856" max="3856" width="12.5703125" style="37" customWidth="1"/>
    <col min="3857" max="3857" width="7" style="37" bestFit="1" customWidth="1"/>
    <col min="3858" max="3858" width="11.7109375" style="37" bestFit="1" customWidth="1"/>
    <col min="3859" max="3859" width="12.85546875" style="37" bestFit="1" customWidth="1"/>
    <col min="3860" max="3860" width="11.5703125" style="37" bestFit="1" customWidth="1"/>
    <col min="3861" max="3861" width="12.5703125" style="37" bestFit="1" customWidth="1"/>
    <col min="3862" max="4096" width="9.140625" style="37"/>
    <col min="4097" max="4097" width="2.7109375" style="37" bestFit="1" customWidth="1"/>
    <col min="4098" max="4099" width="9.140625" style="37"/>
    <col min="4100" max="4100" width="10" style="37" customWidth="1"/>
    <col min="4101" max="4101" width="13" style="37" customWidth="1"/>
    <col min="4102" max="4102" width="13.85546875" style="37" customWidth="1"/>
    <col min="4103" max="4103" width="13.28515625" style="37" bestFit="1" customWidth="1"/>
    <col min="4104" max="4104" width="15.140625" style="37" customWidth="1"/>
    <col min="4105" max="4105" width="14.7109375" style="37" customWidth="1"/>
    <col min="4106" max="4106" width="13.42578125" style="37" customWidth="1"/>
    <col min="4107" max="4107" width="12.85546875" style="37" bestFit="1" customWidth="1"/>
    <col min="4108" max="4108" width="9.28515625" style="37" bestFit="1" customWidth="1"/>
    <col min="4109" max="4109" width="11.85546875" style="37" bestFit="1" customWidth="1"/>
    <col min="4110" max="4110" width="2.7109375" style="37" bestFit="1" customWidth="1"/>
    <col min="4111" max="4111" width="40.7109375" style="37" bestFit="1" customWidth="1"/>
    <col min="4112" max="4112" width="12.5703125" style="37" customWidth="1"/>
    <col min="4113" max="4113" width="7" style="37" bestFit="1" customWidth="1"/>
    <col min="4114" max="4114" width="11.7109375" style="37" bestFit="1" customWidth="1"/>
    <col min="4115" max="4115" width="12.85546875" style="37" bestFit="1" customWidth="1"/>
    <col min="4116" max="4116" width="11.5703125" style="37" bestFit="1" customWidth="1"/>
    <col min="4117" max="4117" width="12.5703125" style="37" bestFit="1" customWidth="1"/>
    <col min="4118" max="4352" width="9.140625" style="37"/>
    <col min="4353" max="4353" width="2.7109375" style="37" bestFit="1" customWidth="1"/>
    <col min="4354" max="4355" width="9.140625" style="37"/>
    <col min="4356" max="4356" width="10" style="37" customWidth="1"/>
    <col min="4357" max="4357" width="13" style="37" customWidth="1"/>
    <col min="4358" max="4358" width="13.85546875" style="37" customWidth="1"/>
    <col min="4359" max="4359" width="13.28515625" style="37" bestFit="1" customWidth="1"/>
    <col min="4360" max="4360" width="15.140625" style="37" customWidth="1"/>
    <col min="4361" max="4361" width="14.7109375" style="37" customWidth="1"/>
    <col min="4362" max="4362" width="13.42578125" style="37" customWidth="1"/>
    <col min="4363" max="4363" width="12.85546875" style="37" bestFit="1" customWidth="1"/>
    <col min="4364" max="4364" width="9.28515625" style="37" bestFit="1" customWidth="1"/>
    <col min="4365" max="4365" width="11.85546875" style="37" bestFit="1" customWidth="1"/>
    <col min="4366" max="4366" width="2.7109375" style="37" bestFit="1" customWidth="1"/>
    <col min="4367" max="4367" width="40.7109375" style="37" bestFit="1" customWidth="1"/>
    <col min="4368" max="4368" width="12.5703125" style="37" customWidth="1"/>
    <col min="4369" max="4369" width="7" style="37" bestFit="1" customWidth="1"/>
    <col min="4370" max="4370" width="11.7109375" style="37" bestFit="1" customWidth="1"/>
    <col min="4371" max="4371" width="12.85546875" style="37" bestFit="1" customWidth="1"/>
    <col min="4372" max="4372" width="11.5703125" style="37" bestFit="1" customWidth="1"/>
    <col min="4373" max="4373" width="12.5703125" style="37" bestFit="1" customWidth="1"/>
    <col min="4374" max="4608" width="9.140625" style="37"/>
    <col min="4609" max="4609" width="2.7109375" style="37" bestFit="1" customWidth="1"/>
    <col min="4610" max="4611" width="9.140625" style="37"/>
    <col min="4612" max="4612" width="10" style="37" customWidth="1"/>
    <col min="4613" max="4613" width="13" style="37" customWidth="1"/>
    <col min="4614" max="4614" width="13.85546875" style="37" customWidth="1"/>
    <col min="4615" max="4615" width="13.28515625" style="37" bestFit="1" customWidth="1"/>
    <col min="4616" max="4616" width="15.140625" style="37" customWidth="1"/>
    <col min="4617" max="4617" width="14.7109375" style="37" customWidth="1"/>
    <col min="4618" max="4618" width="13.42578125" style="37" customWidth="1"/>
    <col min="4619" max="4619" width="12.85546875" style="37" bestFit="1" customWidth="1"/>
    <col min="4620" max="4620" width="9.28515625" style="37" bestFit="1" customWidth="1"/>
    <col min="4621" max="4621" width="11.85546875" style="37" bestFit="1" customWidth="1"/>
    <col min="4622" max="4622" width="2.7109375" style="37" bestFit="1" customWidth="1"/>
    <col min="4623" max="4623" width="40.7109375" style="37" bestFit="1" customWidth="1"/>
    <col min="4624" max="4624" width="12.5703125" style="37" customWidth="1"/>
    <col min="4625" max="4625" width="7" style="37" bestFit="1" customWidth="1"/>
    <col min="4626" max="4626" width="11.7109375" style="37" bestFit="1" customWidth="1"/>
    <col min="4627" max="4627" width="12.85546875" style="37" bestFit="1" customWidth="1"/>
    <col min="4628" max="4628" width="11.5703125" style="37" bestFit="1" customWidth="1"/>
    <col min="4629" max="4629" width="12.5703125" style="37" bestFit="1" customWidth="1"/>
    <col min="4630" max="4864" width="9.140625" style="37"/>
    <col min="4865" max="4865" width="2.7109375" style="37" bestFit="1" customWidth="1"/>
    <col min="4866" max="4867" width="9.140625" style="37"/>
    <col min="4868" max="4868" width="10" style="37" customWidth="1"/>
    <col min="4869" max="4869" width="13" style="37" customWidth="1"/>
    <col min="4870" max="4870" width="13.85546875" style="37" customWidth="1"/>
    <col min="4871" max="4871" width="13.28515625" style="37" bestFit="1" customWidth="1"/>
    <col min="4872" max="4872" width="15.140625" style="37" customWidth="1"/>
    <col min="4873" max="4873" width="14.7109375" style="37" customWidth="1"/>
    <col min="4874" max="4874" width="13.42578125" style="37" customWidth="1"/>
    <col min="4875" max="4875" width="12.85546875" style="37" bestFit="1" customWidth="1"/>
    <col min="4876" max="4876" width="9.28515625" style="37" bestFit="1" customWidth="1"/>
    <col min="4877" max="4877" width="11.85546875" style="37" bestFit="1" customWidth="1"/>
    <col min="4878" max="4878" width="2.7109375" style="37" bestFit="1" customWidth="1"/>
    <col min="4879" max="4879" width="40.7109375" style="37" bestFit="1" customWidth="1"/>
    <col min="4880" max="4880" width="12.5703125" style="37" customWidth="1"/>
    <col min="4881" max="4881" width="7" style="37" bestFit="1" customWidth="1"/>
    <col min="4882" max="4882" width="11.7109375" style="37" bestFit="1" customWidth="1"/>
    <col min="4883" max="4883" width="12.85546875" style="37" bestFit="1" customWidth="1"/>
    <col min="4884" max="4884" width="11.5703125" style="37" bestFit="1" customWidth="1"/>
    <col min="4885" max="4885" width="12.5703125" style="37" bestFit="1" customWidth="1"/>
    <col min="4886" max="5120" width="9.140625" style="37"/>
    <col min="5121" max="5121" width="2.7109375" style="37" bestFit="1" customWidth="1"/>
    <col min="5122" max="5123" width="9.140625" style="37"/>
    <col min="5124" max="5124" width="10" style="37" customWidth="1"/>
    <col min="5125" max="5125" width="13" style="37" customWidth="1"/>
    <col min="5126" max="5126" width="13.85546875" style="37" customWidth="1"/>
    <col min="5127" max="5127" width="13.28515625" style="37" bestFit="1" customWidth="1"/>
    <col min="5128" max="5128" width="15.140625" style="37" customWidth="1"/>
    <col min="5129" max="5129" width="14.7109375" style="37" customWidth="1"/>
    <col min="5130" max="5130" width="13.42578125" style="37" customWidth="1"/>
    <col min="5131" max="5131" width="12.85546875" style="37" bestFit="1" customWidth="1"/>
    <col min="5132" max="5132" width="9.28515625" style="37" bestFit="1" customWidth="1"/>
    <col min="5133" max="5133" width="11.85546875" style="37" bestFit="1" customWidth="1"/>
    <col min="5134" max="5134" width="2.7109375" style="37" bestFit="1" customWidth="1"/>
    <col min="5135" max="5135" width="40.7109375" style="37" bestFit="1" customWidth="1"/>
    <col min="5136" max="5136" width="12.5703125" style="37" customWidth="1"/>
    <col min="5137" max="5137" width="7" style="37" bestFit="1" customWidth="1"/>
    <col min="5138" max="5138" width="11.7109375" style="37" bestFit="1" customWidth="1"/>
    <col min="5139" max="5139" width="12.85546875" style="37" bestFit="1" customWidth="1"/>
    <col min="5140" max="5140" width="11.5703125" style="37" bestFit="1" customWidth="1"/>
    <col min="5141" max="5141" width="12.5703125" style="37" bestFit="1" customWidth="1"/>
    <col min="5142" max="5376" width="9.140625" style="37"/>
    <col min="5377" max="5377" width="2.7109375" style="37" bestFit="1" customWidth="1"/>
    <col min="5378" max="5379" width="9.140625" style="37"/>
    <col min="5380" max="5380" width="10" style="37" customWidth="1"/>
    <col min="5381" max="5381" width="13" style="37" customWidth="1"/>
    <col min="5382" max="5382" width="13.85546875" style="37" customWidth="1"/>
    <col min="5383" max="5383" width="13.28515625" style="37" bestFit="1" customWidth="1"/>
    <col min="5384" max="5384" width="15.140625" style="37" customWidth="1"/>
    <col min="5385" max="5385" width="14.7109375" style="37" customWidth="1"/>
    <col min="5386" max="5386" width="13.42578125" style="37" customWidth="1"/>
    <col min="5387" max="5387" width="12.85546875" style="37" bestFit="1" customWidth="1"/>
    <col min="5388" max="5388" width="9.28515625" style="37" bestFit="1" customWidth="1"/>
    <col min="5389" max="5389" width="11.85546875" style="37" bestFit="1" customWidth="1"/>
    <col min="5390" max="5390" width="2.7109375" style="37" bestFit="1" customWidth="1"/>
    <col min="5391" max="5391" width="40.7109375" style="37" bestFit="1" customWidth="1"/>
    <col min="5392" max="5392" width="12.5703125" style="37" customWidth="1"/>
    <col min="5393" max="5393" width="7" style="37" bestFit="1" customWidth="1"/>
    <col min="5394" max="5394" width="11.7109375" style="37" bestFit="1" customWidth="1"/>
    <col min="5395" max="5395" width="12.85546875" style="37" bestFit="1" customWidth="1"/>
    <col min="5396" max="5396" width="11.5703125" style="37" bestFit="1" customWidth="1"/>
    <col min="5397" max="5397" width="12.5703125" style="37" bestFit="1" customWidth="1"/>
    <col min="5398" max="5632" width="9.140625" style="37"/>
    <col min="5633" max="5633" width="2.7109375" style="37" bestFit="1" customWidth="1"/>
    <col min="5634" max="5635" width="9.140625" style="37"/>
    <col min="5636" max="5636" width="10" style="37" customWidth="1"/>
    <col min="5637" max="5637" width="13" style="37" customWidth="1"/>
    <col min="5638" max="5638" width="13.85546875" style="37" customWidth="1"/>
    <col min="5639" max="5639" width="13.28515625" style="37" bestFit="1" customWidth="1"/>
    <col min="5640" max="5640" width="15.140625" style="37" customWidth="1"/>
    <col min="5641" max="5641" width="14.7109375" style="37" customWidth="1"/>
    <col min="5642" max="5642" width="13.42578125" style="37" customWidth="1"/>
    <col min="5643" max="5643" width="12.85546875" style="37" bestFit="1" customWidth="1"/>
    <col min="5644" max="5644" width="9.28515625" style="37" bestFit="1" customWidth="1"/>
    <col min="5645" max="5645" width="11.85546875" style="37" bestFit="1" customWidth="1"/>
    <col min="5646" max="5646" width="2.7109375" style="37" bestFit="1" customWidth="1"/>
    <col min="5647" max="5647" width="40.7109375" style="37" bestFit="1" customWidth="1"/>
    <col min="5648" max="5648" width="12.5703125" style="37" customWidth="1"/>
    <col min="5649" max="5649" width="7" style="37" bestFit="1" customWidth="1"/>
    <col min="5650" max="5650" width="11.7109375" style="37" bestFit="1" customWidth="1"/>
    <col min="5651" max="5651" width="12.85546875" style="37" bestFit="1" customWidth="1"/>
    <col min="5652" max="5652" width="11.5703125" style="37" bestFit="1" customWidth="1"/>
    <col min="5653" max="5653" width="12.5703125" style="37" bestFit="1" customWidth="1"/>
    <col min="5654" max="5888" width="9.140625" style="37"/>
    <col min="5889" max="5889" width="2.7109375" style="37" bestFit="1" customWidth="1"/>
    <col min="5890" max="5891" width="9.140625" style="37"/>
    <col min="5892" max="5892" width="10" style="37" customWidth="1"/>
    <col min="5893" max="5893" width="13" style="37" customWidth="1"/>
    <col min="5894" max="5894" width="13.85546875" style="37" customWidth="1"/>
    <col min="5895" max="5895" width="13.28515625" style="37" bestFit="1" customWidth="1"/>
    <col min="5896" max="5896" width="15.140625" style="37" customWidth="1"/>
    <col min="5897" max="5897" width="14.7109375" style="37" customWidth="1"/>
    <col min="5898" max="5898" width="13.42578125" style="37" customWidth="1"/>
    <col min="5899" max="5899" width="12.85546875" style="37" bestFit="1" customWidth="1"/>
    <col min="5900" max="5900" width="9.28515625" style="37" bestFit="1" customWidth="1"/>
    <col min="5901" max="5901" width="11.85546875" style="37" bestFit="1" customWidth="1"/>
    <col min="5902" max="5902" width="2.7109375" style="37" bestFit="1" customWidth="1"/>
    <col min="5903" max="5903" width="40.7109375" style="37" bestFit="1" customWidth="1"/>
    <col min="5904" max="5904" width="12.5703125" style="37" customWidth="1"/>
    <col min="5905" max="5905" width="7" style="37" bestFit="1" customWidth="1"/>
    <col min="5906" max="5906" width="11.7109375" style="37" bestFit="1" customWidth="1"/>
    <col min="5907" max="5907" width="12.85546875" style="37" bestFit="1" customWidth="1"/>
    <col min="5908" max="5908" width="11.5703125" style="37" bestFit="1" customWidth="1"/>
    <col min="5909" max="5909" width="12.5703125" style="37" bestFit="1" customWidth="1"/>
    <col min="5910" max="6144" width="9.140625" style="37"/>
    <col min="6145" max="6145" width="2.7109375" style="37" bestFit="1" customWidth="1"/>
    <col min="6146" max="6147" width="9.140625" style="37"/>
    <col min="6148" max="6148" width="10" style="37" customWidth="1"/>
    <col min="6149" max="6149" width="13" style="37" customWidth="1"/>
    <col min="6150" max="6150" width="13.85546875" style="37" customWidth="1"/>
    <col min="6151" max="6151" width="13.28515625" style="37" bestFit="1" customWidth="1"/>
    <col min="6152" max="6152" width="15.140625" style="37" customWidth="1"/>
    <col min="6153" max="6153" width="14.7109375" style="37" customWidth="1"/>
    <col min="6154" max="6154" width="13.42578125" style="37" customWidth="1"/>
    <col min="6155" max="6155" width="12.85546875" style="37" bestFit="1" customWidth="1"/>
    <col min="6156" max="6156" width="9.28515625" style="37" bestFit="1" customWidth="1"/>
    <col min="6157" max="6157" width="11.85546875" style="37" bestFit="1" customWidth="1"/>
    <col min="6158" max="6158" width="2.7109375" style="37" bestFit="1" customWidth="1"/>
    <col min="6159" max="6159" width="40.7109375" style="37" bestFit="1" customWidth="1"/>
    <col min="6160" max="6160" width="12.5703125" style="37" customWidth="1"/>
    <col min="6161" max="6161" width="7" style="37" bestFit="1" customWidth="1"/>
    <col min="6162" max="6162" width="11.7109375" style="37" bestFit="1" customWidth="1"/>
    <col min="6163" max="6163" width="12.85546875" style="37" bestFit="1" customWidth="1"/>
    <col min="6164" max="6164" width="11.5703125" style="37" bestFit="1" customWidth="1"/>
    <col min="6165" max="6165" width="12.5703125" style="37" bestFit="1" customWidth="1"/>
    <col min="6166" max="6400" width="9.140625" style="37"/>
    <col min="6401" max="6401" width="2.7109375" style="37" bestFit="1" customWidth="1"/>
    <col min="6402" max="6403" width="9.140625" style="37"/>
    <col min="6404" max="6404" width="10" style="37" customWidth="1"/>
    <col min="6405" max="6405" width="13" style="37" customWidth="1"/>
    <col min="6406" max="6406" width="13.85546875" style="37" customWidth="1"/>
    <col min="6407" max="6407" width="13.28515625" style="37" bestFit="1" customWidth="1"/>
    <col min="6408" max="6408" width="15.140625" style="37" customWidth="1"/>
    <col min="6409" max="6409" width="14.7109375" style="37" customWidth="1"/>
    <col min="6410" max="6410" width="13.42578125" style="37" customWidth="1"/>
    <col min="6411" max="6411" width="12.85546875" style="37" bestFit="1" customWidth="1"/>
    <col min="6412" max="6412" width="9.28515625" style="37" bestFit="1" customWidth="1"/>
    <col min="6413" max="6413" width="11.85546875" style="37" bestFit="1" customWidth="1"/>
    <col min="6414" max="6414" width="2.7109375" style="37" bestFit="1" customWidth="1"/>
    <col min="6415" max="6415" width="40.7109375" style="37" bestFit="1" customWidth="1"/>
    <col min="6416" max="6416" width="12.5703125" style="37" customWidth="1"/>
    <col min="6417" max="6417" width="7" style="37" bestFit="1" customWidth="1"/>
    <col min="6418" max="6418" width="11.7109375" style="37" bestFit="1" customWidth="1"/>
    <col min="6419" max="6419" width="12.85546875" style="37" bestFit="1" customWidth="1"/>
    <col min="6420" max="6420" width="11.5703125" style="37" bestFit="1" customWidth="1"/>
    <col min="6421" max="6421" width="12.5703125" style="37" bestFit="1" customWidth="1"/>
    <col min="6422" max="6656" width="9.140625" style="37"/>
    <col min="6657" max="6657" width="2.7109375" style="37" bestFit="1" customWidth="1"/>
    <col min="6658" max="6659" width="9.140625" style="37"/>
    <col min="6660" max="6660" width="10" style="37" customWidth="1"/>
    <col min="6661" max="6661" width="13" style="37" customWidth="1"/>
    <col min="6662" max="6662" width="13.85546875" style="37" customWidth="1"/>
    <col min="6663" max="6663" width="13.28515625" style="37" bestFit="1" customWidth="1"/>
    <col min="6664" max="6664" width="15.140625" style="37" customWidth="1"/>
    <col min="6665" max="6665" width="14.7109375" style="37" customWidth="1"/>
    <col min="6666" max="6666" width="13.42578125" style="37" customWidth="1"/>
    <col min="6667" max="6667" width="12.85546875" style="37" bestFit="1" customWidth="1"/>
    <col min="6668" max="6668" width="9.28515625" style="37" bestFit="1" customWidth="1"/>
    <col min="6669" max="6669" width="11.85546875" style="37" bestFit="1" customWidth="1"/>
    <col min="6670" max="6670" width="2.7109375" style="37" bestFit="1" customWidth="1"/>
    <col min="6671" max="6671" width="40.7109375" style="37" bestFit="1" customWidth="1"/>
    <col min="6672" max="6672" width="12.5703125" style="37" customWidth="1"/>
    <col min="6673" max="6673" width="7" style="37" bestFit="1" customWidth="1"/>
    <col min="6674" max="6674" width="11.7109375" style="37" bestFit="1" customWidth="1"/>
    <col min="6675" max="6675" width="12.85546875" style="37" bestFit="1" customWidth="1"/>
    <col min="6676" max="6676" width="11.5703125" style="37" bestFit="1" customWidth="1"/>
    <col min="6677" max="6677" width="12.5703125" style="37" bestFit="1" customWidth="1"/>
    <col min="6678" max="6912" width="9.140625" style="37"/>
    <col min="6913" max="6913" width="2.7109375" style="37" bestFit="1" customWidth="1"/>
    <col min="6914" max="6915" width="9.140625" style="37"/>
    <col min="6916" max="6916" width="10" style="37" customWidth="1"/>
    <col min="6917" max="6917" width="13" style="37" customWidth="1"/>
    <col min="6918" max="6918" width="13.85546875" style="37" customWidth="1"/>
    <col min="6919" max="6919" width="13.28515625" style="37" bestFit="1" customWidth="1"/>
    <col min="6920" max="6920" width="15.140625" style="37" customWidth="1"/>
    <col min="6921" max="6921" width="14.7109375" style="37" customWidth="1"/>
    <col min="6922" max="6922" width="13.42578125" style="37" customWidth="1"/>
    <col min="6923" max="6923" width="12.85546875" style="37" bestFit="1" customWidth="1"/>
    <col min="6924" max="6924" width="9.28515625" style="37" bestFit="1" customWidth="1"/>
    <col min="6925" max="6925" width="11.85546875" style="37" bestFit="1" customWidth="1"/>
    <col min="6926" max="6926" width="2.7109375" style="37" bestFit="1" customWidth="1"/>
    <col min="6927" max="6927" width="40.7109375" style="37" bestFit="1" customWidth="1"/>
    <col min="6928" max="6928" width="12.5703125" style="37" customWidth="1"/>
    <col min="6929" max="6929" width="7" style="37" bestFit="1" customWidth="1"/>
    <col min="6930" max="6930" width="11.7109375" style="37" bestFit="1" customWidth="1"/>
    <col min="6931" max="6931" width="12.85546875" style="37" bestFit="1" customWidth="1"/>
    <col min="6932" max="6932" width="11.5703125" style="37" bestFit="1" customWidth="1"/>
    <col min="6933" max="6933" width="12.5703125" style="37" bestFit="1" customWidth="1"/>
    <col min="6934" max="7168" width="9.140625" style="37"/>
    <col min="7169" max="7169" width="2.7109375" style="37" bestFit="1" customWidth="1"/>
    <col min="7170" max="7171" width="9.140625" style="37"/>
    <col min="7172" max="7172" width="10" style="37" customWidth="1"/>
    <col min="7173" max="7173" width="13" style="37" customWidth="1"/>
    <col min="7174" max="7174" width="13.85546875" style="37" customWidth="1"/>
    <col min="7175" max="7175" width="13.28515625" style="37" bestFit="1" customWidth="1"/>
    <col min="7176" max="7176" width="15.140625" style="37" customWidth="1"/>
    <col min="7177" max="7177" width="14.7109375" style="37" customWidth="1"/>
    <col min="7178" max="7178" width="13.42578125" style="37" customWidth="1"/>
    <col min="7179" max="7179" width="12.85546875" style="37" bestFit="1" customWidth="1"/>
    <col min="7180" max="7180" width="9.28515625" style="37" bestFit="1" customWidth="1"/>
    <col min="7181" max="7181" width="11.85546875" style="37" bestFit="1" customWidth="1"/>
    <col min="7182" max="7182" width="2.7109375" style="37" bestFit="1" customWidth="1"/>
    <col min="7183" max="7183" width="40.7109375" style="37" bestFit="1" customWidth="1"/>
    <col min="7184" max="7184" width="12.5703125" style="37" customWidth="1"/>
    <col min="7185" max="7185" width="7" style="37" bestFit="1" customWidth="1"/>
    <col min="7186" max="7186" width="11.7109375" style="37" bestFit="1" customWidth="1"/>
    <col min="7187" max="7187" width="12.85546875" style="37" bestFit="1" customWidth="1"/>
    <col min="7188" max="7188" width="11.5703125" style="37" bestFit="1" customWidth="1"/>
    <col min="7189" max="7189" width="12.5703125" style="37" bestFit="1" customWidth="1"/>
    <col min="7190" max="7424" width="9.140625" style="37"/>
    <col min="7425" max="7425" width="2.7109375" style="37" bestFit="1" customWidth="1"/>
    <col min="7426" max="7427" width="9.140625" style="37"/>
    <col min="7428" max="7428" width="10" style="37" customWidth="1"/>
    <col min="7429" max="7429" width="13" style="37" customWidth="1"/>
    <col min="7430" max="7430" width="13.85546875" style="37" customWidth="1"/>
    <col min="7431" max="7431" width="13.28515625" style="37" bestFit="1" customWidth="1"/>
    <col min="7432" max="7432" width="15.140625" style="37" customWidth="1"/>
    <col min="7433" max="7433" width="14.7109375" style="37" customWidth="1"/>
    <col min="7434" max="7434" width="13.42578125" style="37" customWidth="1"/>
    <col min="7435" max="7435" width="12.85546875" style="37" bestFit="1" customWidth="1"/>
    <col min="7436" max="7436" width="9.28515625" style="37" bestFit="1" customWidth="1"/>
    <col min="7437" max="7437" width="11.85546875" style="37" bestFit="1" customWidth="1"/>
    <col min="7438" max="7438" width="2.7109375" style="37" bestFit="1" customWidth="1"/>
    <col min="7439" max="7439" width="40.7109375" style="37" bestFit="1" customWidth="1"/>
    <col min="7440" max="7440" width="12.5703125" style="37" customWidth="1"/>
    <col min="7441" max="7441" width="7" style="37" bestFit="1" customWidth="1"/>
    <col min="7442" max="7442" width="11.7109375" style="37" bestFit="1" customWidth="1"/>
    <col min="7443" max="7443" width="12.85546875" style="37" bestFit="1" customWidth="1"/>
    <col min="7444" max="7444" width="11.5703125" style="37" bestFit="1" customWidth="1"/>
    <col min="7445" max="7445" width="12.5703125" style="37" bestFit="1" customWidth="1"/>
    <col min="7446" max="7680" width="9.140625" style="37"/>
    <col min="7681" max="7681" width="2.7109375" style="37" bestFit="1" customWidth="1"/>
    <col min="7682" max="7683" width="9.140625" style="37"/>
    <col min="7684" max="7684" width="10" style="37" customWidth="1"/>
    <col min="7685" max="7685" width="13" style="37" customWidth="1"/>
    <col min="7686" max="7686" width="13.85546875" style="37" customWidth="1"/>
    <col min="7687" max="7687" width="13.28515625" style="37" bestFit="1" customWidth="1"/>
    <col min="7688" max="7688" width="15.140625" style="37" customWidth="1"/>
    <col min="7689" max="7689" width="14.7109375" style="37" customWidth="1"/>
    <col min="7690" max="7690" width="13.42578125" style="37" customWidth="1"/>
    <col min="7691" max="7691" width="12.85546875" style="37" bestFit="1" customWidth="1"/>
    <col min="7692" max="7692" width="9.28515625" style="37" bestFit="1" customWidth="1"/>
    <col min="7693" max="7693" width="11.85546875" style="37" bestFit="1" customWidth="1"/>
    <col min="7694" max="7694" width="2.7109375" style="37" bestFit="1" customWidth="1"/>
    <col min="7695" max="7695" width="40.7109375" style="37" bestFit="1" customWidth="1"/>
    <col min="7696" max="7696" width="12.5703125" style="37" customWidth="1"/>
    <col min="7697" max="7697" width="7" style="37" bestFit="1" customWidth="1"/>
    <col min="7698" max="7698" width="11.7109375" style="37" bestFit="1" customWidth="1"/>
    <col min="7699" max="7699" width="12.85546875" style="37" bestFit="1" customWidth="1"/>
    <col min="7700" max="7700" width="11.5703125" style="37" bestFit="1" customWidth="1"/>
    <col min="7701" max="7701" width="12.5703125" style="37" bestFit="1" customWidth="1"/>
    <col min="7702" max="7936" width="9.140625" style="37"/>
    <col min="7937" max="7937" width="2.7109375" style="37" bestFit="1" customWidth="1"/>
    <col min="7938" max="7939" width="9.140625" style="37"/>
    <col min="7940" max="7940" width="10" style="37" customWidth="1"/>
    <col min="7941" max="7941" width="13" style="37" customWidth="1"/>
    <col min="7942" max="7942" width="13.85546875" style="37" customWidth="1"/>
    <col min="7943" max="7943" width="13.28515625" style="37" bestFit="1" customWidth="1"/>
    <col min="7944" max="7944" width="15.140625" style="37" customWidth="1"/>
    <col min="7945" max="7945" width="14.7109375" style="37" customWidth="1"/>
    <col min="7946" max="7946" width="13.42578125" style="37" customWidth="1"/>
    <col min="7947" max="7947" width="12.85546875" style="37" bestFit="1" customWidth="1"/>
    <col min="7948" max="7948" width="9.28515625" style="37" bestFit="1" customWidth="1"/>
    <col min="7949" max="7949" width="11.85546875" style="37" bestFit="1" customWidth="1"/>
    <col min="7950" max="7950" width="2.7109375" style="37" bestFit="1" customWidth="1"/>
    <col min="7951" max="7951" width="40.7109375" style="37" bestFit="1" customWidth="1"/>
    <col min="7952" max="7952" width="12.5703125" style="37" customWidth="1"/>
    <col min="7953" max="7953" width="7" style="37" bestFit="1" customWidth="1"/>
    <col min="7954" max="7954" width="11.7109375" style="37" bestFit="1" customWidth="1"/>
    <col min="7955" max="7955" width="12.85546875" style="37" bestFit="1" customWidth="1"/>
    <col min="7956" max="7956" width="11.5703125" style="37" bestFit="1" customWidth="1"/>
    <col min="7957" max="7957" width="12.5703125" style="37" bestFit="1" customWidth="1"/>
    <col min="7958" max="8192" width="9.140625" style="37"/>
    <col min="8193" max="8193" width="2.7109375" style="37" bestFit="1" customWidth="1"/>
    <col min="8194" max="8195" width="9.140625" style="37"/>
    <col min="8196" max="8196" width="10" style="37" customWidth="1"/>
    <col min="8197" max="8197" width="13" style="37" customWidth="1"/>
    <col min="8198" max="8198" width="13.85546875" style="37" customWidth="1"/>
    <col min="8199" max="8199" width="13.28515625" style="37" bestFit="1" customWidth="1"/>
    <col min="8200" max="8200" width="15.140625" style="37" customWidth="1"/>
    <col min="8201" max="8201" width="14.7109375" style="37" customWidth="1"/>
    <col min="8202" max="8202" width="13.42578125" style="37" customWidth="1"/>
    <col min="8203" max="8203" width="12.85546875" style="37" bestFit="1" customWidth="1"/>
    <col min="8204" max="8204" width="9.28515625" style="37" bestFit="1" customWidth="1"/>
    <col min="8205" max="8205" width="11.85546875" style="37" bestFit="1" customWidth="1"/>
    <col min="8206" max="8206" width="2.7109375" style="37" bestFit="1" customWidth="1"/>
    <col min="8207" max="8207" width="40.7109375" style="37" bestFit="1" customWidth="1"/>
    <col min="8208" max="8208" width="12.5703125" style="37" customWidth="1"/>
    <col min="8209" max="8209" width="7" style="37" bestFit="1" customWidth="1"/>
    <col min="8210" max="8210" width="11.7109375" style="37" bestFit="1" customWidth="1"/>
    <col min="8211" max="8211" width="12.85546875" style="37" bestFit="1" customWidth="1"/>
    <col min="8212" max="8212" width="11.5703125" style="37" bestFit="1" customWidth="1"/>
    <col min="8213" max="8213" width="12.5703125" style="37" bestFit="1" customWidth="1"/>
    <col min="8214" max="8448" width="9.140625" style="37"/>
    <col min="8449" max="8449" width="2.7109375" style="37" bestFit="1" customWidth="1"/>
    <col min="8450" max="8451" width="9.140625" style="37"/>
    <col min="8452" max="8452" width="10" style="37" customWidth="1"/>
    <col min="8453" max="8453" width="13" style="37" customWidth="1"/>
    <col min="8454" max="8454" width="13.85546875" style="37" customWidth="1"/>
    <col min="8455" max="8455" width="13.28515625" style="37" bestFit="1" customWidth="1"/>
    <col min="8456" max="8456" width="15.140625" style="37" customWidth="1"/>
    <col min="8457" max="8457" width="14.7109375" style="37" customWidth="1"/>
    <col min="8458" max="8458" width="13.42578125" style="37" customWidth="1"/>
    <col min="8459" max="8459" width="12.85546875" style="37" bestFit="1" customWidth="1"/>
    <col min="8460" max="8460" width="9.28515625" style="37" bestFit="1" customWidth="1"/>
    <col min="8461" max="8461" width="11.85546875" style="37" bestFit="1" customWidth="1"/>
    <col min="8462" max="8462" width="2.7109375" style="37" bestFit="1" customWidth="1"/>
    <col min="8463" max="8463" width="40.7109375" style="37" bestFit="1" customWidth="1"/>
    <col min="8464" max="8464" width="12.5703125" style="37" customWidth="1"/>
    <col min="8465" max="8465" width="7" style="37" bestFit="1" customWidth="1"/>
    <col min="8466" max="8466" width="11.7109375" style="37" bestFit="1" customWidth="1"/>
    <col min="8467" max="8467" width="12.85546875" style="37" bestFit="1" customWidth="1"/>
    <col min="8468" max="8468" width="11.5703125" style="37" bestFit="1" customWidth="1"/>
    <col min="8469" max="8469" width="12.5703125" style="37" bestFit="1" customWidth="1"/>
    <col min="8470" max="8704" width="9.140625" style="37"/>
    <col min="8705" max="8705" width="2.7109375" style="37" bestFit="1" customWidth="1"/>
    <col min="8706" max="8707" width="9.140625" style="37"/>
    <col min="8708" max="8708" width="10" style="37" customWidth="1"/>
    <col min="8709" max="8709" width="13" style="37" customWidth="1"/>
    <col min="8710" max="8710" width="13.85546875" style="37" customWidth="1"/>
    <col min="8711" max="8711" width="13.28515625" style="37" bestFit="1" customWidth="1"/>
    <col min="8712" max="8712" width="15.140625" style="37" customWidth="1"/>
    <col min="8713" max="8713" width="14.7109375" style="37" customWidth="1"/>
    <col min="8714" max="8714" width="13.42578125" style="37" customWidth="1"/>
    <col min="8715" max="8715" width="12.85546875" style="37" bestFit="1" customWidth="1"/>
    <col min="8716" max="8716" width="9.28515625" style="37" bestFit="1" customWidth="1"/>
    <col min="8717" max="8717" width="11.85546875" style="37" bestFit="1" customWidth="1"/>
    <col min="8718" max="8718" width="2.7109375" style="37" bestFit="1" customWidth="1"/>
    <col min="8719" max="8719" width="40.7109375" style="37" bestFit="1" customWidth="1"/>
    <col min="8720" max="8720" width="12.5703125" style="37" customWidth="1"/>
    <col min="8721" max="8721" width="7" style="37" bestFit="1" customWidth="1"/>
    <col min="8722" max="8722" width="11.7109375" style="37" bestFit="1" customWidth="1"/>
    <col min="8723" max="8723" width="12.85546875" style="37" bestFit="1" customWidth="1"/>
    <col min="8724" max="8724" width="11.5703125" style="37" bestFit="1" customWidth="1"/>
    <col min="8725" max="8725" width="12.5703125" style="37" bestFit="1" customWidth="1"/>
    <col min="8726" max="8960" width="9.140625" style="37"/>
    <col min="8961" max="8961" width="2.7109375" style="37" bestFit="1" customWidth="1"/>
    <col min="8962" max="8963" width="9.140625" style="37"/>
    <col min="8964" max="8964" width="10" style="37" customWidth="1"/>
    <col min="8965" max="8965" width="13" style="37" customWidth="1"/>
    <col min="8966" max="8966" width="13.85546875" style="37" customWidth="1"/>
    <col min="8967" max="8967" width="13.28515625" style="37" bestFit="1" customWidth="1"/>
    <col min="8968" max="8968" width="15.140625" style="37" customWidth="1"/>
    <col min="8969" max="8969" width="14.7109375" style="37" customWidth="1"/>
    <col min="8970" max="8970" width="13.42578125" style="37" customWidth="1"/>
    <col min="8971" max="8971" width="12.85546875" style="37" bestFit="1" customWidth="1"/>
    <col min="8972" max="8972" width="9.28515625" style="37" bestFit="1" customWidth="1"/>
    <col min="8973" max="8973" width="11.85546875" style="37" bestFit="1" customWidth="1"/>
    <col min="8974" max="8974" width="2.7109375" style="37" bestFit="1" customWidth="1"/>
    <col min="8975" max="8975" width="40.7109375" style="37" bestFit="1" customWidth="1"/>
    <col min="8976" max="8976" width="12.5703125" style="37" customWidth="1"/>
    <col min="8977" max="8977" width="7" style="37" bestFit="1" customWidth="1"/>
    <col min="8978" max="8978" width="11.7109375" style="37" bestFit="1" customWidth="1"/>
    <col min="8979" max="8979" width="12.85546875" style="37" bestFit="1" customWidth="1"/>
    <col min="8980" max="8980" width="11.5703125" style="37" bestFit="1" customWidth="1"/>
    <col min="8981" max="8981" width="12.5703125" style="37" bestFit="1" customWidth="1"/>
    <col min="8982" max="9216" width="9.140625" style="37"/>
    <col min="9217" max="9217" width="2.7109375" style="37" bestFit="1" customWidth="1"/>
    <col min="9218" max="9219" width="9.140625" style="37"/>
    <col min="9220" max="9220" width="10" style="37" customWidth="1"/>
    <col min="9221" max="9221" width="13" style="37" customWidth="1"/>
    <col min="9222" max="9222" width="13.85546875" style="37" customWidth="1"/>
    <col min="9223" max="9223" width="13.28515625" style="37" bestFit="1" customWidth="1"/>
    <col min="9224" max="9224" width="15.140625" style="37" customWidth="1"/>
    <col min="9225" max="9225" width="14.7109375" style="37" customWidth="1"/>
    <col min="9226" max="9226" width="13.42578125" style="37" customWidth="1"/>
    <col min="9227" max="9227" width="12.85546875" style="37" bestFit="1" customWidth="1"/>
    <col min="9228" max="9228" width="9.28515625" style="37" bestFit="1" customWidth="1"/>
    <col min="9229" max="9229" width="11.85546875" style="37" bestFit="1" customWidth="1"/>
    <col min="9230" max="9230" width="2.7109375" style="37" bestFit="1" customWidth="1"/>
    <col min="9231" max="9231" width="40.7109375" style="37" bestFit="1" customWidth="1"/>
    <col min="9232" max="9232" width="12.5703125" style="37" customWidth="1"/>
    <col min="9233" max="9233" width="7" style="37" bestFit="1" customWidth="1"/>
    <col min="9234" max="9234" width="11.7109375" style="37" bestFit="1" customWidth="1"/>
    <col min="9235" max="9235" width="12.85546875" style="37" bestFit="1" customWidth="1"/>
    <col min="9236" max="9236" width="11.5703125" style="37" bestFit="1" customWidth="1"/>
    <col min="9237" max="9237" width="12.5703125" style="37" bestFit="1" customWidth="1"/>
    <col min="9238" max="9472" width="9.140625" style="37"/>
    <col min="9473" max="9473" width="2.7109375" style="37" bestFit="1" customWidth="1"/>
    <col min="9474" max="9475" width="9.140625" style="37"/>
    <col min="9476" max="9476" width="10" style="37" customWidth="1"/>
    <col min="9477" max="9477" width="13" style="37" customWidth="1"/>
    <col min="9478" max="9478" width="13.85546875" style="37" customWidth="1"/>
    <col min="9479" max="9479" width="13.28515625" style="37" bestFit="1" customWidth="1"/>
    <col min="9480" max="9480" width="15.140625" style="37" customWidth="1"/>
    <col min="9481" max="9481" width="14.7109375" style="37" customWidth="1"/>
    <col min="9482" max="9482" width="13.42578125" style="37" customWidth="1"/>
    <col min="9483" max="9483" width="12.85546875" style="37" bestFit="1" customWidth="1"/>
    <col min="9484" max="9484" width="9.28515625" style="37" bestFit="1" customWidth="1"/>
    <col min="9485" max="9485" width="11.85546875" style="37" bestFit="1" customWidth="1"/>
    <col min="9486" max="9486" width="2.7109375" style="37" bestFit="1" customWidth="1"/>
    <col min="9487" max="9487" width="40.7109375" style="37" bestFit="1" customWidth="1"/>
    <col min="9488" max="9488" width="12.5703125" style="37" customWidth="1"/>
    <col min="9489" max="9489" width="7" style="37" bestFit="1" customWidth="1"/>
    <col min="9490" max="9490" width="11.7109375" style="37" bestFit="1" customWidth="1"/>
    <col min="9491" max="9491" width="12.85546875" style="37" bestFit="1" customWidth="1"/>
    <col min="9492" max="9492" width="11.5703125" style="37" bestFit="1" customWidth="1"/>
    <col min="9493" max="9493" width="12.5703125" style="37" bestFit="1" customWidth="1"/>
    <col min="9494" max="9728" width="9.140625" style="37"/>
    <col min="9729" max="9729" width="2.7109375" style="37" bestFit="1" customWidth="1"/>
    <col min="9730" max="9731" width="9.140625" style="37"/>
    <col min="9732" max="9732" width="10" style="37" customWidth="1"/>
    <col min="9733" max="9733" width="13" style="37" customWidth="1"/>
    <col min="9734" max="9734" width="13.85546875" style="37" customWidth="1"/>
    <col min="9735" max="9735" width="13.28515625" style="37" bestFit="1" customWidth="1"/>
    <col min="9736" max="9736" width="15.140625" style="37" customWidth="1"/>
    <col min="9737" max="9737" width="14.7109375" style="37" customWidth="1"/>
    <col min="9738" max="9738" width="13.42578125" style="37" customWidth="1"/>
    <col min="9739" max="9739" width="12.85546875" style="37" bestFit="1" customWidth="1"/>
    <col min="9740" max="9740" width="9.28515625" style="37" bestFit="1" customWidth="1"/>
    <col min="9741" max="9741" width="11.85546875" style="37" bestFit="1" customWidth="1"/>
    <col min="9742" max="9742" width="2.7109375" style="37" bestFit="1" customWidth="1"/>
    <col min="9743" max="9743" width="40.7109375" style="37" bestFit="1" customWidth="1"/>
    <col min="9744" max="9744" width="12.5703125" style="37" customWidth="1"/>
    <col min="9745" max="9745" width="7" style="37" bestFit="1" customWidth="1"/>
    <col min="9746" max="9746" width="11.7109375" style="37" bestFit="1" customWidth="1"/>
    <col min="9747" max="9747" width="12.85546875" style="37" bestFit="1" customWidth="1"/>
    <col min="9748" max="9748" width="11.5703125" style="37" bestFit="1" customWidth="1"/>
    <col min="9749" max="9749" width="12.5703125" style="37" bestFit="1" customWidth="1"/>
    <col min="9750" max="9984" width="9.140625" style="37"/>
    <col min="9985" max="9985" width="2.7109375" style="37" bestFit="1" customWidth="1"/>
    <col min="9986" max="9987" width="9.140625" style="37"/>
    <col min="9988" max="9988" width="10" style="37" customWidth="1"/>
    <col min="9989" max="9989" width="13" style="37" customWidth="1"/>
    <col min="9990" max="9990" width="13.85546875" style="37" customWidth="1"/>
    <col min="9991" max="9991" width="13.28515625" style="37" bestFit="1" customWidth="1"/>
    <col min="9992" max="9992" width="15.140625" style="37" customWidth="1"/>
    <col min="9993" max="9993" width="14.7109375" style="37" customWidth="1"/>
    <col min="9994" max="9994" width="13.42578125" style="37" customWidth="1"/>
    <col min="9995" max="9995" width="12.85546875" style="37" bestFit="1" customWidth="1"/>
    <col min="9996" max="9996" width="9.28515625" style="37" bestFit="1" customWidth="1"/>
    <col min="9997" max="9997" width="11.85546875" style="37" bestFit="1" customWidth="1"/>
    <col min="9998" max="9998" width="2.7109375" style="37" bestFit="1" customWidth="1"/>
    <col min="9999" max="9999" width="40.7109375" style="37" bestFit="1" customWidth="1"/>
    <col min="10000" max="10000" width="12.5703125" style="37" customWidth="1"/>
    <col min="10001" max="10001" width="7" style="37" bestFit="1" customWidth="1"/>
    <col min="10002" max="10002" width="11.7109375" style="37" bestFit="1" customWidth="1"/>
    <col min="10003" max="10003" width="12.85546875" style="37" bestFit="1" customWidth="1"/>
    <col min="10004" max="10004" width="11.5703125" style="37" bestFit="1" customWidth="1"/>
    <col min="10005" max="10005" width="12.5703125" style="37" bestFit="1" customWidth="1"/>
    <col min="10006" max="10240" width="9.140625" style="37"/>
    <col min="10241" max="10241" width="2.7109375" style="37" bestFit="1" customWidth="1"/>
    <col min="10242" max="10243" width="9.140625" style="37"/>
    <col min="10244" max="10244" width="10" style="37" customWidth="1"/>
    <col min="10245" max="10245" width="13" style="37" customWidth="1"/>
    <col min="10246" max="10246" width="13.85546875" style="37" customWidth="1"/>
    <col min="10247" max="10247" width="13.28515625" style="37" bestFit="1" customWidth="1"/>
    <col min="10248" max="10248" width="15.140625" style="37" customWidth="1"/>
    <col min="10249" max="10249" width="14.7109375" style="37" customWidth="1"/>
    <col min="10250" max="10250" width="13.42578125" style="37" customWidth="1"/>
    <col min="10251" max="10251" width="12.85546875" style="37" bestFit="1" customWidth="1"/>
    <col min="10252" max="10252" width="9.28515625" style="37" bestFit="1" customWidth="1"/>
    <col min="10253" max="10253" width="11.85546875" style="37" bestFit="1" customWidth="1"/>
    <col min="10254" max="10254" width="2.7109375" style="37" bestFit="1" customWidth="1"/>
    <col min="10255" max="10255" width="40.7109375" style="37" bestFit="1" customWidth="1"/>
    <col min="10256" max="10256" width="12.5703125" style="37" customWidth="1"/>
    <col min="10257" max="10257" width="7" style="37" bestFit="1" customWidth="1"/>
    <col min="10258" max="10258" width="11.7109375" style="37" bestFit="1" customWidth="1"/>
    <col min="10259" max="10259" width="12.85546875" style="37" bestFit="1" customWidth="1"/>
    <col min="10260" max="10260" width="11.5703125" style="37" bestFit="1" customWidth="1"/>
    <col min="10261" max="10261" width="12.5703125" style="37" bestFit="1" customWidth="1"/>
    <col min="10262" max="10496" width="9.140625" style="37"/>
    <col min="10497" max="10497" width="2.7109375" style="37" bestFit="1" customWidth="1"/>
    <col min="10498" max="10499" width="9.140625" style="37"/>
    <col min="10500" max="10500" width="10" style="37" customWidth="1"/>
    <col min="10501" max="10501" width="13" style="37" customWidth="1"/>
    <col min="10502" max="10502" width="13.85546875" style="37" customWidth="1"/>
    <col min="10503" max="10503" width="13.28515625" style="37" bestFit="1" customWidth="1"/>
    <col min="10504" max="10504" width="15.140625" style="37" customWidth="1"/>
    <col min="10505" max="10505" width="14.7109375" style="37" customWidth="1"/>
    <col min="10506" max="10506" width="13.42578125" style="37" customWidth="1"/>
    <col min="10507" max="10507" width="12.85546875" style="37" bestFit="1" customWidth="1"/>
    <col min="10508" max="10508" width="9.28515625" style="37" bestFit="1" customWidth="1"/>
    <col min="10509" max="10509" width="11.85546875" style="37" bestFit="1" customWidth="1"/>
    <col min="10510" max="10510" width="2.7109375" style="37" bestFit="1" customWidth="1"/>
    <col min="10511" max="10511" width="40.7109375" style="37" bestFit="1" customWidth="1"/>
    <col min="10512" max="10512" width="12.5703125" style="37" customWidth="1"/>
    <col min="10513" max="10513" width="7" style="37" bestFit="1" customWidth="1"/>
    <col min="10514" max="10514" width="11.7109375" style="37" bestFit="1" customWidth="1"/>
    <col min="10515" max="10515" width="12.85546875" style="37" bestFit="1" customWidth="1"/>
    <col min="10516" max="10516" width="11.5703125" style="37" bestFit="1" customWidth="1"/>
    <col min="10517" max="10517" width="12.5703125" style="37" bestFit="1" customWidth="1"/>
    <col min="10518" max="10752" width="9.140625" style="37"/>
    <col min="10753" max="10753" width="2.7109375" style="37" bestFit="1" customWidth="1"/>
    <col min="10754" max="10755" width="9.140625" style="37"/>
    <col min="10756" max="10756" width="10" style="37" customWidth="1"/>
    <col min="10757" max="10757" width="13" style="37" customWidth="1"/>
    <col min="10758" max="10758" width="13.85546875" style="37" customWidth="1"/>
    <col min="10759" max="10759" width="13.28515625" style="37" bestFit="1" customWidth="1"/>
    <col min="10760" max="10760" width="15.140625" style="37" customWidth="1"/>
    <col min="10761" max="10761" width="14.7109375" style="37" customWidth="1"/>
    <col min="10762" max="10762" width="13.42578125" style="37" customWidth="1"/>
    <col min="10763" max="10763" width="12.85546875" style="37" bestFit="1" customWidth="1"/>
    <col min="10764" max="10764" width="9.28515625" style="37" bestFit="1" customWidth="1"/>
    <col min="10765" max="10765" width="11.85546875" style="37" bestFit="1" customWidth="1"/>
    <col min="10766" max="10766" width="2.7109375" style="37" bestFit="1" customWidth="1"/>
    <col min="10767" max="10767" width="40.7109375" style="37" bestFit="1" customWidth="1"/>
    <col min="10768" max="10768" width="12.5703125" style="37" customWidth="1"/>
    <col min="10769" max="10769" width="7" style="37" bestFit="1" customWidth="1"/>
    <col min="10770" max="10770" width="11.7109375" style="37" bestFit="1" customWidth="1"/>
    <col min="10771" max="10771" width="12.85546875" style="37" bestFit="1" customWidth="1"/>
    <col min="10772" max="10772" width="11.5703125" style="37" bestFit="1" customWidth="1"/>
    <col min="10773" max="10773" width="12.5703125" style="37" bestFit="1" customWidth="1"/>
    <col min="10774" max="11008" width="9.140625" style="37"/>
    <col min="11009" max="11009" width="2.7109375" style="37" bestFit="1" customWidth="1"/>
    <col min="11010" max="11011" width="9.140625" style="37"/>
    <col min="11012" max="11012" width="10" style="37" customWidth="1"/>
    <col min="11013" max="11013" width="13" style="37" customWidth="1"/>
    <col min="11014" max="11014" width="13.85546875" style="37" customWidth="1"/>
    <col min="11015" max="11015" width="13.28515625" style="37" bestFit="1" customWidth="1"/>
    <col min="11016" max="11016" width="15.140625" style="37" customWidth="1"/>
    <col min="11017" max="11017" width="14.7109375" style="37" customWidth="1"/>
    <col min="11018" max="11018" width="13.42578125" style="37" customWidth="1"/>
    <col min="11019" max="11019" width="12.85546875" style="37" bestFit="1" customWidth="1"/>
    <col min="11020" max="11020" width="9.28515625" style="37" bestFit="1" customWidth="1"/>
    <col min="11021" max="11021" width="11.85546875" style="37" bestFit="1" customWidth="1"/>
    <col min="11022" max="11022" width="2.7109375" style="37" bestFit="1" customWidth="1"/>
    <col min="11023" max="11023" width="40.7109375" style="37" bestFit="1" customWidth="1"/>
    <col min="11024" max="11024" width="12.5703125" style="37" customWidth="1"/>
    <col min="11025" max="11025" width="7" style="37" bestFit="1" customWidth="1"/>
    <col min="11026" max="11026" width="11.7109375" style="37" bestFit="1" customWidth="1"/>
    <col min="11027" max="11027" width="12.85546875" style="37" bestFit="1" customWidth="1"/>
    <col min="11028" max="11028" width="11.5703125" style="37" bestFit="1" customWidth="1"/>
    <col min="11029" max="11029" width="12.5703125" style="37" bestFit="1" customWidth="1"/>
    <col min="11030" max="11264" width="9.140625" style="37"/>
    <col min="11265" max="11265" width="2.7109375" style="37" bestFit="1" customWidth="1"/>
    <col min="11266" max="11267" width="9.140625" style="37"/>
    <col min="11268" max="11268" width="10" style="37" customWidth="1"/>
    <col min="11269" max="11269" width="13" style="37" customWidth="1"/>
    <col min="11270" max="11270" width="13.85546875" style="37" customWidth="1"/>
    <col min="11271" max="11271" width="13.28515625" style="37" bestFit="1" customWidth="1"/>
    <col min="11272" max="11272" width="15.140625" style="37" customWidth="1"/>
    <col min="11273" max="11273" width="14.7109375" style="37" customWidth="1"/>
    <col min="11274" max="11274" width="13.42578125" style="37" customWidth="1"/>
    <col min="11275" max="11275" width="12.85546875" style="37" bestFit="1" customWidth="1"/>
    <col min="11276" max="11276" width="9.28515625" style="37" bestFit="1" customWidth="1"/>
    <col min="11277" max="11277" width="11.85546875" style="37" bestFit="1" customWidth="1"/>
    <col min="11278" max="11278" width="2.7109375" style="37" bestFit="1" customWidth="1"/>
    <col min="11279" max="11279" width="40.7109375" style="37" bestFit="1" customWidth="1"/>
    <col min="11280" max="11280" width="12.5703125" style="37" customWidth="1"/>
    <col min="11281" max="11281" width="7" style="37" bestFit="1" customWidth="1"/>
    <col min="11282" max="11282" width="11.7109375" style="37" bestFit="1" customWidth="1"/>
    <col min="11283" max="11283" width="12.85546875" style="37" bestFit="1" customWidth="1"/>
    <col min="11284" max="11284" width="11.5703125" style="37" bestFit="1" customWidth="1"/>
    <col min="11285" max="11285" width="12.5703125" style="37" bestFit="1" customWidth="1"/>
    <col min="11286" max="11520" width="9.140625" style="37"/>
    <col min="11521" max="11521" width="2.7109375" style="37" bestFit="1" customWidth="1"/>
    <col min="11522" max="11523" width="9.140625" style="37"/>
    <col min="11524" max="11524" width="10" style="37" customWidth="1"/>
    <col min="11525" max="11525" width="13" style="37" customWidth="1"/>
    <col min="11526" max="11526" width="13.85546875" style="37" customWidth="1"/>
    <col min="11527" max="11527" width="13.28515625" style="37" bestFit="1" customWidth="1"/>
    <col min="11528" max="11528" width="15.140625" style="37" customWidth="1"/>
    <col min="11529" max="11529" width="14.7109375" style="37" customWidth="1"/>
    <col min="11530" max="11530" width="13.42578125" style="37" customWidth="1"/>
    <col min="11531" max="11531" width="12.85546875" style="37" bestFit="1" customWidth="1"/>
    <col min="11532" max="11532" width="9.28515625" style="37" bestFit="1" customWidth="1"/>
    <col min="11533" max="11533" width="11.85546875" style="37" bestFit="1" customWidth="1"/>
    <col min="11534" max="11534" width="2.7109375" style="37" bestFit="1" customWidth="1"/>
    <col min="11535" max="11535" width="40.7109375" style="37" bestFit="1" customWidth="1"/>
    <col min="11536" max="11536" width="12.5703125" style="37" customWidth="1"/>
    <col min="11537" max="11537" width="7" style="37" bestFit="1" customWidth="1"/>
    <col min="11538" max="11538" width="11.7109375" style="37" bestFit="1" customWidth="1"/>
    <col min="11539" max="11539" width="12.85546875" style="37" bestFit="1" customWidth="1"/>
    <col min="11540" max="11540" width="11.5703125" style="37" bestFit="1" customWidth="1"/>
    <col min="11541" max="11541" width="12.5703125" style="37" bestFit="1" customWidth="1"/>
    <col min="11542" max="11776" width="9.140625" style="37"/>
    <col min="11777" max="11777" width="2.7109375" style="37" bestFit="1" customWidth="1"/>
    <col min="11778" max="11779" width="9.140625" style="37"/>
    <col min="11780" max="11780" width="10" style="37" customWidth="1"/>
    <col min="11781" max="11781" width="13" style="37" customWidth="1"/>
    <col min="11782" max="11782" width="13.85546875" style="37" customWidth="1"/>
    <col min="11783" max="11783" width="13.28515625" style="37" bestFit="1" customWidth="1"/>
    <col min="11784" max="11784" width="15.140625" style="37" customWidth="1"/>
    <col min="11785" max="11785" width="14.7109375" style="37" customWidth="1"/>
    <col min="11786" max="11786" width="13.42578125" style="37" customWidth="1"/>
    <col min="11787" max="11787" width="12.85546875" style="37" bestFit="1" customWidth="1"/>
    <col min="11788" max="11788" width="9.28515625" style="37" bestFit="1" customWidth="1"/>
    <col min="11789" max="11789" width="11.85546875" style="37" bestFit="1" customWidth="1"/>
    <col min="11790" max="11790" width="2.7109375" style="37" bestFit="1" customWidth="1"/>
    <col min="11791" max="11791" width="40.7109375" style="37" bestFit="1" customWidth="1"/>
    <col min="11792" max="11792" width="12.5703125" style="37" customWidth="1"/>
    <col min="11793" max="11793" width="7" style="37" bestFit="1" customWidth="1"/>
    <col min="11794" max="11794" width="11.7109375" style="37" bestFit="1" customWidth="1"/>
    <col min="11795" max="11795" width="12.85546875" style="37" bestFit="1" customWidth="1"/>
    <col min="11796" max="11796" width="11.5703125" style="37" bestFit="1" customWidth="1"/>
    <col min="11797" max="11797" width="12.5703125" style="37" bestFit="1" customWidth="1"/>
    <col min="11798" max="12032" width="9.140625" style="37"/>
    <col min="12033" max="12033" width="2.7109375" style="37" bestFit="1" customWidth="1"/>
    <col min="12034" max="12035" width="9.140625" style="37"/>
    <col min="12036" max="12036" width="10" style="37" customWidth="1"/>
    <col min="12037" max="12037" width="13" style="37" customWidth="1"/>
    <col min="12038" max="12038" width="13.85546875" style="37" customWidth="1"/>
    <col min="12039" max="12039" width="13.28515625" style="37" bestFit="1" customWidth="1"/>
    <col min="12040" max="12040" width="15.140625" style="37" customWidth="1"/>
    <col min="12041" max="12041" width="14.7109375" style="37" customWidth="1"/>
    <col min="12042" max="12042" width="13.42578125" style="37" customWidth="1"/>
    <col min="12043" max="12043" width="12.85546875" style="37" bestFit="1" customWidth="1"/>
    <col min="12044" max="12044" width="9.28515625" style="37" bestFit="1" customWidth="1"/>
    <col min="12045" max="12045" width="11.85546875" style="37" bestFit="1" customWidth="1"/>
    <col min="12046" max="12046" width="2.7109375" style="37" bestFit="1" customWidth="1"/>
    <col min="12047" max="12047" width="40.7109375" style="37" bestFit="1" customWidth="1"/>
    <col min="12048" max="12048" width="12.5703125" style="37" customWidth="1"/>
    <col min="12049" max="12049" width="7" style="37" bestFit="1" customWidth="1"/>
    <col min="12050" max="12050" width="11.7109375" style="37" bestFit="1" customWidth="1"/>
    <col min="12051" max="12051" width="12.85546875" style="37" bestFit="1" customWidth="1"/>
    <col min="12052" max="12052" width="11.5703125" style="37" bestFit="1" customWidth="1"/>
    <col min="12053" max="12053" width="12.5703125" style="37" bestFit="1" customWidth="1"/>
    <col min="12054" max="12288" width="9.140625" style="37"/>
    <col min="12289" max="12289" width="2.7109375" style="37" bestFit="1" customWidth="1"/>
    <col min="12290" max="12291" width="9.140625" style="37"/>
    <col min="12292" max="12292" width="10" style="37" customWidth="1"/>
    <col min="12293" max="12293" width="13" style="37" customWidth="1"/>
    <col min="12294" max="12294" width="13.85546875" style="37" customWidth="1"/>
    <col min="12295" max="12295" width="13.28515625" style="37" bestFit="1" customWidth="1"/>
    <col min="12296" max="12296" width="15.140625" style="37" customWidth="1"/>
    <col min="12297" max="12297" width="14.7109375" style="37" customWidth="1"/>
    <col min="12298" max="12298" width="13.42578125" style="37" customWidth="1"/>
    <col min="12299" max="12299" width="12.85546875" style="37" bestFit="1" customWidth="1"/>
    <col min="12300" max="12300" width="9.28515625" style="37" bestFit="1" customWidth="1"/>
    <col min="12301" max="12301" width="11.85546875" style="37" bestFit="1" customWidth="1"/>
    <col min="12302" max="12302" width="2.7109375" style="37" bestFit="1" customWidth="1"/>
    <col min="12303" max="12303" width="40.7109375" style="37" bestFit="1" customWidth="1"/>
    <col min="12304" max="12304" width="12.5703125" style="37" customWidth="1"/>
    <col min="12305" max="12305" width="7" style="37" bestFit="1" customWidth="1"/>
    <col min="12306" max="12306" width="11.7109375" style="37" bestFit="1" customWidth="1"/>
    <col min="12307" max="12307" width="12.85546875" style="37" bestFit="1" customWidth="1"/>
    <col min="12308" max="12308" width="11.5703125" style="37" bestFit="1" customWidth="1"/>
    <col min="12309" max="12309" width="12.5703125" style="37" bestFit="1" customWidth="1"/>
    <col min="12310" max="12544" width="9.140625" style="37"/>
    <col min="12545" max="12545" width="2.7109375" style="37" bestFit="1" customWidth="1"/>
    <col min="12546" max="12547" width="9.140625" style="37"/>
    <col min="12548" max="12548" width="10" style="37" customWidth="1"/>
    <col min="12549" max="12549" width="13" style="37" customWidth="1"/>
    <col min="12550" max="12550" width="13.85546875" style="37" customWidth="1"/>
    <col min="12551" max="12551" width="13.28515625" style="37" bestFit="1" customWidth="1"/>
    <col min="12552" max="12552" width="15.140625" style="37" customWidth="1"/>
    <col min="12553" max="12553" width="14.7109375" style="37" customWidth="1"/>
    <col min="12554" max="12554" width="13.42578125" style="37" customWidth="1"/>
    <col min="12555" max="12555" width="12.85546875" style="37" bestFit="1" customWidth="1"/>
    <col min="12556" max="12556" width="9.28515625" style="37" bestFit="1" customWidth="1"/>
    <col min="12557" max="12557" width="11.85546875" style="37" bestFit="1" customWidth="1"/>
    <col min="12558" max="12558" width="2.7109375" style="37" bestFit="1" customWidth="1"/>
    <col min="12559" max="12559" width="40.7109375" style="37" bestFit="1" customWidth="1"/>
    <col min="12560" max="12560" width="12.5703125" style="37" customWidth="1"/>
    <col min="12561" max="12561" width="7" style="37" bestFit="1" customWidth="1"/>
    <col min="12562" max="12562" width="11.7109375" style="37" bestFit="1" customWidth="1"/>
    <col min="12563" max="12563" width="12.85546875" style="37" bestFit="1" customWidth="1"/>
    <col min="12564" max="12564" width="11.5703125" style="37" bestFit="1" customWidth="1"/>
    <col min="12565" max="12565" width="12.5703125" style="37" bestFit="1" customWidth="1"/>
    <col min="12566" max="12800" width="9.140625" style="37"/>
    <col min="12801" max="12801" width="2.7109375" style="37" bestFit="1" customWidth="1"/>
    <col min="12802" max="12803" width="9.140625" style="37"/>
    <col min="12804" max="12804" width="10" style="37" customWidth="1"/>
    <col min="12805" max="12805" width="13" style="37" customWidth="1"/>
    <col min="12806" max="12806" width="13.85546875" style="37" customWidth="1"/>
    <col min="12807" max="12807" width="13.28515625" style="37" bestFit="1" customWidth="1"/>
    <col min="12808" max="12808" width="15.140625" style="37" customWidth="1"/>
    <col min="12809" max="12809" width="14.7109375" style="37" customWidth="1"/>
    <col min="12810" max="12810" width="13.42578125" style="37" customWidth="1"/>
    <col min="12811" max="12811" width="12.85546875" style="37" bestFit="1" customWidth="1"/>
    <col min="12812" max="12812" width="9.28515625" style="37" bestFit="1" customWidth="1"/>
    <col min="12813" max="12813" width="11.85546875" style="37" bestFit="1" customWidth="1"/>
    <col min="12814" max="12814" width="2.7109375" style="37" bestFit="1" customWidth="1"/>
    <col min="12815" max="12815" width="40.7109375" style="37" bestFit="1" customWidth="1"/>
    <col min="12816" max="12816" width="12.5703125" style="37" customWidth="1"/>
    <col min="12817" max="12817" width="7" style="37" bestFit="1" customWidth="1"/>
    <col min="12818" max="12818" width="11.7109375" style="37" bestFit="1" customWidth="1"/>
    <col min="12819" max="12819" width="12.85546875" style="37" bestFit="1" customWidth="1"/>
    <col min="12820" max="12820" width="11.5703125" style="37" bestFit="1" customWidth="1"/>
    <col min="12821" max="12821" width="12.5703125" style="37" bestFit="1" customWidth="1"/>
    <col min="12822" max="13056" width="9.140625" style="37"/>
    <col min="13057" max="13057" width="2.7109375" style="37" bestFit="1" customWidth="1"/>
    <col min="13058" max="13059" width="9.140625" style="37"/>
    <col min="13060" max="13060" width="10" style="37" customWidth="1"/>
    <col min="13061" max="13061" width="13" style="37" customWidth="1"/>
    <col min="13062" max="13062" width="13.85546875" style="37" customWidth="1"/>
    <col min="13063" max="13063" width="13.28515625" style="37" bestFit="1" customWidth="1"/>
    <col min="13064" max="13064" width="15.140625" style="37" customWidth="1"/>
    <col min="13065" max="13065" width="14.7109375" style="37" customWidth="1"/>
    <col min="13066" max="13066" width="13.42578125" style="37" customWidth="1"/>
    <col min="13067" max="13067" width="12.85546875" style="37" bestFit="1" customWidth="1"/>
    <col min="13068" max="13068" width="9.28515625" style="37" bestFit="1" customWidth="1"/>
    <col min="13069" max="13069" width="11.85546875" style="37" bestFit="1" customWidth="1"/>
    <col min="13070" max="13070" width="2.7109375" style="37" bestFit="1" customWidth="1"/>
    <col min="13071" max="13071" width="40.7109375" style="37" bestFit="1" customWidth="1"/>
    <col min="13072" max="13072" width="12.5703125" style="37" customWidth="1"/>
    <col min="13073" max="13073" width="7" style="37" bestFit="1" customWidth="1"/>
    <col min="13074" max="13074" width="11.7109375" style="37" bestFit="1" customWidth="1"/>
    <col min="13075" max="13075" width="12.85546875" style="37" bestFit="1" customWidth="1"/>
    <col min="13076" max="13076" width="11.5703125" style="37" bestFit="1" customWidth="1"/>
    <col min="13077" max="13077" width="12.5703125" style="37" bestFit="1" customWidth="1"/>
    <col min="13078" max="13312" width="9.140625" style="37"/>
    <col min="13313" max="13313" width="2.7109375" style="37" bestFit="1" customWidth="1"/>
    <col min="13314" max="13315" width="9.140625" style="37"/>
    <col min="13316" max="13316" width="10" style="37" customWidth="1"/>
    <col min="13317" max="13317" width="13" style="37" customWidth="1"/>
    <col min="13318" max="13318" width="13.85546875" style="37" customWidth="1"/>
    <col min="13319" max="13319" width="13.28515625" style="37" bestFit="1" customWidth="1"/>
    <col min="13320" max="13320" width="15.140625" style="37" customWidth="1"/>
    <col min="13321" max="13321" width="14.7109375" style="37" customWidth="1"/>
    <col min="13322" max="13322" width="13.42578125" style="37" customWidth="1"/>
    <col min="13323" max="13323" width="12.85546875" style="37" bestFit="1" customWidth="1"/>
    <col min="13324" max="13324" width="9.28515625" style="37" bestFit="1" customWidth="1"/>
    <col min="13325" max="13325" width="11.85546875" style="37" bestFit="1" customWidth="1"/>
    <col min="13326" max="13326" width="2.7109375" style="37" bestFit="1" customWidth="1"/>
    <col min="13327" max="13327" width="40.7109375" style="37" bestFit="1" customWidth="1"/>
    <col min="13328" max="13328" width="12.5703125" style="37" customWidth="1"/>
    <col min="13329" max="13329" width="7" style="37" bestFit="1" customWidth="1"/>
    <col min="13330" max="13330" width="11.7109375" style="37" bestFit="1" customWidth="1"/>
    <col min="13331" max="13331" width="12.85546875" style="37" bestFit="1" customWidth="1"/>
    <col min="13332" max="13332" width="11.5703125" style="37" bestFit="1" customWidth="1"/>
    <col min="13333" max="13333" width="12.5703125" style="37" bestFit="1" customWidth="1"/>
    <col min="13334" max="13568" width="9.140625" style="37"/>
    <col min="13569" max="13569" width="2.7109375" style="37" bestFit="1" customWidth="1"/>
    <col min="13570" max="13571" width="9.140625" style="37"/>
    <col min="13572" max="13572" width="10" style="37" customWidth="1"/>
    <col min="13573" max="13573" width="13" style="37" customWidth="1"/>
    <col min="13574" max="13574" width="13.85546875" style="37" customWidth="1"/>
    <col min="13575" max="13575" width="13.28515625" style="37" bestFit="1" customWidth="1"/>
    <col min="13576" max="13576" width="15.140625" style="37" customWidth="1"/>
    <col min="13577" max="13577" width="14.7109375" style="37" customWidth="1"/>
    <col min="13578" max="13578" width="13.42578125" style="37" customWidth="1"/>
    <col min="13579" max="13579" width="12.85546875" style="37" bestFit="1" customWidth="1"/>
    <col min="13580" max="13580" width="9.28515625" style="37" bestFit="1" customWidth="1"/>
    <col min="13581" max="13581" width="11.85546875" style="37" bestFit="1" customWidth="1"/>
    <col min="13582" max="13582" width="2.7109375" style="37" bestFit="1" customWidth="1"/>
    <col min="13583" max="13583" width="40.7109375" style="37" bestFit="1" customWidth="1"/>
    <col min="13584" max="13584" width="12.5703125" style="37" customWidth="1"/>
    <col min="13585" max="13585" width="7" style="37" bestFit="1" customWidth="1"/>
    <col min="13586" max="13586" width="11.7109375" style="37" bestFit="1" customWidth="1"/>
    <col min="13587" max="13587" width="12.85546875" style="37" bestFit="1" customWidth="1"/>
    <col min="13588" max="13588" width="11.5703125" style="37" bestFit="1" customWidth="1"/>
    <col min="13589" max="13589" width="12.5703125" style="37" bestFit="1" customWidth="1"/>
    <col min="13590" max="13824" width="9.140625" style="37"/>
    <col min="13825" max="13825" width="2.7109375" style="37" bestFit="1" customWidth="1"/>
    <col min="13826" max="13827" width="9.140625" style="37"/>
    <col min="13828" max="13828" width="10" style="37" customWidth="1"/>
    <col min="13829" max="13829" width="13" style="37" customWidth="1"/>
    <col min="13830" max="13830" width="13.85546875" style="37" customWidth="1"/>
    <col min="13831" max="13831" width="13.28515625" style="37" bestFit="1" customWidth="1"/>
    <col min="13832" max="13832" width="15.140625" style="37" customWidth="1"/>
    <col min="13833" max="13833" width="14.7109375" style="37" customWidth="1"/>
    <col min="13834" max="13834" width="13.42578125" style="37" customWidth="1"/>
    <col min="13835" max="13835" width="12.85546875" style="37" bestFit="1" customWidth="1"/>
    <col min="13836" max="13836" width="9.28515625" style="37" bestFit="1" customWidth="1"/>
    <col min="13837" max="13837" width="11.85546875" style="37" bestFit="1" customWidth="1"/>
    <col min="13838" max="13838" width="2.7109375" style="37" bestFit="1" customWidth="1"/>
    <col min="13839" max="13839" width="40.7109375" style="37" bestFit="1" customWidth="1"/>
    <col min="13840" max="13840" width="12.5703125" style="37" customWidth="1"/>
    <col min="13841" max="13841" width="7" style="37" bestFit="1" customWidth="1"/>
    <col min="13842" max="13842" width="11.7109375" style="37" bestFit="1" customWidth="1"/>
    <col min="13843" max="13843" width="12.85546875" style="37" bestFit="1" customWidth="1"/>
    <col min="13844" max="13844" width="11.5703125" style="37" bestFit="1" customWidth="1"/>
    <col min="13845" max="13845" width="12.5703125" style="37" bestFit="1" customWidth="1"/>
    <col min="13846" max="14080" width="9.140625" style="37"/>
    <col min="14081" max="14081" width="2.7109375" style="37" bestFit="1" customWidth="1"/>
    <col min="14082" max="14083" width="9.140625" style="37"/>
    <col min="14084" max="14084" width="10" style="37" customWidth="1"/>
    <col min="14085" max="14085" width="13" style="37" customWidth="1"/>
    <col min="14086" max="14086" width="13.85546875" style="37" customWidth="1"/>
    <col min="14087" max="14087" width="13.28515625" style="37" bestFit="1" customWidth="1"/>
    <col min="14088" max="14088" width="15.140625" style="37" customWidth="1"/>
    <col min="14089" max="14089" width="14.7109375" style="37" customWidth="1"/>
    <col min="14090" max="14090" width="13.42578125" style="37" customWidth="1"/>
    <col min="14091" max="14091" width="12.85546875" style="37" bestFit="1" customWidth="1"/>
    <col min="14092" max="14092" width="9.28515625" style="37" bestFit="1" customWidth="1"/>
    <col min="14093" max="14093" width="11.85546875" style="37" bestFit="1" customWidth="1"/>
    <col min="14094" max="14094" width="2.7109375" style="37" bestFit="1" customWidth="1"/>
    <col min="14095" max="14095" width="40.7109375" style="37" bestFit="1" customWidth="1"/>
    <col min="14096" max="14096" width="12.5703125" style="37" customWidth="1"/>
    <col min="14097" max="14097" width="7" style="37" bestFit="1" customWidth="1"/>
    <col min="14098" max="14098" width="11.7109375" style="37" bestFit="1" customWidth="1"/>
    <col min="14099" max="14099" width="12.85546875" style="37" bestFit="1" customWidth="1"/>
    <col min="14100" max="14100" width="11.5703125" style="37" bestFit="1" customWidth="1"/>
    <col min="14101" max="14101" width="12.5703125" style="37" bestFit="1" customWidth="1"/>
    <col min="14102" max="14336" width="9.140625" style="37"/>
    <col min="14337" max="14337" width="2.7109375" style="37" bestFit="1" customWidth="1"/>
    <col min="14338" max="14339" width="9.140625" style="37"/>
    <col min="14340" max="14340" width="10" style="37" customWidth="1"/>
    <col min="14341" max="14341" width="13" style="37" customWidth="1"/>
    <col min="14342" max="14342" width="13.85546875" style="37" customWidth="1"/>
    <col min="14343" max="14343" width="13.28515625" style="37" bestFit="1" customWidth="1"/>
    <col min="14344" max="14344" width="15.140625" style="37" customWidth="1"/>
    <col min="14345" max="14345" width="14.7109375" style="37" customWidth="1"/>
    <col min="14346" max="14346" width="13.42578125" style="37" customWidth="1"/>
    <col min="14347" max="14347" width="12.85546875" style="37" bestFit="1" customWidth="1"/>
    <col min="14348" max="14348" width="9.28515625" style="37" bestFit="1" customWidth="1"/>
    <col min="14349" max="14349" width="11.85546875" style="37" bestFit="1" customWidth="1"/>
    <col min="14350" max="14350" width="2.7109375" style="37" bestFit="1" customWidth="1"/>
    <col min="14351" max="14351" width="40.7109375" style="37" bestFit="1" customWidth="1"/>
    <col min="14352" max="14352" width="12.5703125" style="37" customWidth="1"/>
    <col min="14353" max="14353" width="7" style="37" bestFit="1" customWidth="1"/>
    <col min="14354" max="14354" width="11.7109375" style="37" bestFit="1" customWidth="1"/>
    <col min="14355" max="14355" width="12.85546875" style="37" bestFit="1" customWidth="1"/>
    <col min="14356" max="14356" width="11.5703125" style="37" bestFit="1" customWidth="1"/>
    <col min="14357" max="14357" width="12.5703125" style="37" bestFit="1" customWidth="1"/>
    <col min="14358" max="14592" width="9.140625" style="37"/>
    <col min="14593" max="14593" width="2.7109375" style="37" bestFit="1" customWidth="1"/>
    <col min="14594" max="14595" width="9.140625" style="37"/>
    <col min="14596" max="14596" width="10" style="37" customWidth="1"/>
    <col min="14597" max="14597" width="13" style="37" customWidth="1"/>
    <col min="14598" max="14598" width="13.85546875" style="37" customWidth="1"/>
    <col min="14599" max="14599" width="13.28515625" style="37" bestFit="1" customWidth="1"/>
    <col min="14600" max="14600" width="15.140625" style="37" customWidth="1"/>
    <col min="14601" max="14601" width="14.7109375" style="37" customWidth="1"/>
    <col min="14602" max="14602" width="13.42578125" style="37" customWidth="1"/>
    <col min="14603" max="14603" width="12.85546875" style="37" bestFit="1" customWidth="1"/>
    <col min="14604" max="14604" width="9.28515625" style="37" bestFit="1" customWidth="1"/>
    <col min="14605" max="14605" width="11.85546875" style="37" bestFit="1" customWidth="1"/>
    <col min="14606" max="14606" width="2.7109375" style="37" bestFit="1" customWidth="1"/>
    <col min="14607" max="14607" width="40.7109375" style="37" bestFit="1" customWidth="1"/>
    <col min="14608" max="14608" width="12.5703125" style="37" customWidth="1"/>
    <col min="14609" max="14609" width="7" style="37" bestFit="1" customWidth="1"/>
    <col min="14610" max="14610" width="11.7109375" style="37" bestFit="1" customWidth="1"/>
    <col min="14611" max="14611" width="12.85546875" style="37" bestFit="1" customWidth="1"/>
    <col min="14612" max="14612" width="11.5703125" style="37" bestFit="1" customWidth="1"/>
    <col min="14613" max="14613" width="12.5703125" style="37" bestFit="1" customWidth="1"/>
    <col min="14614" max="14848" width="9.140625" style="37"/>
    <col min="14849" max="14849" width="2.7109375" style="37" bestFit="1" customWidth="1"/>
    <col min="14850" max="14851" width="9.140625" style="37"/>
    <col min="14852" max="14852" width="10" style="37" customWidth="1"/>
    <col min="14853" max="14853" width="13" style="37" customWidth="1"/>
    <col min="14854" max="14854" width="13.85546875" style="37" customWidth="1"/>
    <col min="14855" max="14855" width="13.28515625" style="37" bestFit="1" customWidth="1"/>
    <col min="14856" max="14856" width="15.140625" style="37" customWidth="1"/>
    <col min="14857" max="14857" width="14.7109375" style="37" customWidth="1"/>
    <col min="14858" max="14858" width="13.42578125" style="37" customWidth="1"/>
    <col min="14859" max="14859" width="12.85546875" style="37" bestFit="1" customWidth="1"/>
    <col min="14860" max="14860" width="9.28515625" style="37" bestFit="1" customWidth="1"/>
    <col min="14861" max="14861" width="11.85546875" style="37" bestFit="1" customWidth="1"/>
    <col min="14862" max="14862" width="2.7109375" style="37" bestFit="1" customWidth="1"/>
    <col min="14863" max="14863" width="40.7109375" style="37" bestFit="1" customWidth="1"/>
    <col min="14864" max="14864" width="12.5703125" style="37" customWidth="1"/>
    <col min="14865" max="14865" width="7" style="37" bestFit="1" customWidth="1"/>
    <col min="14866" max="14866" width="11.7109375" style="37" bestFit="1" customWidth="1"/>
    <col min="14867" max="14867" width="12.85546875" style="37" bestFit="1" customWidth="1"/>
    <col min="14868" max="14868" width="11.5703125" style="37" bestFit="1" customWidth="1"/>
    <col min="14869" max="14869" width="12.5703125" style="37" bestFit="1" customWidth="1"/>
    <col min="14870" max="15104" width="9.140625" style="37"/>
    <col min="15105" max="15105" width="2.7109375" style="37" bestFit="1" customWidth="1"/>
    <col min="15106" max="15107" width="9.140625" style="37"/>
    <col min="15108" max="15108" width="10" style="37" customWidth="1"/>
    <col min="15109" max="15109" width="13" style="37" customWidth="1"/>
    <col min="15110" max="15110" width="13.85546875" style="37" customWidth="1"/>
    <col min="15111" max="15111" width="13.28515625" style="37" bestFit="1" customWidth="1"/>
    <col min="15112" max="15112" width="15.140625" style="37" customWidth="1"/>
    <col min="15113" max="15113" width="14.7109375" style="37" customWidth="1"/>
    <col min="15114" max="15114" width="13.42578125" style="37" customWidth="1"/>
    <col min="15115" max="15115" width="12.85546875" style="37" bestFit="1" customWidth="1"/>
    <col min="15116" max="15116" width="9.28515625" style="37" bestFit="1" customWidth="1"/>
    <col min="15117" max="15117" width="11.85546875" style="37" bestFit="1" customWidth="1"/>
    <col min="15118" max="15118" width="2.7109375" style="37" bestFit="1" customWidth="1"/>
    <col min="15119" max="15119" width="40.7109375" style="37" bestFit="1" customWidth="1"/>
    <col min="15120" max="15120" width="12.5703125" style="37" customWidth="1"/>
    <col min="15121" max="15121" width="7" style="37" bestFit="1" customWidth="1"/>
    <col min="15122" max="15122" width="11.7109375" style="37" bestFit="1" customWidth="1"/>
    <col min="15123" max="15123" width="12.85546875" style="37" bestFit="1" customWidth="1"/>
    <col min="15124" max="15124" width="11.5703125" style="37" bestFit="1" customWidth="1"/>
    <col min="15125" max="15125" width="12.5703125" style="37" bestFit="1" customWidth="1"/>
    <col min="15126" max="15360" width="9.140625" style="37"/>
    <col min="15361" max="15361" width="2.7109375" style="37" bestFit="1" customWidth="1"/>
    <col min="15362" max="15363" width="9.140625" style="37"/>
    <col min="15364" max="15364" width="10" style="37" customWidth="1"/>
    <col min="15365" max="15365" width="13" style="37" customWidth="1"/>
    <col min="15366" max="15366" width="13.85546875" style="37" customWidth="1"/>
    <col min="15367" max="15367" width="13.28515625" style="37" bestFit="1" customWidth="1"/>
    <col min="15368" max="15368" width="15.140625" style="37" customWidth="1"/>
    <col min="15369" max="15369" width="14.7109375" style="37" customWidth="1"/>
    <col min="15370" max="15370" width="13.42578125" style="37" customWidth="1"/>
    <col min="15371" max="15371" width="12.85546875" style="37" bestFit="1" customWidth="1"/>
    <col min="15372" max="15372" width="9.28515625" style="37" bestFit="1" customWidth="1"/>
    <col min="15373" max="15373" width="11.85546875" style="37" bestFit="1" customWidth="1"/>
    <col min="15374" max="15374" width="2.7109375" style="37" bestFit="1" customWidth="1"/>
    <col min="15375" max="15375" width="40.7109375" style="37" bestFit="1" customWidth="1"/>
    <col min="15376" max="15376" width="12.5703125" style="37" customWidth="1"/>
    <col min="15377" max="15377" width="7" style="37" bestFit="1" customWidth="1"/>
    <col min="15378" max="15378" width="11.7109375" style="37" bestFit="1" customWidth="1"/>
    <col min="15379" max="15379" width="12.85546875" style="37" bestFit="1" customWidth="1"/>
    <col min="15380" max="15380" width="11.5703125" style="37" bestFit="1" customWidth="1"/>
    <col min="15381" max="15381" width="12.5703125" style="37" bestFit="1" customWidth="1"/>
    <col min="15382" max="15616" width="9.140625" style="37"/>
    <col min="15617" max="15617" width="2.7109375" style="37" bestFit="1" customWidth="1"/>
    <col min="15618" max="15619" width="9.140625" style="37"/>
    <col min="15620" max="15620" width="10" style="37" customWidth="1"/>
    <col min="15621" max="15621" width="13" style="37" customWidth="1"/>
    <col min="15622" max="15622" width="13.85546875" style="37" customWidth="1"/>
    <col min="15623" max="15623" width="13.28515625" style="37" bestFit="1" customWidth="1"/>
    <col min="15624" max="15624" width="15.140625" style="37" customWidth="1"/>
    <col min="15625" max="15625" width="14.7109375" style="37" customWidth="1"/>
    <col min="15626" max="15626" width="13.42578125" style="37" customWidth="1"/>
    <col min="15627" max="15627" width="12.85546875" style="37" bestFit="1" customWidth="1"/>
    <col min="15628" max="15628" width="9.28515625" style="37" bestFit="1" customWidth="1"/>
    <col min="15629" max="15629" width="11.85546875" style="37" bestFit="1" customWidth="1"/>
    <col min="15630" max="15630" width="2.7109375" style="37" bestFit="1" customWidth="1"/>
    <col min="15631" max="15631" width="40.7109375" style="37" bestFit="1" customWidth="1"/>
    <col min="15632" max="15632" width="12.5703125" style="37" customWidth="1"/>
    <col min="15633" max="15633" width="7" style="37" bestFit="1" customWidth="1"/>
    <col min="15634" max="15634" width="11.7109375" style="37" bestFit="1" customWidth="1"/>
    <col min="15635" max="15635" width="12.85546875" style="37" bestFit="1" customWidth="1"/>
    <col min="15636" max="15636" width="11.5703125" style="37" bestFit="1" customWidth="1"/>
    <col min="15637" max="15637" width="12.5703125" style="37" bestFit="1" customWidth="1"/>
    <col min="15638" max="15872" width="9.140625" style="37"/>
    <col min="15873" max="15873" width="2.7109375" style="37" bestFit="1" customWidth="1"/>
    <col min="15874" max="15875" width="9.140625" style="37"/>
    <col min="15876" max="15876" width="10" style="37" customWidth="1"/>
    <col min="15877" max="15877" width="13" style="37" customWidth="1"/>
    <col min="15878" max="15878" width="13.85546875" style="37" customWidth="1"/>
    <col min="15879" max="15879" width="13.28515625" style="37" bestFit="1" customWidth="1"/>
    <col min="15880" max="15880" width="15.140625" style="37" customWidth="1"/>
    <col min="15881" max="15881" width="14.7109375" style="37" customWidth="1"/>
    <col min="15882" max="15882" width="13.42578125" style="37" customWidth="1"/>
    <col min="15883" max="15883" width="12.85546875" style="37" bestFit="1" customWidth="1"/>
    <col min="15884" max="15884" width="9.28515625" style="37" bestFit="1" customWidth="1"/>
    <col min="15885" max="15885" width="11.85546875" style="37" bestFit="1" customWidth="1"/>
    <col min="15886" max="15886" width="2.7109375" style="37" bestFit="1" customWidth="1"/>
    <col min="15887" max="15887" width="40.7109375" style="37" bestFit="1" customWidth="1"/>
    <col min="15888" max="15888" width="12.5703125" style="37" customWidth="1"/>
    <col min="15889" max="15889" width="7" style="37" bestFit="1" customWidth="1"/>
    <col min="15890" max="15890" width="11.7109375" style="37" bestFit="1" customWidth="1"/>
    <col min="15891" max="15891" width="12.85546875" style="37" bestFit="1" customWidth="1"/>
    <col min="15892" max="15892" width="11.5703125" style="37" bestFit="1" customWidth="1"/>
    <col min="15893" max="15893" width="12.5703125" style="37" bestFit="1" customWidth="1"/>
    <col min="15894" max="16128" width="9.140625" style="37"/>
    <col min="16129" max="16129" width="2.7109375" style="37" bestFit="1" customWidth="1"/>
    <col min="16130" max="16131" width="9.140625" style="37"/>
    <col min="16132" max="16132" width="10" style="37" customWidth="1"/>
    <col min="16133" max="16133" width="13" style="37" customWidth="1"/>
    <col min="16134" max="16134" width="13.85546875" style="37" customWidth="1"/>
    <col min="16135" max="16135" width="13.28515625" style="37" bestFit="1" customWidth="1"/>
    <col min="16136" max="16136" width="15.140625" style="37" customWidth="1"/>
    <col min="16137" max="16137" width="14.7109375" style="37" customWidth="1"/>
    <col min="16138" max="16138" width="13.42578125" style="37" customWidth="1"/>
    <col min="16139" max="16139" width="12.85546875" style="37" bestFit="1" customWidth="1"/>
    <col min="16140" max="16140" width="9.28515625" style="37" bestFit="1" customWidth="1"/>
    <col min="16141" max="16141" width="11.85546875" style="37" bestFit="1" customWidth="1"/>
    <col min="16142" max="16142" width="2.7109375" style="37" bestFit="1" customWidth="1"/>
    <col min="16143" max="16143" width="40.7109375" style="37" bestFit="1" customWidth="1"/>
    <col min="16144" max="16144" width="12.5703125" style="37" customWidth="1"/>
    <col min="16145" max="16145" width="7" style="37" bestFit="1" customWidth="1"/>
    <col min="16146" max="16146" width="11.7109375" style="37" bestFit="1" customWidth="1"/>
    <col min="16147" max="16147" width="12.85546875" style="37" bestFit="1" customWidth="1"/>
    <col min="16148" max="16148" width="11.5703125" style="37" bestFit="1" customWidth="1"/>
    <col min="16149" max="16149" width="12.5703125" style="37" bestFit="1" customWidth="1"/>
    <col min="16150" max="16384" width="9.140625" style="37"/>
  </cols>
  <sheetData>
    <row r="1" spans="1:21" x14ac:dyDescent="0.2">
      <c r="D1" s="37" t="s">
        <v>287</v>
      </c>
      <c r="F1" s="105"/>
      <c r="G1" s="226"/>
    </row>
    <row r="2" spans="1:21" x14ac:dyDescent="0.2">
      <c r="B2" s="166" t="s">
        <v>288</v>
      </c>
      <c r="C2" s="226" t="s">
        <v>289</v>
      </c>
      <c r="D2" s="105"/>
      <c r="E2" s="105" t="s">
        <v>290</v>
      </c>
    </row>
    <row r="3" spans="1:21" s="78" customFormat="1" ht="8.25" x14ac:dyDescent="0.15"/>
    <row r="4" spans="1:21" x14ac:dyDescent="0.2">
      <c r="D4" s="37" t="s">
        <v>291</v>
      </c>
    </row>
    <row r="5" spans="1:21" s="78" customFormat="1" ht="8.25" x14ac:dyDescent="0.15"/>
    <row r="6" spans="1:21" x14ac:dyDescent="0.2">
      <c r="D6" s="37" t="s">
        <v>292</v>
      </c>
      <c r="R6" s="78"/>
      <c r="S6" s="78"/>
      <c r="T6" s="78"/>
      <c r="U6" s="78"/>
    </row>
    <row r="7" spans="1:21" x14ac:dyDescent="0.2">
      <c r="F7" s="227" t="s">
        <v>293</v>
      </c>
      <c r="G7" s="227"/>
      <c r="H7" s="227"/>
      <c r="I7" s="227" t="s">
        <v>294</v>
      </c>
      <c r="R7" s="78"/>
      <c r="S7" s="78"/>
      <c r="T7" s="78"/>
      <c r="U7" s="78"/>
    </row>
    <row r="8" spans="1:21" s="147" customFormat="1" ht="12.75" customHeight="1" x14ac:dyDescent="0.2">
      <c r="A8" s="1210" t="s">
        <v>1198</v>
      </c>
      <c r="B8" s="1211"/>
      <c r="C8" s="1211"/>
      <c r="D8" s="228" t="s">
        <v>295</v>
      </c>
      <c r="E8" s="229"/>
      <c r="F8" s="230" t="s">
        <v>296</v>
      </c>
      <c r="G8" s="107" t="s">
        <v>297</v>
      </c>
      <c r="H8" s="230" t="s">
        <v>298</v>
      </c>
      <c r="I8" s="231" t="s">
        <v>299</v>
      </c>
      <c r="J8" s="230" t="s">
        <v>300</v>
      </c>
      <c r="K8" s="229" t="s">
        <v>301</v>
      </c>
      <c r="L8" s="232" t="s">
        <v>302</v>
      </c>
      <c r="R8" s="78"/>
      <c r="S8" s="78"/>
      <c r="T8" s="78"/>
      <c r="U8" s="78"/>
    </row>
    <row r="9" spans="1:21" s="147" customFormat="1" ht="12.75" customHeight="1" x14ac:dyDescent="0.2">
      <c r="A9" s="1212" t="s">
        <v>303</v>
      </c>
      <c r="B9" s="1213"/>
      <c r="C9" s="1213"/>
      <c r="E9" s="233" t="s">
        <v>2615</v>
      </c>
      <c r="F9" s="234" t="s">
        <v>304</v>
      </c>
      <c r="G9" s="235" t="s">
        <v>305</v>
      </c>
      <c r="H9" s="234" t="s">
        <v>306</v>
      </c>
      <c r="I9" s="235" t="s">
        <v>307</v>
      </c>
      <c r="J9" s="234" t="s">
        <v>206</v>
      </c>
      <c r="K9" s="236" t="s">
        <v>308</v>
      </c>
      <c r="L9" s="237" t="s">
        <v>309</v>
      </c>
      <c r="R9" s="78"/>
      <c r="S9" s="78"/>
      <c r="T9" s="78"/>
      <c r="U9" s="78"/>
    </row>
    <row r="10" spans="1:21" s="242" customFormat="1" x14ac:dyDescent="0.2">
      <c r="A10" s="42" t="s">
        <v>310</v>
      </c>
      <c r="B10" s="238" t="s">
        <v>311</v>
      </c>
      <c r="C10" s="239"/>
      <c r="D10" s="239"/>
      <c r="E10" s="239"/>
      <c r="F10" s="238" t="s">
        <v>312</v>
      </c>
      <c r="G10" s="240" t="s">
        <v>313</v>
      </c>
      <c r="H10" s="239" t="s">
        <v>314</v>
      </c>
      <c r="I10" s="240" t="s">
        <v>315</v>
      </c>
      <c r="J10" s="241" t="s">
        <v>316</v>
      </c>
      <c r="K10" s="241" t="s">
        <v>317</v>
      </c>
      <c r="L10" s="241" t="s">
        <v>318</v>
      </c>
      <c r="R10" s="78"/>
      <c r="S10" s="78"/>
      <c r="T10" s="78"/>
      <c r="U10" s="78"/>
    </row>
    <row r="11" spans="1:21" x14ac:dyDescent="0.2">
      <c r="A11" s="243">
        <v>1</v>
      </c>
      <c r="B11" s="244" t="s">
        <v>319</v>
      </c>
      <c r="C11" s="245"/>
      <c r="D11" s="245"/>
      <c r="E11" s="246"/>
      <c r="F11" s="247">
        <f>SUM(SUM(Cronogra!S4:X4))</f>
        <v>2804684</v>
      </c>
      <c r="G11" s="248">
        <f>Cronogra!AE24</f>
        <v>2411010.33</v>
      </c>
      <c r="H11" s="249"/>
      <c r="I11" s="248">
        <f>5609368</f>
        <v>5609368</v>
      </c>
      <c r="J11" s="250">
        <f>F11-G11</f>
        <v>393673.66999999993</v>
      </c>
      <c r="K11" s="251">
        <f t="shared" ref="K11:K26" si="0">(J11/F11)*100</f>
        <v>14.036293215207129</v>
      </c>
      <c r="L11" s="251">
        <f>(G11/$G$27)*100</f>
        <v>2.6518740842326642</v>
      </c>
      <c r="O11" s="252"/>
      <c r="R11" s="78"/>
      <c r="S11" s="78"/>
      <c r="T11" s="78"/>
      <c r="U11" s="78"/>
    </row>
    <row r="12" spans="1:21" x14ac:dyDescent="0.2">
      <c r="A12" s="243">
        <v>2</v>
      </c>
      <c r="B12" s="253" t="s">
        <v>320</v>
      </c>
      <c r="C12" s="254"/>
      <c r="D12" s="254"/>
      <c r="E12" s="255"/>
      <c r="F12" s="247">
        <f>SUM(SUM(Cronogra!S5:X5))</f>
        <v>1739807.7804214035</v>
      </c>
      <c r="G12" s="256">
        <f>Cronogra!AE25</f>
        <v>1530846.54</v>
      </c>
      <c r="H12" s="249"/>
      <c r="I12" s="256">
        <f>3952195.39</f>
        <v>3952195.39</v>
      </c>
      <c r="J12" s="250">
        <f t="shared" ref="J12:J26" si="1">F12-G12</f>
        <v>208961.24042140343</v>
      </c>
      <c r="K12" s="251">
        <f t="shared" si="0"/>
        <v>12.010593513427695</v>
      </c>
      <c r="L12" s="251">
        <f t="shared" ref="L12:L26" si="2">(G12/$G$27)*100</f>
        <v>1.683780536254792</v>
      </c>
      <c r="O12" s="252"/>
      <c r="R12" s="78"/>
      <c r="S12" s="78"/>
      <c r="T12" s="78"/>
      <c r="U12" s="78"/>
    </row>
    <row r="13" spans="1:21" x14ac:dyDescent="0.2">
      <c r="A13" s="243">
        <v>3</v>
      </c>
      <c r="B13" s="253" t="s">
        <v>321</v>
      </c>
      <c r="C13" s="254"/>
      <c r="D13" s="254"/>
      <c r="E13" s="255"/>
      <c r="F13" s="247">
        <f>SUM(SUM(Cronogra!S6:X6))</f>
        <v>933397.9088210935</v>
      </c>
      <c r="G13" s="256">
        <f>Cronogra!AE26</f>
        <v>402228.03</v>
      </c>
      <c r="H13" s="249"/>
      <c r="I13" s="256">
        <f>2019326.11</f>
        <v>2019326.11</v>
      </c>
      <c r="J13" s="250">
        <f t="shared" si="1"/>
        <v>531169.87882109347</v>
      </c>
      <c r="K13" s="251">
        <f t="shared" si="0"/>
        <v>56.90712115393265</v>
      </c>
      <c r="L13" s="251">
        <f t="shared" si="2"/>
        <v>0.44241124786427549</v>
      </c>
      <c r="O13" s="252"/>
      <c r="R13" s="78"/>
      <c r="S13" s="78"/>
      <c r="T13" s="78"/>
      <c r="U13" s="78"/>
    </row>
    <row r="14" spans="1:21" x14ac:dyDescent="0.2">
      <c r="A14" s="243">
        <v>4</v>
      </c>
      <c r="B14" s="253" t="s">
        <v>322</v>
      </c>
      <c r="C14" s="254"/>
      <c r="D14" s="254"/>
      <c r="E14" s="255"/>
      <c r="F14" s="247">
        <f>SUM(SUM(Cronogra!S7:X7))</f>
        <v>1313520.0398815211</v>
      </c>
      <c r="G14" s="256">
        <f>Cronogra!AE27</f>
        <v>1436991.23</v>
      </c>
      <c r="H14" s="249"/>
      <c r="I14" s="256">
        <f>3111454.3</f>
        <v>3111454.3</v>
      </c>
      <c r="J14" s="250">
        <f t="shared" si="1"/>
        <v>-123471.19011847884</v>
      </c>
      <c r="K14" s="251">
        <f t="shared" si="0"/>
        <v>-9.4000233243198856</v>
      </c>
      <c r="L14" s="251">
        <f t="shared" si="2"/>
        <v>1.5805489319934269</v>
      </c>
      <c r="R14" s="78"/>
      <c r="S14" s="78"/>
      <c r="T14" s="78"/>
      <c r="U14" s="78"/>
    </row>
    <row r="15" spans="1:21" x14ac:dyDescent="0.2">
      <c r="A15" s="243">
        <v>5</v>
      </c>
      <c r="B15" s="253" t="s">
        <v>323</v>
      </c>
      <c r="C15" s="254"/>
      <c r="D15" s="254"/>
      <c r="E15" s="255"/>
      <c r="F15" s="247">
        <f>SUM(SUM(Cronogra!S8:X8))</f>
        <v>7062525.684004005</v>
      </c>
      <c r="G15" s="256">
        <f>Cronogra!AE28</f>
        <v>7357916.3700000001</v>
      </c>
      <c r="H15" s="249"/>
      <c r="I15" s="256">
        <f>15470195.76</f>
        <v>15470195.76</v>
      </c>
      <c r="J15" s="250">
        <f t="shared" si="1"/>
        <v>-295390.68599599507</v>
      </c>
      <c r="K15" s="251">
        <f t="shared" si="0"/>
        <v>-4.1825077771402484</v>
      </c>
      <c r="L15" s="251">
        <f t="shared" si="2"/>
        <v>8.0929838801454999</v>
      </c>
    </row>
    <row r="16" spans="1:21" x14ac:dyDescent="0.2">
      <c r="A16" s="243">
        <v>6</v>
      </c>
      <c r="B16" s="253" t="s">
        <v>324</v>
      </c>
      <c r="C16" s="254"/>
      <c r="D16" s="254"/>
      <c r="E16" s="255"/>
      <c r="F16" s="247">
        <f>SUM(SUM(Cronogra!S9:X9))</f>
        <v>2262171.6637926474</v>
      </c>
      <c r="G16" s="256">
        <f>Cronogra!AE29</f>
        <v>1917636.5800000003</v>
      </c>
      <c r="H16" s="249">
        <f>67686015.71</f>
        <v>67686015.709999993</v>
      </c>
      <c r="I16" s="256">
        <f>4946756.38</f>
        <v>4946756.38</v>
      </c>
      <c r="J16" s="250">
        <f t="shared" si="1"/>
        <v>344535.08379264711</v>
      </c>
      <c r="K16" s="251">
        <f t="shared" si="0"/>
        <v>15.230280235011708</v>
      </c>
      <c r="L16" s="251">
        <f t="shared" si="2"/>
        <v>2.1092115144436394</v>
      </c>
      <c r="O16" s="252"/>
      <c r="S16" s="252"/>
      <c r="T16" s="167"/>
      <c r="U16" s="252"/>
    </row>
    <row r="17" spans="1:18" x14ac:dyDescent="0.2">
      <c r="A17" s="243">
        <v>7</v>
      </c>
      <c r="B17" s="253" t="s">
        <v>325</v>
      </c>
      <c r="C17" s="254"/>
      <c r="D17" s="254"/>
      <c r="E17" s="255"/>
      <c r="F17" s="247">
        <f>SUM(SUM(Cronogra!S10:X10))</f>
        <v>863195.62011149595</v>
      </c>
      <c r="G17" s="256">
        <f>Cronogra!AE30</f>
        <v>722962.83000000007</v>
      </c>
      <c r="H17" s="249"/>
      <c r="I17" s="256">
        <f>1947634.6</f>
        <v>1947634.6</v>
      </c>
      <c r="J17" s="250">
        <f t="shared" si="1"/>
        <v>140232.79011149588</v>
      </c>
      <c r="K17" s="251">
        <f t="shared" si="0"/>
        <v>16.245771739826772</v>
      </c>
      <c r="L17" s="251">
        <f t="shared" si="2"/>
        <v>0.79518796285725801</v>
      </c>
      <c r="O17" s="252"/>
    </row>
    <row r="18" spans="1:18" x14ac:dyDescent="0.2">
      <c r="A18" s="243">
        <v>8</v>
      </c>
      <c r="B18" s="253" t="s">
        <v>326</v>
      </c>
      <c r="C18" s="254"/>
      <c r="D18" s="254"/>
      <c r="E18" s="255"/>
      <c r="F18" s="247">
        <f>SUM(SUM(Cronogra!S11:X11))</f>
        <v>9981190.1806888897</v>
      </c>
      <c r="G18" s="256">
        <f>Cronogra!AE31</f>
        <v>6503860.1799999997</v>
      </c>
      <c r="H18" s="249"/>
      <c r="I18" s="256">
        <f>22745435.94</f>
        <v>22745435.940000001</v>
      </c>
      <c r="J18" s="250">
        <f t="shared" si="1"/>
        <v>3477330.00068889</v>
      </c>
      <c r="K18" s="251">
        <f t="shared" si="0"/>
        <v>34.838831218912702</v>
      </c>
      <c r="L18" s="251">
        <f t="shared" si="2"/>
        <v>7.1536061227969894</v>
      </c>
      <c r="O18" s="252"/>
      <c r="P18" s="257"/>
    </row>
    <row r="19" spans="1:18" x14ac:dyDescent="0.2">
      <c r="A19" s="243">
        <v>9</v>
      </c>
      <c r="B19" s="253" t="s">
        <v>327</v>
      </c>
      <c r="C19" s="254"/>
      <c r="D19" s="254"/>
      <c r="E19" s="255"/>
      <c r="F19" s="247">
        <f>SUM(SUM(Cronogra!S12:X12))</f>
        <v>28843119.623425424</v>
      </c>
      <c r="G19" s="256">
        <f>Cronogra!AE32</f>
        <v>28030392.660000004</v>
      </c>
      <c r="H19" s="249"/>
      <c r="I19" s="256">
        <f>63883109.89</f>
        <v>63883109.890000001</v>
      </c>
      <c r="J19" s="250">
        <f t="shared" si="1"/>
        <v>812726.96342542022</v>
      </c>
      <c r="K19" s="251">
        <f t="shared" si="0"/>
        <v>2.81774986213818</v>
      </c>
      <c r="L19" s="251">
        <f>(G19/$G$27)*100</f>
        <v>30.830673324373315</v>
      </c>
      <c r="O19" s="252"/>
    </row>
    <row r="20" spans="1:18" x14ac:dyDescent="0.2">
      <c r="A20" s="243">
        <v>10</v>
      </c>
      <c r="B20" s="253" t="s">
        <v>328</v>
      </c>
      <c r="C20" s="254"/>
      <c r="D20" s="254"/>
      <c r="E20" s="255"/>
      <c r="F20" s="247">
        <f>SUM(SUM(Cronogra!S13:X13))</f>
        <v>19318462.750770994</v>
      </c>
      <c r="G20" s="256">
        <f>Cronogra!AE33</f>
        <v>16544060.449999999</v>
      </c>
      <c r="H20" s="249"/>
      <c r="I20" s="256">
        <f>43285142.45</f>
        <v>43285142.450000003</v>
      </c>
      <c r="J20" s="250">
        <f t="shared" si="1"/>
        <v>2774402.3007709943</v>
      </c>
      <c r="K20" s="251">
        <f t="shared" si="0"/>
        <v>14.361403060708176</v>
      </c>
      <c r="L20" s="251">
        <f>(G20/$G$27)*100</f>
        <v>18.196838316878381</v>
      </c>
    </row>
    <row r="21" spans="1:18" x14ac:dyDescent="0.2">
      <c r="A21" s="243">
        <v>11</v>
      </c>
      <c r="B21" s="253" t="s">
        <v>329</v>
      </c>
      <c r="C21" s="254"/>
      <c r="D21" s="254"/>
      <c r="E21" s="255"/>
      <c r="F21" s="247">
        <f>SUM(SUM(Cronogra!S14:X14))</f>
        <v>2693986.9935018625</v>
      </c>
      <c r="G21" s="256">
        <f>Cronogra!AE34</f>
        <v>2143458.89</v>
      </c>
      <c r="H21" s="249"/>
      <c r="I21" s="256">
        <f>6251701.18</f>
        <v>6251701.1799999997</v>
      </c>
      <c r="J21" s="250">
        <f t="shared" si="1"/>
        <v>550528.10350186238</v>
      </c>
      <c r="K21" s="251">
        <f t="shared" si="0"/>
        <v>20.435440290906577</v>
      </c>
      <c r="L21" s="251">
        <f t="shared" si="2"/>
        <v>2.3575938312172697</v>
      </c>
    </row>
    <row r="22" spans="1:18" x14ac:dyDescent="0.2">
      <c r="A22" s="243">
        <v>12</v>
      </c>
      <c r="B22" s="253" t="s">
        <v>330</v>
      </c>
      <c r="C22" s="254"/>
      <c r="D22" s="254"/>
      <c r="E22" s="255"/>
      <c r="F22" s="247">
        <f>SUM(SUM(Cronogra!S15:X15))</f>
        <v>1235714.0260419135</v>
      </c>
      <c r="G22" s="256">
        <f>Cronogra!AE35</f>
        <v>1504311.3900000001</v>
      </c>
      <c r="H22" s="249"/>
      <c r="I22" s="256">
        <f>3627103.08</f>
        <v>3627103.08</v>
      </c>
      <c r="J22" s="250">
        <f t="shared" si="1"/>
        <v>-268597.36395808659</v>
      </c>
      <c r="K22" s="251">
        <f t="shared" si="0"/>
        <v>-21.736207431295774</v>
      </c>
      <c r="L22" s="251">
        <f t="shared" si="2"/>
        <v>1.6545944827026173</v>
      </c>
      <c r="O22" s="252"/>
    </row>
    <row r="23" spans="1:18" x14ac:dyDescent="0.2">
      <c r="A23" s="243">
        <v>13</v>
      </c>
      <c r="B23" s="253" t="s">
        <v>331</v>
      </c>
      <c r="C23" s="254"/>
      <c r="D23" s="254"/>
      <c r="E23" s="255"/>
      <c r="F23" s="247">
        <f>SUM(SUM(Cronogra!S16:X16))</f>
        <v>1682325.1390583278</v>
      </c>
      <c r="G23" s="256">
        <f>Cronogra!AE36</f>
        <v>1154745.6400000001</v>
      </c>
      <c r="H23" s="258"/>
      <c r="I23" s="256">
        <f>3696620.2</f>
        <v>3696620.2</v>
      </c>
      <c r="J23" s="250">
        <f t="shared" si="1"/>
        <v>527579.49905832764</v>
      </c>
      <c r="K23" s="251">
        <f t="shared" si="0"/>
        <v>31.360138822727059</v>
      </c>
      <c r="L23" s="251">
        <f t="shared" si="2"/>
        <v>1.2701065600978416</v>
      </c>
      <c r="O23" s="259"/>
      <c r="P23" s="252"/>
    </row>
    <row r="24" spans="1:18" x14ac:dyDescent="0.2">
      <c r="A24" s="243">
        <v>14</v>
      </c>
      <c r="B24" s="253" t="s">
        <v>332</v>
      </c>
      <c r="C24" s="254"/>
      <c r="D24" s="258"/>
      <c r="E24" s="255"/>
      <c r="F24" s="247">
        <f>SUM(SUM(Cronogra!S17:X17))</f>
        <v>82519.418781228116</v>
      </c>
      <c r="G24" s="256">
        <f>Cronogra!AE37</f>
        <v>0</v>
      </c>
      <c r="H24" s="258"/>
      <c r="I24" s="256">
        <f>142.07</f>
        <v>142.07</v>
      </c>
      <c r="J24" s="250">
        <f t="shared" si="1"/>
        <v>82519.418781228116</v>
      </c>
      <c r="K24" s="251">
        <f t="shared" si="0"/>
        <v>100</v>
      </c>
      <c r="L24" s="251">
        <f t="shared" si="2"/>
        <v>0</v>
      </c>
      <c r="O24" s="259"/>
      <c r="P24" s="252"/>
      <c r="R24" s="252"/>
    </row>
    <row r="25" spans="1:18" x14ac:dyDescent="0.2">
      <c r="A25" s="243">
        <v>15</v>
      </c>
      <c r="B25" s="253" t="s">
        <v>333</v>
      </c>
      <c r="C25" s="254"/>
      <c r="D25" s="258"/>
      <c r="E25" s="255"/>
      <c r="F25" s="247">
        <f>SUM(SUM(Cronogra!S18:X18))</f>
        <v>24598536.139837183</v>
      </c>
      <c r="G25" s="256">
        <f>Cronogra!AE38</f>
        <v>17330717.390000001</v>
      </c>
      <c r="H25" s="164">
        <f>21296552.97</f>
        <v>21296552.969999999</v>
      </c>
      <c r="I25" s="256">
        <v>53822953.909999996</v>
      </c>
      <c r="J25" s="250">
        <f t="shared" si="1"/>
        <v>7267818.7498371825</v>
      </c>
      <c r="K25" s="251">
        <f t="shared" si="0"/>
        <v>29.545736821578554</v>
      </c>
      <c r="L25" s="251">
        <f>(G25/$G$27)*100</f>
        <v>19.062083532301315</v>
      </c>
      <c r="O25" s="252"/>
      <c r="P25" s="252"/>
      <c r="R25" s="252"/>
    </row>
    <row r="26" spans="1:18" x14ac:dyDescent="0.2">
      <c r="A26" s="260">
        <v>16</v>
      </c>
      <c r="B26" s="261" t="s">
        <v>334</v>
      </c>
      <c r="C26" s="262"/>
      <c r="D26" s="262"/>
      <c r="E26" s="263"/>
      <c r="F26" s="247">
        <f>SUM(SUM(Cronogra!S19:X19))</f>
        <v>2235980.3222450875</v>
      </c>
      <c r="G26" s="264">
        <f>Cronogra!AE39</f>
        <v>1926086.57</v>
      </c>
      <c r="H26" s="164">
        <f>2622709.4</f>
        <v>2622709.4</v>
      </c>
      <c r="I26" s="264">
        <f>4892448.28</f>
        <v>4892448.28</v>
      </c>
      <c r="J26" s="250">
        <f t="shared" si="1"/>
        <v>309893.75224508741</v>
      </c>
      <c r="K26" s="251">
        <f t="shared" si="0"/>
        <v>13.859413214063149</v>
      </c>
      <c r="L26" s="251">
        <f t="shared" si="2"/>
        <v>2.1185056718407274</v>
      </c>
      <c r="O26" s="252"/>
    </row>
    <row r="27" spans="1:18" x14ac:dyDescent="0.2">
      <c r="A27" s="1214" t="s">
        <v>335</v>
      </c>
      <c r="B27" s="1215"/>
      <c r="C27" s="265"/>
      <c r="D27" s="265"/>
      <c r="E27" s="266"/>
      <c r="F27" s="267">
        <f>SUM(F11:F26)</f>
        <v>107651137.29138306</v>
      </c>
      <c r="G27" s="268">
        <f>SUM(G11:G26)</f>
        <v>90917225.079999998</v>
      </c>
      <c r="H27" s="130">
        <f>SUM(H11:H26)</f>
        <v>91605278.079999998</v>
      </c>
      <c r="I27" s="49">
        <f>SUM(I11:I26)</f>
        <v>239261587.53999999</v>
      </c>
      <c r="J27" s="130">
        <f>SUM(J11:J26)</f>
        <v>16733912.211383071</v>
      </c>
      <c r="K27" s="130"/>
      <c r="L27" s="54">
        <f>SUM(L11:L26)</f>
        <v>100.00000000000001</v>
      </c>
      <c r="O27" s="252"/>
    </row>
    <row r="28" spans="1:18" x14ac:dyDescent="0.2">
      <c r="B28" s="105" t="s">
        <v>336</v>
      </c>
      <c r="C28" s="105" t="s">
        <v>337</v>
      </c>
      <c r="I28" s="269">
        <f>239261587.54-I27</f>
        <v>0</v>
      </c>
      <c r="R28" s="252"/>
    </row>
    <row r="29" spans="1:18" s="78" customFormat="1" ht="8.25" x14ac:dyDescent="0.15">
      <c r="F29" s="62"/>
      <c r="G29" s="269">
        <f>G27-Cronogra!AE40</f>
        <v>0</v>
      </c>
      <c r="H29" s="269">
        <f>H27-Cronogra!D53</f>
        <v>0</v>
      </c>
      <c r="J29" s="34"/>
    </row>
    <row r="30" spans="1:18" x14ac:dyDescent="0.2">
      <c r="B30" s="52" t="s">
        <v>338</v>
      </c>
      <c r="C30" s="31" t="s">
        <v>339</v>
      </c>
      <c r="F30" s="164"/>
      <c r="G30" s="270"/>
    </row>
    <row r="31" spans="1:18" ht="14.25" x14ac:dyDescent="0.3">
      <c r="B31" s="271" t="s">
        <v>2613</v>
      </c>
      <c r="C31" s="105"/>
      <c r="F31" s="164"/>
      <c r="G31" s="272"/>
    </row>
    <row r="32" spans="1:18" x14ac:dyDescent="0.2">
      <c r="B32" s="273" t="s">
        <v>340</v>
      </c>
      <c r="C32" s="31" t="s">
        <v>341</v>
      </c>
    </row>
    <row r="33" spans="2:15" x14ac:dyDescent="0.2">
      <c r="B33" s="31" t="s">
        <v>342</v>
      </c>
      <c r="M33" s="259"/>
    </row>
    <row r="34" spans="2:15" x14ac:dyDescent="0.2">
      <c r="B34" s="273" t="s">
        <v>343</v>
      </c>
      <c r="C34" s="37" t="str">
        <f>IF(H34&gt;0,"Superávit Orçamentário Consolidado apurado do período","Déficit Orçamentário Consolidado apurado do período")</f>
        <v>Superávit Orçamentário Consolidado apurado do período</v>
      </c>
      <c r="H34" s="274">
        <f>H27-G27</f>
        <v>688053</v>
      </c>
      <c r="I34" s="252" t="s">
        <v>344</v>
      </c>
      <c r="M34" s="259"/>
    </row>
    <row r="35" spans="2:15" x14ac:dyDescent="0.2">
      <c r="B35" s="273" t="s">
        <v>345</v>
      </c>
      <c r="C35" s="275" t="str">
        <f>IF(H35&gt;0,"Superávit Orçamentário da Pref. Municipal apurado do período","Déficit Orçamentário da Pref. Municipal apurado do período")</f>
        <v>Déficit Orçamentário da Pref. Municipal apurado do período</v>
      </c>
      <c r="H35" s="257">
        <f>H16-SUM(G11:G24)</f>
        <v>-3974405.4100000113</v>
      </c>
      <c r="I35" s="368"/>
      <c r="J35" s="277"/>
      <c r="K35" s="276"/>
      <c r="O35" s="252"/>
    </row>
    <row r="36" spans="2:15" x14ac:dyDescent="0.2">
      <c r="B36" s="273" t="s">
        <v>346</v>
      </c>
      <c r="C36" s="278" t="s">
        <v>2614</v>
      </c>
      <c r="D36" s="258"/>
      <c r="E36" s="258"/>
      <c r="F36" s="258"/>
      <c r="G36" s="258"/>
      <c r="H36" s="257"/>
      <c r="J36" s="279">
        <f>Exec_Orç!K19</f>
        <v>10705244.970000001</v>
      </c>
      <c r="K36" s="280"/>
    </row>
    <row r="37" spans="2:15" s="105" customFormat="1" ht="11.25" x14ac:dyDescent="0.2">
      <c r="B37" s="273"/>
      <c r="C37" s="110"/>
      <c r="E37" s="167"/>
      <c r="G37" s="167"/>
      <c r="H37" s="167"/>
      <c r="J37" s="226"/>
    </row>
    <row r="38" spans="2:15" s="105" customFormat="1" ht="11.25" x14ac:dyDescent="0.2">
      <c r="B38" s="31"/>
      <c r="G38" s="123"/>
      <c r="H38" s="313"/>
      <c r="I38" s="167"/>
      <c r="J38" s="167"/>
    </row>
    <row r="39" spans="2:15" s="105" customFormat="1" ht="11.25" x14ac:dyDescent="0.2">
      <c r="B39" s="28"/>
      <c r="C39" s="29" t="s">
        <v>23</v>
      </c>
      <c r="D39" s="28"/>
      <c r="E39" s="28"/>
      <c r="F39" s="30" t="s">
        <v>24</v>
      </c>
      <c r="G39" s="30"/>
      <c r="H39" s="123"/>
      <c r="I39" s="29"/>
      <c r="J39" s="32" t="s">
        <v>25</v>
      </c>
      <c r="K39" s="31"/>
    </row>
    <row r="40" spans="2:15" s="105" customFormat="1" ht="11.25" x14ac:dyDescent="0.2">
      <c r="B40" s="28"/>
      <c r="C40" s="29" t="s">
        <v>26</v>
      </c>
      <c r="D40" s="28"/>
      <c r="E40" s="28"/>
      <c r="F40" s="30" t="s">
        <v>27</v>
      </c>
      <c r="G40" s="30"/>
      <c r="H40" s="31"/>
      <c r="I40" s="29"/>
      <c r="J40" s="32" t="s">
        <v>28</v>
      </c>
      <c r="K40" s="31"/>
    </row>
    <row r="41" spans="2:15" x14ac:dyDescent="0.2">
      <c r="B41" s="33"/>
      <c r="C41" s="33"/>
      <c r="D41" s="33"/>
      <c r="E41" s="33"/>
      <c r="F41" s="33"/>
      <c r="G41" s="33"/>
      <c r="H41" s="34"/>
      <c r="I41" s="33"/>
      <c r="J41" s="33"/>
      <c r="K41" s="33"/>
    </row>
    <row r="42" spans="2:15" s="105" customFormat="1" ht="11.25" x14ac:dyDescent="0.2"/>
    <row r="43" spans="2:15" s="105" customFormat="1" ht="11.25" x14ac:dyDescent="0.2"/>
    <row r="44" spans="2:15" s="105" customFormat="1" ht="11.25" x14ac:dyDescent="0.2"/>
    <row r="45" spans="2:15" s="105" customFormat="1" ht="11.25" x14ac:dyDescent="0.2"/>
    <row r="46" spans="2:15" s="105" customFormat="1" ht="11.25" x14ac:dyDescent="0.2"/>
    <row r="47" spans="2:15" s="105" customFormat="1" ht="11.25" x14ac:dyDescent="0.2"/>
    <row r="48" spans="2:15" s="105" customFormat="1" ht="11.25" x14ac:dyDescent="0.2"/>
    <row r="49" s="105" customFormat="1" ht="11.25" x14ac:dyDescent="0.2"/>
    <row r="50" s="105" customFormat="1" ht="11.25" x14ac:dyDescent="0.2"/>
    <row r="51" s="105" customFormat="1" ht="11.25" x14ac:dyDescent="0.2"/>
    <row r="52" s="105" customFormat="1" ht="11.25" x14ac:dyDescent="0.2"/>
    <row r="53" s="105" customFormat="1" ht="11.25" x14ac:dyDescent="0.2"/>
    <row r="54" s="105" customFormat="1" ht="11.25" x14ac:dyDescent="0.2"/>
    <row r="55" s="105" customFormat="1" ht="11.25" x14ac:dyDescent="0.2"/>
    <row r="56" s="105" customFormat="1" ht="11.25" x14ac:dyDescent="0.2"/>
    <row r="57" s="105" customFormat="1" ht="11.25" x14ac:dyDescent="0.2"/>
    <row r="58" s="105" customFormat="1" ht="11.25" x14ac:dyDescent="0.2"/>
    <row r="59" s="105" customFormat="1" ht="11.25" x14ac:dyDescent="0.2"/>
    <row r="60" s="105" customFormat="1" ht="11.25" x14ac:dyDescent="0.2"/>
    <row r="61" s="105" customFormat="1" ht="11.25" x14ac:dyDescent="0.2"/>
    <row r="62" s="105" customFormat="1" ht="11.25" x14ac:dyDescent="0.2"/>
    <row r="63" s="105" customFormat="1" ht="11.25" x14ac:dyDescent="0.2"/>
    <row r="64" s="105" customFormat="1" ht="11.25" x14ac:dyDescent="0.2"/>
    <row r="65" spans="1:10" s="105" customFormat="1" ht="11.25" x14ac:dyDescent="0.2"/>
    <row r="66" spans="1:10" s="105" customFormat="1" ht="11.25" x14ac:dyDescent="0.2"/>
    <row r="67" spans="1:10" s="105" customFormat="1" ht="11.25" x14ac:dyDescent="0.2"/>
    <row r="68" spans="1:10" s="105" customFormat="1" ht="11.25" x14ac:dyDescent="0.2"/>
    <row r="69" spans="1:10" s="105" customFormat="1" ht="11.25" x14ac:dyDescent="0.2"/>
    <row r="70" spans="1:10" s="105" customFormat="1" ht="11.25" x14ac:dyDescent="0.2"/>
    <row r="71" spans="1:10" s="105" customFormat="1" ht="11.25" x14ac:dyDescent="0.2"/>
    <row r="72" spans="1:10" s="105" customFormat="1" ht="11.25" x14ac:dyDescent="0.2"/>
    <row r="73" spans="1:10" s="105" customFormat="1" ht="11.25" x14ac:dyDescent="0.2"/>
    <row r="74" spans="1:10" x14ac:dyDescent="0.2">
      <c r="B74" s="37" t="s">
        <v>347</v>
      </c>
    </row>
    <row r="75" spans="1:10" s="105" customFormat="1" ht="11.25" x14ac:dyDescent="0.2">
      <c r="B75" s="31" t="s">
        <v>348</v>
      </c>
    </row>
    <row r="76" spans="1:10" s="105" customFormat="1" ht="11.25" x14ac:dyDescent="0.2">
      <c r="B76" s="31" t="s">
        <v>349</v>
      </c>
    </row>
    <row r="77" spans="1:10" s="105" customFormat="1" ht="11.25" x14ac:dyDescent="0.2">
      <c r="B77" s="31" t="s">
        <v>459</v>
      </c>
    </row>
    <row r="78" spans="1:10" x14ac:dyDescent="0.2">
      <c r="A78" s="258"/>
      <c r="B78" s="31" t="s">
        <v>465</v>
      </c>
      <c r="I78" s="421">
        <f>((Cronogra!AE56-Exec_Orç!W19)/SUM(RCL!D4:I4))*100</f>
        <v>7.1688377299925481</v>
      </c>
    </row>
    <row r="79" spans="1:10" x14ac:dyDescent="0.2">
      <c r="I79" s="259" t="e">
        <f>(Cronogra!AE56/RCL!#REF!)*100</f>
        <v>#REF!</v>
      </c>
      <c r="J79" s="136"/>
    </row>
    <row r="80" spans="1:10" x14ac:dyDescent="0.2">
      <c r="I80" s="598"/>
      <c r="J80" s="259"/>
    </row>
    <row r="82" spans="2:11" x14ac:dyDescent="0.2">
      <c r="B82" s="28"/>
      <c r="C82" s="29" t="s">
        <v>23</v>
      </c>
      <c r="D82" s="28"/>
      <c r="E82" s="28"/>
      <c r="F82" s="30" t="s">
        <v>24</v>
      </c>
      <c r="G82" s="30"/>
      <c r="H82" s="31"/>
      <c r="I82" s="29"/>
      <c r="J82" s="32" t="s">
        <v>25</v>
      </c>
      <c r="K82" s="31"/>
    </row>
    <row r="83" spans="2:11" x14ac:dyDescent="0.2">
      <c r="B83" s="28"/>
      <c r="C83" s="29" t="s">
        <v>26</v>
      </c>
      <c r="D83" s="28"/>
      <c r="E83" s="28"/>
      <c r="F83" s="30" t="s">
        <v>27</v>
      </c>
      <c r="G83" s="30"/>
      <c r="H83" s="31"/>
      <c r="I83" s="29"/>
      <c r="J83" s="32" t="s">
        <v>28</v>
      </c>
      <c r="K83" s="33"/>
    </row>
    <row r="84" spans="2:11" x14ac:dyDescent="0.2">
      <c r="B84" s="33"/>
      <c r="C84" s="33"/>
      <c r="D84" s="33"/>
      <c r="E84" s="33"/>
      <c r="F84" s="33"/>
      <c r="G84" s="33"/>
      <c r="H84" s="34"/>
      <c r="I84" s="33"/>
      <c r="J84" s="33"/>
      <c r="K84" s="33"/>
    </row>
  </sheetData>
  <mergeCells count="3">
    <mergeCell ref="A8:C8"/>
    <mergeCell ref="A9:C9"/>
    <mergeCell ref="A27:B27"/>
  </mergeCells>
  <pageMargins left="0.51181102362204722" right="0.51181102362204722" top="0.78740157480314965" bottom="0.78740157480314965" header="0.31496062992125984" footer="0.31496062992125984"/>
  <pageSetup paperSize="9" orientation="landscape" horizontalDpi="0" verticalDpi="0" r:id="rId1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62"/>
  <sheetViews>
    <sheetView workbookViewId="0">
      <selection activeCell="G28" sqref="G28"/>
    </sheetView>
  </sheetViews>
  <sheetFormatPr defaultRowHeight="15" x14ac:dyDescent="0.25"/>
  <cols>
    <col min="1" max="1" width="3.5703125" customWidth="1"/>
    <col min="2" max="2" width="7.5703125" customWidth="1"/>
    <col min="3" max="3" width="12" bestFit="1" customWidth="1"/>
    <col min="4" max="4" width="12.140625" bestFit="1" customWidth="1"/>
    <col min="5" max="5" width="13.140625" style="38" customWidth="1"/>
    <col min="6" max="6" width="12" customWidth="1"/>
    <col min="7" max="7" width="11" customWidth="1"/>
    <col min="8" max="8" width="11.28515625" customWidth="1"/>
    <col min="9" max="9" width="11.7109375" customWidth="1"/>
    <col min="10" max="10" width="10" customWidth="1"/>
    <col min="11" max="11" width="9.85546875" customWidth="1"/>
    <col min="12" max="12" width="10.85546875" customWidth="1"/>
    <col min="13" max="13" width="10.42578125" style="1" customWidth="1"/>
    <col min="14" max="14" width="6.7109375" style="1" customWidth="1"/>
    <col min="15" max="15" width="10.7109375" style="1" bestFit="1" customWidth="1"/>
    <col min="16" max="17" width="12.28515625" style="1" bestFit="1" customWidth="1"/>
    <col min="18" max="19" width="11.42578125" bestFit="1" customWidth="1"/>
    <col min="20" max="20" width="11.85546875" bestFit="1" customWidth="1"/>
    <col min="21" max="21" width="11.5703125" bestFit="1" customWidth="1"/>
    <col min="22" max="22" width="11" bestFit="1" customWidth="1"/>
    <col min="23" max="23" width="10.5703125" bestFit="1" customWidth="1"/>
    <col min="24" max="25" width="12.85546875" bestFit="1" customWidth="1"/>
    <col min="258" max="258" width="4.140625" bestFit="1" customWidth="1"/>
    <col min="259" max="259" width="8.42578125" bestFit="1" customWidth="1"/>
    <col min="260" max="260" width="11.7109375" bestFit="1" customWidth="1"/>
    <col min="261" max="262" width="13.7109375" bestFit="1" customWidth="1"/>
    <col min="263" max="263" width="12.5703125" bestFit="1" customWidth="1"/>
    <col min="264" max="264" width="12.85546875" bestFit="1" customWidth="1"/>
    <col min="265" max="265" width="13.85546875" bestFit="1" customWidth="1"/>
    <col min="266" max="267" width="12.85546875" bestFit="1" customWidth="1"/>
    <col min="268" max="268" width="4.7109375" bestFit="1" customWidth="1"/>
    <col min="269" max="270" width="12.85546875" bestFit="1" customWidth="1"/>
    <col min="514" max="514" width="4.140625" bestFit="1" customWidth="1"/>
    <col min="515" max="515" width="8.42578125" bestFit="1" customWidth="1"/>
    <col min="516" max="516" width="11.7109375" bestFit="1" customWidth="1"/>
    <col min="517" max="518" width="13.7109375" bestFit="1" customWidth="1"/>
    <col min="519" max="519" width="12.5703125" bestFit="1" customWidth="1"/>
    <col min="520" max="520" width="12.85546875" bestFit="1" customWidth="1"/>
    <col min="521" max="521" width="13.85546875" bestFit="1" customWidth="1"/>
    <col min="522" max="523" width="12.85546875" bestFit="1" customWidth="1"/>
    <col min="524" max="524" width="4.7109375" bestFit="1" customWidth="1"/>
    <col min="525" max="526" width="12.85546875" bestFit="1" customWidth="1"/>
    <col min="770" max="770" width="4.140625" bestFit="1" customWidth="1"/>
    <col min="771" max="771" width="8.42578125" bestFit="1" customWidth="1"/>
    <col min="772" max="772" width="11.7109375" bestFit="1" customWidth="1"/>
    <col min="773" max="774" width="13.7109375" bestFit="1" customWidth="1"/>
    <col min="775" max="775" width="12.5703125" bestFit="1" customWidth="1"/>
    <col min="776" max="776" width="12.85546875" bestFit="1" customWidth="1"/>
    <col min="777" max="777" width="13.85546875" bestFit="1" customWidth="1"/>
    <col min="778" max="779" width="12.85546875" bestFit="1" customWidth="1"/>
    <col min="780" max="780" width="4.7109375" bestFit="1" customWidth="1"/>
    <col min="781" max="782" width="12.85546875" bestFit="1" customWidth="1"/>
    <col min="1026" max="1026" width="4.140625" bestFit="1" customWidth="1"/>
    <col min="1027" max="1027" width="8.42578125" bestFit="1" customWidth="1"/>
    <col min="1028" max="1028" width="11.7109375" bestFit="1" customWidth="1"/>
    <col min="1029" max="1030" width="13.7109375" bestFit="1" customWidth="1"/>
    <col min="1031" max="1031" width="12.5703125" bestFit="1" customWidth="1"/>
    <col min="1032" max="1032" width="12.85546875" bestFit="1" customWidth="1"/>
    <col min="1033" max="1033" width="13.85546875" bestFit="1" customWidth="1"/>
    <col min="1034" max="1035" width="12.85546875" bestFit="1" customWidth="1"/>
    <col min="1036" max="1036" width="4.7109375" bestFit="1" customWidth="1"/>
    <col min="1037" max="1038" width="12.85546875" bestFit="1" customWidth="1"/>
    <col min="1282" max="1282" width="4.140625" bestFit="1" customWidth="1"/>
    <col min="1283" max="1283" width="8.42578125" bestFit="1" customWidth="1"/>
    <col min="1284" max="1284" width="11.7109375" bestFit="1" customWidth="1"/>
    <col min="1285" max="1286" width="13.7109375" bestFit="1" customWidth="1"/>
    <col min="1287" max="1287" width="12.5703125" bestFit="1" customWidth="1"/>
    <col min="1288" max="1288" width="12.85546875" bestFit="1" customWidth="1"/>
    <col min="1289" max="1289" width="13.85546875" bestFit="1" customWidth="1"/>
    <col min="1290" max="1291" width="12.85546875" bestFit="1" customWidth="1"/>
    <col min="1292" max="1292" width="4.7109375" bestFit="1" customWidth="1"/>
    <col min="1293" max="1294" width="12.85546875" bestFit="1" customWidth="1"/>
    <col min="1538" max="1538" width="4.140625" bestFit="1" customWidth="1"/>
    <col min="1539" max="1539" width="8.42578125" bestFit="1" customWidth="1"/>
    <col min="1540" max="1540" width="11.7109375" bestFit="1" customWidth="1"/>
    <col min="1541" max="1542" width="13.7109375" bestFit="1" customWidth="1"/>
    <col min="1543" max="1543" width="12.5703125" bestFit="1" customWidth="1"/>
    <col min="1544" max="1544" width="12.85546875" bestFit="1" customWidth="1"/>
    <col min="1545" max="1545" width="13.85546875" bestFit="1" customWidth="1"/>
    <col min="1546" max="1547" width="12.85546875" bestFit="1" customWidth="1"/>
    <col min="1548" max="1548" width="4.7109375" bestFit="1" customWidth="1"/>
    <col min="1549" max="1550" width="12.85546875" bestFit="1" customWidth="1"/>
    <col min="1794" max="1794" width="4.140625" bestFit="1" customWidth="1"/>
    <col min="1795" max="1795" width="8.42578125" bestFit="1" customWidth="1"/>
    <col min="1796" max="1796" width="11.7109375" bestFit="1" customWidth="1"/>
    <col min="1797" max="1798" width="13.7109375" bestFit="1" customWidth="1"/>
    <col min="1799" max="1799" width="12.5703125" bestFit="1" customWidth="1"/>
    <col min="1800" max="1800" width="12.85546875" bestFit="1" customWidth="1"/>
    <col min="1801" max="1801" width="13.85546875" bestFit="1" customWidth="1"/>
    <col min="1802" max="1803" width="12.85546875" bestFit="1" customWidth="1"/>
    <col min="1804" max="1804" width="4.7109375" bestFit="1" customWidth="1"/>
    <col min="1805" max="1806" width="12.85546875" bestFit="1" customWidth="1"/>
    <col min="2050" max="2050" width="4.140625" bestFit="1" customWidth="1"/>
    <col min="2051" max="2051" width="8.42578125" bestFit="1" customWidth="1"/>
    <col min="2052" max="2052" width="11.7109375" bestFit="1" customWidth="1"/>
    <col min="2053" max="2054" width="13.7109375" bestFit="1" customWidth="1"/>
    <col min="2055" max="2055" width="12.5703125" bestFit="1" customWidth="1"/>
    <col min="2056" max="2056" width="12.85546875" bestFit="1" customWidth="1"/>
    <col min="2057" max="2057" width="13.85546875" bestFit="1" customWidth="1"/>
    <col min="2058" max="2059" width="12.85546875" bestFit="1" customWidth="1"/>
    <col min="2060" max="2060" width="4.7109375" bestFit="1" customWidth="1"/>
    <col min="2061" max="2062" width="12.85546875" bestFit="1" customWidth="1"/>
    <col min="2306" max="2306" width="4.140625" bestFit="1" customWidth="1"/>
    <col min="2307" max="2307" width="8.42578125" bestFit="1" customWidth="1"/>
    <col min="2308" max="2308" width="11.7109375" bestFit="1" customWidth="1"/>
    <col min="2309" max="2310" width="13.7109375" bestFit="1" customWidth="1"/>
    <col min="2311" max="2311" width="12.5703125" bestFit="1" customWidth="1"/>
    <col min="2312" max="2312" width="12.85546875" bestFit="1" customWidth="1"/>
    <col min="2313" max="2313" width="13.85546875" bestFit="1" customWidth="1"/>
    <col min="2314" max="2315" width="12.85546875" bestFit="1" customWidth="1"/>
    <col min="2316" max="2316" width="4.7109375" bestFit="1" customWidth="1"/>
    <col min="2317" max="2318" width="12.85546875" bestFit="1" customWidth="1"/>
    <col min="2562" max="2562" width="4.140625" bestFit="1" customWidth="1"/>
    <col min="2563" max="2563" width="8.42578125" bestFit="1" customWidth="1"/>
    <col min="2564" max="2564" width="11.7109375" bestFit="1" customWidth="1"/>
    <col min="2565" max="2566" width="13.7109375" bestFit="1" customWidth="1"/>
    <col min="2567" max="2567" width="12.5703125" bestFit="1" customWidth="1"/>
    <col min="2568" max="2568" width="12.85546875" bestFit="1" customWidth="1"/>
    <col min="2569" max="2569" width="13.85546875" bestFit="1" customWidth="1"/>
    <col min="2570" max="2571" width="12.85546875" bestFit="1" customWidth="1"/>
    <col min="2572" max="2572" width="4.7109375" bestFit="1" customWidth="1"/>
    <col min="2573" max="2574" width="12.85546875" bestFit="1" customWidth="1"/>
    <col min="2818" max="2818" width="4.140625" bestFit="1" customWidth="1"/>
    <col min="2819" max="2819" width="8.42578125" bestFit="1" customWidth="1"/>
    <col min="2820" max="2820" width="11.7109375" bestFit="1" customWidth="1"/>
    <col min="2821" max="2822" width="13.7109375" bestFit="1" customWidth="1"/>
    <col min="2823" max="2823" width="12.5703125" bestFit="1" customWidth="1"/>
    <col min="2824" max="2824" width="12.85546875" bestFit="1" customWidth="1"/>
    <col min="2825" max="2825" width="13.85546875" bestFit="1" customWidth="1"/>
    <col min="2826" max="2827" width="12.85546875" bestFit="1" customWidth="1"/>
    <col min="2828" max="2828" width="4.7109375" bestFit="1" customWidth="1"/>
    <col min="2829" max="2830" width="12.85546875" bestFit="1" customWidth="1"/>
    <col min="3074" max="3074" width="4.140625" bestFit="1" customWidth="1"/>
    <col min="3075" max="3075" width="8.42578125" bestFit="1" customWidth="1"/>
    <col min="3076" max="3076" width="11.7109375" bestFit="1" customWidth="1"/>
    <col min="3077" max="3078" width="13.7109375" bestFit="1" customWidth="1"/>
    <col min="3079" max="3079" width="12.5703125" bestFit="1" customWidth="1"/>
    <col min="3080" max="3080" width="12.85546875" bestFit="1" customWidth="1"/>
    <col min="3081" max="3081" width="13.85546875" bestFit="1" customWidth="1"/>
    <col min="3082" max="3083" width="12.85546875" bestFit="1" customWidth="1"/>
    <col min="3084" max="3084" width="4.7109375" bestFit="1" customWidth="1"/>
    <col min="3085" max="3086" width="12.85546875" bestFit="1" customWidth="1"/>
    <col min="3330" max="3330" width="4.140625" bestFit="1" customWidth="1"/>
    <col min="3331" max="3331" width="8.42578125" bestFit="1" customWidth="1"/>
    <col min="3332" max="3332" width="11.7109375" bestFit="1" customWidth="1"/>
    <col min="3333" max="3334" width="13.7109375" bestFit="1" customWidth="1"/>
    <col min="3335" max="3335" width="12.5703125" bestFit="1" customWidth="1"/>
    <col min="3336" max="3336" width="12.85546875" bestFit="1" customWidth="1"/>
    <col min="3337" max="3337" width="13.85546875" bestFit="1" customWidth="1"/>
    <col min="3338" max="3339" width="12.85546875" bestFit="1" customWidth="1"/>
    <col min="3340" max="3340" width="4.7109375" bestFit="1" customWidth="1"/>
    <col min="3341" max="3342" width="12.85546875" bestFit="1" customWidth="1"/>
    <col min="3586" max="3586" width="4.140625" bestFit="1" customWidth="1"/>
    <col min="3587" max="3587" width="8.42578125" bestFit="1" customWidth="1"/>
    <col min="3588" max="3588" width="11.7109375" bestFit="1" customWidth="1"/>
    <col min="3589" max="3590" width="13.7109375" bestFit="1" customWidth="1"/>
    <col min="3591" max="3591" width="12.5703125" bestFit="1" customWidth="1"/>
    <col min="3592" max="3592" width="12.85546875" bestFit="1" customWidth="1"/>
    <col min="3593" max="3593" width="13.85546875" bestFit="1" customWidth="1"/>
    <col min="3594" max="3595" width="12.85546875" bestFit="1" customWidth="1"/>
    <col min="3596" max="3596" width="4.7109375" bestFit="1" customWidth="1"/>
    <col min="3597" max="3598" width="12.85546875" bestFit="1" customWidth="1"/>
    <col min="3842" max="3842" width="4.140625" bestFit="1" customWidth="1"/>
    <col min="3843" max="3843" width="8.42578125" bestFit="1" customWidth="1"/>
    <col min="3844" max="3844" width="11.7109375" bestFit="1" customWidth="1"/>
    <col min="3845" max="3846" width="13.7109375" bestFit="1" customWidth="1"/>
    <col min="3847" max="3847" width="12.5703125" bestFit="1" customWidth="1"/>
    <col min="3848" max="3848" width="12.85546875" bestFit="1" customWidth="1"/>
    <col min="3849" max="3849" width="13.85546875" bestFit="1" customWidth="1"/>
    <col min="3850" max="3851" width="12.85546875" bestFit="1" customWidth="1"/>
    <col min="3852" max="3852" width="4.7109375" bestFit="1" customWidth="1"/>
    <col min="3853" max="3854" width="12.85546875" bestFit="1" customWidth="1"/>
    <col min="4098" max="4098" width="4.140625" bestFit="1" customWidth="1"/>
    <col min="4099" max="4099" width="8.42578125" bestFit="1" customWidth="1"/>
    <col min="4100" max="4100" width="11.7109375" bestFit="1" customWidth="1"/>
    <col min="4101" max="4102" width="13.7109375" bestFit="1" customWidth="1"/>
    <col min="4103" max="4103" width="12.5703125" bestFit="1" customWidth="1"/>
    <col min="4104" max="4104" width="12.85546875" bestFit="1" customWidth="1"/>
    <col min="4105" max="4105" width="13.85546875" bestFit="1" customWidth="1"/>
    <col min="4106" max="4107" width="12.85546875" bestFit="1" customWidth="1"/>
    <col min="4108" max="4108" width="4.7109375" bestFit="1" customWidth="1"/>
    <col min="4109" max="4110" width="12.85546875" bestFit="1" customWidth="1"/>
    <col min="4354" max="4354" width="4.140625" bestFit="1" customWidth="1"/>
    <col min="4355" max="4355" width="8.42578125" bestFit="1" customWidth="1"/>
    <col min="4356" max="4356" width="11.7109375" bestFit="1" customWidth="1"/>
    <col min="4357" max="4358" width="13.7109375" bestFit="1" customWidth="1"/>
    <col min="4359" max="4359" width="12.5703125" bestFit="1" customWidth="1"/>
    <col min="4360" max="4360" width="12.85546875" bestFit="1" customWidth="1"/>
    <col min="4361" max="4361" width="13.85546875" bestFit="1" customWidth="1"/>
    <col min="4362" max="4363" width="12.85546875" bestFit="1" customWidth="1"/>
    <col min="4364" max="4364" width="4.7109375" bestFit="1" customWidth="1"/>
    <col min="4365" max="4366" width="12.85546875" bestFit="1" customWidth="1"/>
    <col min="4610" max="4610" width="4.140625" bestFit="1" customWidth="1"/>
    <col min="4611" max="4611" width="8.42578125" bestFit="1" customWidth="1"/>
    <col min="4612" max="4612" width="11.7109375" bestFit="1" customWidth="1"/>
    <col min="4613" max="4614" width="13.7109375" bestFit="1" customWidth="1"/>
    <col min="4615" max="4615" width="12.5703125" bestFit="1" customWidth="1"/>
    <col min="4616" max="4616" width="12.85546875" bestFit="1" customWidth="1"/>
    <col min="4617" max="4617" width="13.85546875" bestFit="1" customWidth="1"/>
    <col min="4618" max="4619" width="12.85546875" bestFit="1" customWidth="1"/>
    <col min="4620" max="4620" width="4.7109375" bestFit="1" customWidth="1"/>
    <col min="4621" max="4622" width="12.85546875" bestFit="1" customWidth="1"/>
    <col min="4866" max="4866" width="4.140625" bestFit="1" customWidth="1"/>
    <col min="4867" max="4867" width="8.42578125" bestFit="1" customWidth="1"/>
    <col min="4868" max="4868" width="11.7109375" bestFit="1" customWidth="1"/>
    <col min="4869" max="4870" width="13.7109375" bestFit="1" customWidth="1"/>
    <col min="4871" max="4871" width="12.5703125" bestFit="1" customWidth="1"/>
    <col min="4872" max="4872" width="12.85546875" bestFit="1" customWidth="1"/>
    <col min="4873" max="4873" width="13.85546875" bestFit="1" customWidth="1"/>
    <col min="4874" max="4875" width="12.85546875" bestFit="1" customWidth="1"/>
    <col min="4876" max="4876" width="4.7109375" bestFit="1" customWidth="1"/>
    <col min="4877" max="4878" width="12.85546875" bestFit="1" customWidth="1"/>
    <col min="5122" max="5122" width="4.140625" bestFit="1" customWidth="1"/>
    <col min="5123" max="5123" width="8.42578125" bestFit="1" customWidth="1"/>
    <col min="5124" max="5124" width="11.7109375" bestFit="1" customWidth="1"/>
    <col min="5125" max="5126" width="13.7109375" bestFit="1" customWidth="1"/>
    <col min="5127" max="5127" width="12.5703125" bestFit="1" customWidth="1"/>
    <col min="5128" max="5128" width="12.85546875" bestFit="1" customWidth="1"/>
    <col min="5129" max="5129" width="13.85546875" bestFit="1" customWidth="1"/>
    <col min="5130" max="5131" width="12.85546875" bestFit="1" customWidth="1"/>
    <col min="5132" max="5132" width="4.7109375" bestFit="1" customWidth="1"/>
    <col min="5133" max="5134" width="12.85546875" bestFit="1" customWidth="1"/>
    <col min="5378" max="5378" width="4.140625" bestFit="1" customWidth="1"/>
    <col min="5379" max="5379" width="8.42578125" bestFit="1" customWidth="1"/>
    <col min="5380" max="5380" width="11.7109375" bestFit="1" customWidth="1"/>
    <col min="5381" max="5382" width="13.7109375" bestFit="1" customWidth="1"/>
    <col min="5383" max="5383" width="12.5703125" bestFit="1" customWidth="1"/>
    <col min="5384" max="5384" width="12.85546875" bestFit="1" customWidth="1"/>
    <col min="5385" max="5385" width="13.85546875" bestFit="1" customWidth="1"/>
    <col min="5386" max="5387" width="12.85546875" bestFit="1" customWidth="1"/>
    <col min="5388" max="5388" width="4.7109375" bestFit="1" customWidth="1"/>
    <col min="5389" max="5390" width="12.85546875" bestFit="1" customWidth="1"/>
    <col min="5634" max="5634" width="4.140625" bestFit="1" customWidth="1"/>
    <col min="5635" max="5635" width="8.42578125" bestFit="1" customWidth="1"/>
    <col min="5636" max="5636" width="11.7109375" bestFit="1" customWidth="1"/>
    <col min="5637" max="5638" width="13.7109375" bestFit="1" customWidth="1"/>
    <col min="5639" max="5639" width="12.5703125" bestFit="1" customWidth="1"/>
    <col min="5640" max="5640" width="12.85546875" bestFit="1" customWidth="1"/>
    <col min="5641" max="5641" width="13.85546875" bestFit="1" customWidth="1"/>
    <col min="5642" max="5643" width="12.85546875" bestFit="1" customWidth="1"/>
    <col min="5644" max="5644" width="4.7109375" bestFit="1" customWidth="1"/>
    <col min="5645" max="5646" width="12.85546875" bestFit="1" customWidth="1"/>
    <col min="5890" max="5890" width="4.140625" bestFit="1" customWidth="1"/>
    <col min="5891" max="5891" width="8.42578125" bestFit="1" customWidth="1"/>
    <col min="5892" max="5892" width="11.7109375" bestFit="1" customWidth="1"/>
    <col min="5893" max="5894" width="13.7109375" bestFit="1" customWidth="1"/>
    <col min="5895" max="5895" width="12.5703125" bestFit="1" customWidth="1"/>
    <col min="5896" max="5896" width="12.85546875" bestFit="1" customWidth="1"/>
    <col min="5897" max="5897" width="13.85546875" bestFit="1" customWidth="1"/>
    <col min="5898" max="5899" width="12.85546875" bestFit="1" customWidth="1"/>
    <col min="5900" max="5900" width="4.7109375" bestFit="1" customWidth="1"/>
    <col min="5901" max="5902" width="12.85546875" bestFit="1" customWidth="1"/>
    <col min="6146" max="6146" width="4.140625" bestFit="1" customWidth="1"/>
    <col min="6147" max="6147" width="8.42578125" bestFit="1" customWidth="1"/>
    <col min="6148" max="6148" width="11.7109375" bestFit="1" customWidth="1"/>
    <col min="6149" max="6150" width="13.7109375" bestFit="1" customWidth="1"/>
    <col min="6151" max="6151" width="12.5703125" bestFit="1" customWidth="1"/>
    <col min="6152" max="6152" width="12.85546875" bestFit="1" customWidth="1"/>
    <col min="6153" max="6153" width="13.85546875" bestFit="1" customWidth="1"/>
    <col min="6154" max="6155" width="12.85546875" bestFit="1" customWidth="1"/>
    <col min="6156" max="6156" width="4.7109375" bestFit="1" customWidth="1"/>
    <col min="6157" max="6158" width="12.85546875" bestFit="1" customWidth="1"/>
    <col min="6402" max="6402" width="4.140625" bestFit="1" customWidth="1"/>
    <col min="6403" max="6403" width="8.42578125" bestFit="1" customWidth="1"/>
    <col min="6404" max="6404" width="11.7109375" bestFit="1" customWidth="1"/>
    <col min="6405" max="6406" width="13.7109375" bestFit="1" customWidth="1"/>
    <col min="6407" max="6407" width="12.5703125" bestFit="1" customWidth="1"/>
    <col min="6408" max="6408" width="12.85546875" bestFit="1" customWidth="1"/>
    <col min="6409" max="6409" width="13.85546875" bestFit="1" customWidth="1"/>
    <col min="6410" max="6411" width="12.85546875" bestFit="1" customWidth="1"/>
    <col min="6412" max="6412" width="4.7109375" bestFit="1" customWidth="1"/>
    <col min="6413" max="6414" width="12.85546875" bestFit="1" customWidth="1"/>
    <col min="6658" max="6658" width="4.140625" bestFit="1" customWidth="1"/>
    <col min="6659" max="6659" width="8.42578125" bestFit="1" customWidth="1"/>
    <col min="6660" max="6660" width="11.7109375" bestFit="1" customWidth="1"/>
    <col min="6661" max="6662" width="13.7109375" bestFit="1" customWidth="1"/>
    <col min="6663" max="6663" width="12.5703125" bestFit="1" customWidth="1"/>
    <col min="6664" max="6664" width="12.85546875" bestFit="1" customWidth="1"/>
    <col min="6665" max="6665" width="13.85546875" bestFit="1" customWidth="1"/>
    <col min="6666" max="6667" width="12.85546875" bestFit="1" customWidth="1"/>
    <col min="6668" max="6668" width="4.7109375" bestFit="1" customWidth="1"/>
    <col min="6669" max="6670" width="12.85546875" bestFit="1" customWidth="1"/>
    <col min="6914" max="6914" width="4.140625" bestFit="1" customWidth="1"/>
    <col min="6915" max="6915" width="8.42578125" bestFit="1" customWidth="1"/>
    <col min="6916" max="6916" width="11.7109375" bestFit="1" customWidth="1"/>
    <col min="6917" max="6918" width="13.7109375" bestFit="1" customWidth="1"/>
    <col min="6919" max="6919" width="12.5703125" bestFit="1" customWidth="1"/>
    <col min="6920" max="6920" width="12.85546875" bestFit="1" customWidth="1"/>
    <col min="6921" max="6921" width="13.85546875" bestFit="1" customWidth="1"/>
    <col min="6922" max="6923" width="12.85546875" bestFit="1" customWidth="1"/>
    <col min="6924" max="6924" width="4.7109375" bestFit="1" customWidth="1"/>
    <col min="6925" max="6926" width="12.85546875" bestFit="1" customWidth="1"/>
    <col min="7170" max="7170" width="4.140625" bestFit="1" customWidth="1"/>
    <col min="7171" max="7171" width="8.42578125" bestFit="1" customWidth="1"/>
    <col min="7172" max="7172" width="11.7109375" bestFit="1" customWidth="1"/>
    <col min="7173" max="7174" width="13.7109375" bestFit="1" customWidth="1"/>
    <col min="7175" max="7175" width="12.5703125" bestFit="1" customWidth="1"/>
    <col min="7176" max="7176" width="12.85546875" bestFit="1" customWidth="1"/>
    <col min="7177" max="7177" width="13.85546875" bestFit="1" customWidth="1"/>
    <col min="7178" max="7179" width="12.85546875" bestFit="1" customWidth="1"/>
    <col min="7180" max="7180" width="4.7109375" bestFit="1" customWidth="1"/>
    <col min="7181" max="7182" width="12.85546875" bestFit="1" customWidth="1"/>
    <col min="7426" max="7426" width="4.140625" bestFit="1" customWidth="1"/>
    <col min="7427" max="7427" width="8.42578125" bestFit="1" customWidth="1"/>
    <col min="7428" max="7428" width="11.7109375" bestFit="1" customWidth="1"/>
    <col min="7429" max="7430" width="13.7109375" bestFit="1" customWidth="1"/>
    <col min="7431" max="7431" width="12.5703125" bestFit="1" customWidth="1"/>
    <col min="7432" max="7432" width="12.85546875" bestFit="1" customWidth="1"/>
    <col min="7433" max="7433" width="13.85546875" bestFit="1" customWidth="1"/>
    <col min="7434" max="7435" width="12.85546875" bestFit="1" customWidth="1"/>
    <col min="7436" max="7436" width="4.7109375" bestFit="1" customWidth="1"/>
    <col min="7437" max="7438" width="12.85546875" bestFit="1" customWidth="1"/>
    <col min="7682" max="7682" width="4.140625" bestFit="1" customWidth="1"/>
    <col min="7683" max="7683" width="8.42578125" bestFit="1" customWidth="1"/>
    <col min="7684" max="7684" width="11.7109375" bestFit="1" customWidth="1"/>
    <col min="7685" max="7686" width="13.7109375" bestFit="1" customWidth="1"/>
    <col min="7687" max="7687" width="12.5703125" bestFit="1" customWidth="1"/>
    <col min="7688" max="7688" width="12.85546875" bestFit="1" customWidth="1"/>
    <col min="7689" max="7689" width="13.85546875" bestFit="1" customWidth="1"/>
    <col min="7690" max="7691" width="12.85546875" bestFit="1" customWidth="1"/>
    <col min="7692" max="7692" width="4.7109375" bestFit="1" customWidth="1"/>
    <col min="7693" max="7694" width="12.85546875" bestFit="1" customWidth="1"/>
    <col min="7938" max="7938" width="4.140625" bestFit="1" customWidth="1"/>
    <col min="7939" max="7939" width="8.42578125" bestFit="1" customWidth="1"/>
    <col min="7940" max="7940" width="11.7109375" bestFit="1" customWidth="1"/>
    <col min="7941" max="7942" width="13.7109375" bestFit="1" customWidth="1"/>
    <col min="7943" max="7943" width="12.5703125" bestFit="1" customWidth="1"/>
    <col min="7944" max="7944" width="12.85546875" bestFit="1" customWidth="1"/>
    <col min="7945" max="7945" width="13.85546875" bestFit="1" customWidth="1"/>
    <col min="7946" max="7947" width="12.85546875" bestFit="1" customWidth="1"/>
    <col min="7948" max="7948" width="4.7109375" bestFit="1" customWidth="1"/>
    <col min="7949" max="7950" width="12.85546875" bestFit="1" customWidth="1"/>
    <col min="8194" max="8194" width="4.140625" bestFit="1" customWidth="1"/>
    <col min="8195" max="8195" width="8.42578125" bestFit="1" customWidth="1"/>
    <col min="8196" max="8196" width="11.7109375" bestFit="1" customWidth="1"/>
    <col min="8197" max="8198" width="13.7109375" bestFit="1" customWidth="1"/>
    <col min="8199" max="8199" width="12.5703125" bestFit="1" customWidth="1"/>
    <col min="8200" max="8200" width="12.85546875" bestFit="1" customWidth="1"/>
    <col min="8201" max="8201" width="13.85546875" bestFit="1" customWidth="1"/>
    <col min="8202" max="8203" width="12.85546875" bestFit="1" customWidth="1"/>
    <col min="8204" max="8204" width="4.7109375" bestFit="1" customWidth="1"/>
    <col min="8205" max="8206" width="12.85546875" bestFit="1" customWidth="1"/>
    <col min="8450" max="8450" width="4.140625" bestFit="1" customWidth="1"/>
    <col min="8451" max="8451" width="8.42578125" bestFit="1" customWidth="1"/>
    <col min="8452" max="8452" width="11.7109375" bestFit="1" customWidth="1"/>
    <col min="8453" max="8454" width="13.7109375" bestFit="1" customWidth="1"/>
    <col min="8455" max="8455" width="12.5703125" bestFit="1" customWidth="1"/>
    <col min="8456" max="8456" width="12.85546875" bestFit="1" customWidth="1"/>
    <col min="8457" max="8457" width="13.85546875" bestFit="1" customWidth="1"/>
    <col min="8458" max="8459" width="12.85546875" bestFit="1" customWidth="1"/>
    <col min="8460" max="8460" width="4.7109375" bestFit="1" customWidth="1"/>
    <col min="8461" max="8462" width="12.85546875" bestFit="1" customWidth="1"/>
    <col min="8706" max="8706" width="4.140625" bestFit="1" customWidth="1"/>
    <col min="8707" max="8707" width="8.42578125" bestFit="1" customWidth="1"/>
    <col min="8708" max="8708" width="11.7109375" bestFit="1" customWidth="1"/>
    <col min="8709" max="8710" width="13.7109375" bestFit="1" customWidth="1"/>
    <col min="8711" max="8711" width="12.5703125" bestFit="1" customWidth="1"/>
    <col min="8712" max="8712" width="12.85546875" bestFit="1" customWidth="1"/>
    <col min="8713" max="8713" width="13.85546875" bestFit="1" customWidth="1"/>
    <col min="8714" max="8715" width="12.85546875" bestFit="1" customWidth="1"/>
    <col min="8716" max="8716" width="4.7109375" bestFit="1" customWidth="1"/>
    <col min="8717" max="8718" width="12.85546875" bestFit="1" customWidth="1"/>
    <col min="8962" max="8962" width="4.140625" bestFit="1" customWidth="1"/>
    <col min="8963" max="8963" width="8.42578125" bestFit="1" customWidth="1"/>
    <col min="8964" max="8964" width="11.7109375" bestFit="1" customWidth="1"/>
    <col min="8965" max="8966" width="13.7109375" bestFit="1" customWidth="1"/>
    <col min="8967" max="8967" width="12.5703125" bestFit="1" customWidth="1"/>
    <col min="8968" max="8968" width="12.85546875" bestFit="1" customWidth="1"/>
    <col min="8969" max="8969" width="13.85546875" bestFit="1" customWidth="1"/>
    <col min="8970" max="8971" width="12.85546875" bestFit="1" customWidth="1"/>
    <col min="8972" max="8972" width="4.7109375" bestFit="1" customWidth="1"/>
    <col min="8973" max="8974" width="12.85546875" bestFit="1" customWidth="1"/>
    <col min="9218" max="9218" width="4.140625" bestFit="1" customWidth="1"/>
    <col min="9219" max="9219" width="8.42578125" bestFit="1" customWidth="1"/>
    <col min="9220" max="9220" width="11.7109375" bestFit="1" customWidth="1"/>
    <col min="9221" max="9222" width="13.7109375" bestFit="1" customWidth="1"/>
    <col min="9223" max="9223" width="12.5703125" bestFit="1" customWidth="1"/>
    <col min="9224" max="9224" width="12.85546875" bestFit="1" customWidth="1"/>
    <col min="9225" max="9225" width="13.85546875" bestFit="1" customWidth="1"/>
    <col min="9226" max="9227" width="12.85546875" bestFit="1" customWidth="1"/>
    <col min="9228" max="9228" width="4.7109375" bestFit="1" customWidth="1"/>
    <col min="9229" max="9230" width="12.85546875" bestFit="1" customWidth="1"/>
    <col min="9474" max="9474" width="4.140625" bestFit="1" customWidth="1"/>
    <col min="9475" max="9475" width="8.42578125" bestFit="1" customWidth="1"/>
    <col min="9476" max="9476" width="11.7109375" bestFit="1" customWidth="1"/>
    <col min="9477" max="9478" width="13.7109375" bestFit="1" customWidth="1"/>
    <col min="9479" max="9479" width="12.5703125" bestFit="1" customWidth="1"/>
    <col min="9480" max="9480" width="12.85546875" bestFit="1" customWidth="1"/>
    <col min="9481" max="9481" width="13.85546875" bestFit="1" customWidth="1"/>
    <col min="9482" max="9483" width="12.85546875" bestFit="1" customWidth="1"/>
    <col min="9484" max="9484" width="4.7109375" bestFit="1" customWidth="1"/>
    <col min="9485" max="9486" width="12.85546875" bestFit="1" customWidth="1"/>
    <col min="9730" max="9730" width="4.140625" bestFit="1" customWidth="1"/>
    <col min="9731" max="9731" width="8.42578125" bestFit="1" customWidth="1"/>
    <col min="9732" max="9732" width="11.7109375" bestFit="1" customWidth="1"/>
    <col min="9733" max="9734" width="13.7109375" bestFit="1" customWidth="1"/>
    <col min="9735" max="9735" width="12.5703125" bestFit="1" customWidth="1"/>
    <col min="9736" max="9736" width="12.85546875" bestFit="1" customWidth="1"/>
    <col min="9737" max="9737" width="13.85546875" bestFit="1" customWidth="1"/>
    <col min="9738" max="9739" width="12.85546875" bestFit="1" customWidth="1"/>
    <col min="9740" max="9740" width="4.7109375" bestFit="1" customWidth="1"/>
    <col min="9741" max="9742" width="12.85546875" bestFit="1" customWidth="1"/>
    <col min="9986" max="9986" width="4.140625" bestFit="1" customWidth="1"/>
    <col min="9987" max="9987" width="8.42578125" bestFit="1" customWidth="1"/>
    <col min="9988" max="9988" width="11.7109375" bestFit="1" customWidth="1"/>
    <col min="9989" max="9990" width="13.7109375" bestFit="1" customWidth="1"/>
    <col min="9991" max="9991" width="12.5703125" bestFit="1" customWidth="1"/>
    <col min="9992" max="9992" width="12.85546875" bestFit="1" customWidth="1"/>
    <col min="9993" max="9993" width="13.85546875" bestFit="1" customWidth="1"/>
    <col min="9994" max="9995" width="12.85546875" bestFit="1" customWidth="1"/>
    <col min="9996" max="9996" width="4.7109375" bestFit="1" customWidth="1"/>
    <col min="9997" max="9998" width="12.85546875" bestFit="1" customWidth="1"/>
    <col min="10242" max="10242" width="4.140625" bestFit="1" customWidth="1"/>
    <col min="10243" max="10243" width="8.42578125" bestFit="1" customWidth="1"/>
    <col min="10244" max="10244" width="11.7109375" bestFit="1" customWidth="1"/>
    <col min="10245" max="10246" width="13.7109375" bestFit="1" customWidth="1"/>
    <col min="10247" max="10247" width="12.5703125" bestFit="1" customWidth="1"/>
    <col min="10248" max="10248" width="12.85546875" bestFit="1" customWidth="1"/>
    <col min="10249" max="10249" width="13.85546875" bestFit="1" customWidth="1"/>
    <col min="10250" max="10251" width="12.85546875" bestFit="1" customWidth="1"/>
    <col min="10252" max="10252" width="4.7109375" bestFit="1" customWidth="1"/>
    <col min="10253" max="10254" width="12.85546875" bestFit="1" customWidth="1"/>
    <col min="10498" max="10498" width="4.140625" bestFit="1" customWidth="1"/>
    <col min="10499" max="10499" width="8.42578125" bestFit="1" customWidth="1"/>
    <col min="10500" max="10500" width="11.7109375" bestFit="1" customWidth="1"/>
    <col min="10501" max="10502" width="13.7109375" bestFit="1" customWidth="1"/>
    <col min="10503" max="10503" width="12.5703125" bestFit="1" customWidth="1"/>
    <col min="10504" max="10504" width="12.85546875" bestFit="1" customWidth="1"/>
    <col min="10505" max="10505" width="13.85546875" bestFit="1" customWidth="1"/>
    <col min="10506" max="10507" width="12.85546875" bestFit="1" customWidth="1"/>
    <col min="10508" max="10508" width="4.7109375" bestFit="1" customWidth="1"/>
    <col min="10509" max="10510" width="12.85546875" bestFit="1" customWidth="1"/>
    <col min="10754" max="10754" width="4.140625" bestFit="1" customWidth="1"/>
    <col min="10755" max="10755" width="8.42578125" bestFit="1" customWidth="1"/>
    <col min="10756" max="10756" width="11.7109375" bestFit="1" customWidth="1"/>
    <col min="10757" max="10758" width="13.7109375" bestFit="1" customWidth="1"/>
    <col min="10759" max="10759" width="12.5703125" bestFit="1" customWidth="1"/>
    <col min="10760" max="10760" width="12.85546875" bestFit="1" customWidth="1"/>
    <col min="10761" max="10761" width="13.85546875" bestFit="1" customWidth="1"/>
    <col min="10762" max="10763" width="12.85546875" bestFit="1" customWidth="1"/>
    <col min="10764" max="10764" width="4.7109375" bestFit="1" customWidth="1"/>
    <col min="10765" max="10766" width="12.85546875" bestFit="1" customWidth="1"/>
    <col min="11010" max="11010" width="4.140625" bestFit="1" customWidth="1"/>
    <col min="11011" max="11011" width="8.42578125" bestFit="1" customWidth="1"/>
    <col min="11012" max="11012" width="11.7109375" bestFit="1" customWidth="1"/>
    <col min="11013" max="11014" width="13.7109375" bestFit="1" customWidth="1"/>
    <col min="11015" max="11015" width="12.5703125" bestFit="1" customWidth="1"/>
    <col min="11016" max="11016" width="12.85546875" bestFit="1" customWidth="1"/>
    <col min="11017" max="11017" width="13.85546875" bestFit="1" customWidth="1"/>
    <col min="11018" max="11019" width="12.85546875" bestFit="1" customWidth="1"/>
    <col min="11020" max="11020" width="4.7109375" bestFit="1" customWidth="1"/>
    <col min="11021" max="11022" width="12.85546875" bestFit="1" customWidth="1"/>
    <col min="11266" max="11266" width="4.140625" bestFit="1" customWidth="1"/>
    <col min="11267" max="11267" width="8.42578125" bestFit="1" customWidth="1"/>
    <col min="11268" max="11268" width="11.7109375" bestFit="1" customWidth="1"/>
    <col min="11269" max="11270" width="13.7109375" bestFit="1" customWidth="1"/>
    <col min="11271" max="11271" width="12.5703125" bestFit="1" customWidth="1"/>
    <col min="11272" max="11272" width="12.85546875" bestFit="1" customWidth="1"/>
    <col min="11273" max="11273" width="13.85546875" bestFit="1" customWidth="1"/>
    <col min="11274" max="11275" width="12.85546875" bestFit="1" customWidth="1"/>
    <col min="11276" max="11276" width="4.7109375" bestFit="1" customWidth="1"/>
    <col min="11277" max="11278" width="12.85546875" bestFit="1" customWidth="1"/>
    <col min="11522" max="11522" width="4.140625" bestFit="1" customWidth="1"/>
    <col min="11523" max="11523" width="8.42578125" bestFit="1" customWidth="1"/>
    <col min="11524" max="11524" width="11.7109375" bestFit="1" customWidth="1"/>
    <col min="11525" max="11526" width="13.7109375" bestFit="1" customWidth="1"/>
    <col min="11527" max="11527" width="12.5703125" bestFit="1" customWidth="1"/>
    <col min="11528" max="11528" width="12.85546875" bestFit="1" customWidth="1"/>
    <col min="11529" max="11529" width="13.85546875" bestFit="1" customWidth="1"/>
    <col min="11530" max="11531" width="12.85546875" bestFit="1" customWidth="1"/>
    <col min="11532" max="11532" width="4.7109375" bestFit="1" customWidth="1"/>
    <col min="11533" max="11534" width="12.85546875" bestFit="1" customWidth="1"/>
    <col min="11778" max="11778" width="4.140625" bestFit="1" customWidth="1"/>
    <col min="11779" max="11779" width="8.42578125" bestFit="1" customWidth="1"/>
    <col min="11780" max="11780" width="11.7109375" bestFit="1" customWidth="1"/>
    <col min="11781" max="11782" width="13.7109375" bestFit="1" customWidth="1"/>
    <col min="11783" max="11783" width="12.5703125" bestFit="1" customWidth="1"/>
    <col min="11784" max="11784" width="12.85546875" bestFit="1" customWidth="1"/>
    <col min="11785" max="11785" width="13.85546875" bestFit="1" customWidth="1"/>
    <col min="11786" max="11787" width="12.85546875" bestFit="1" customWidth="1"/>
    <col min="11788" max="11788" width="4.7109375" bestFit="1" customWidth="1"/>
    <col min="11789" max="11790" width="12.85546875" bestFit="1" customWidth="1"/>
    <col min="12034" max="12034" width="4.140625" bestFit="1" customWidth="1"/>
    <col min="12035" max="12035" width="8.42578125" bestFit="1" customWidth="1"/>
    <col min="12036" max="12036" width="11.7109375" bestFit="1" customWidth="1"/>
    <col min="12037" max="12038" width="13.7109375" bestFit="1" customWidth="1"/>
    <col min="12039" max="12039" width="12.5703125" bestFit="1" customWidth="1"/>
    <col min="12040" max="12040" width="12.85546875" bestFit="1" customWidth="1"/>
    <col min="12041" max="12041" width="13.85546875" bestFit="1" customWidth="1"/>
    <col min="12042" max="12043" width="12.85546875" bestFit="1" customWidth="1"/>
    <col min="12044" max="12044" width="4.7109375" bestFit="1" customWidth="1"/>
    <col min="12045" max="12046" width="12.85546875" bestFit="1" customWidth="1"/>
    <col min="12290" max="12290" width="4.140625" bestFit="1" customWidth="1"/>
    <col min="12291" max="12291" width="8.42578125" bestFit="1" customWidth="1"/>
    <col min="12292" max="12292" width="11.7109375" bestFit="1" customWidth="1"/>
    <col min="12293" max="12294" width="13.7109375" bestFit="1" customWidth="1"/>
    <col min="12295" max="12295" width="12.5703125" bestFit="1" customWidth="1"/>
    <col min="12296" max="12296" width="12.85546875" bestFit="1" customWidth="1"/>
    <col min="12297" max="12297" width="13.85546875" bestFit="1" customWidth="1"/>
    <col min="12298" max="12299" width="12.85546875" bestFit="1" customWidth="1"/>
    <col min="12300" max="12300" width="4.7109375" bestFit="1" customWidth="1"/>
    <col min="12301" max="12302" width="12.85546875" bestFit="1" customWidth="1"/>
    <col min="12546" max="12546" width="4.140625" bestFit="1" customWidth="1"/>
    <col min="12547" max="12547" width="8.42578125" bestFit="1" customWidth="1"/>
    <col min="12548" max="12548" width="11.7109375" bestFit="1" customWidth="1"/>
    <col min="12549" max="12550" width="13.7109375" bestFit="1" customWidth="1"/>
    <col min="12551" max="12551" width="12.5703125" bestFit="1" customWidth="1"/>
    <col min="12552" max="12552" width="12.85546875" bestFit="1" customWidth="1"/>
    <col min="12553" max="12553" width="13.85546875" bestFit="1" customWidth="1"/>
    <col min="12554" max="12555" width="12.85546875" bestFit="1" customWidth="1"/>
    <col min="12556" max="12556" width="4.7109375" bestFit="1" customWidth="1"/>
    <col min="12557" max="12558" width="12.85546875" bestFit="1" customWidth="1"/>
    <col min="12802" max="12802" width="4.140625" bestFit="1" customWidth="1"/>
    <col min="12803" max="12803" width="8.42578125" bestFit="1" customWidth="1"/>
    <col min="12804" max="12804" width="11.7109375" bestFit="1" customWidth="1"/>
    <col min="12805" max="12806" width="13.7109375" bestFit="1" customWidth="1"/>
    <col min="12807" max="12807" width="12.5703125" bestFit="1" customWidth="1"/>
    <col min="12808" max="12808" width="12.85546875" bestFit="1" customWidth="1"/>
    <col min="12809" max="12809" width="13.85546875" bestFit="1" customWidth="1"/>
    <col min="12810" max="12811" width="12.85546875" bestFit="1" customWidth="1"/>
    <col min="12812" max="12812" width="4.7109375" bestFit="1" customWidth="1"/>
    <col min="12813" max="12814" width="12.85546875" bestFit="1" customWidth="1"/>
    <col min="13058" max="13058" width="4.140625" bestFit="1" customWidth="1"/>
    <col min="13059" max="13059" width="8.42578125" bestFit="1" customWidth="1"/>
    <col min="13060" max="13060" width="11.7109375" bestFit="1" customWidth="1"/>
    <col min="13061" max="13062" width="13.7109375" bestFit="1" customWidth="1"/>
    <col min="13063" max="13063" width="12.5703125" bestFit="1" customWidth="1"/>
    <col min="13064" max="13064" width="12.85546875" bestFit="1" customWidth="1"/>
    <col min="13065" max="13065" width="13.85546875" bestFit="1" customWidth="1"/>
    <col min="13066" max="13067" width="12.85546875" bestFit="1" customWidth="1"/>
    <col min="13068" max="13068" width="4.7109375" bestFit="1" customWidth="1"/>
    <col min="13069" max="13070" width="12.85546875" bestFit="1" customWidth="1"/>
    <col min="13314" max="13314" width="4.140625" bestFit="1" customWidth="1"/>
    <col min="13315" max="13315" width="8.42578125" bestFit="1" customWidth="1"/>
    <col min="13316" max="13316" width="11.7109375" bestFit="1" customWidth="1"/>
    <col min="13317" max="13318" width="13.7109375" bestFit="1" customWidth="1"/>
    <col min="13319" max="13319" width="12.5703125" bestFit="1" customWidth="1"/>
    <col min="13320" max="13320" width="12.85546875" bestFit="1" customWidth="1"/>
    <col min="13321" max="13321" width="13.85546875" bestFit="1" customWidth="1"/>
    <col min="13322" max="13323" width="12.85546875" bestFit="1" customWidth="1"/>
    <col min="13324" max="13324" width="4.7109375" bestFit="1" customWidth="1"/>
    <col min="13325" max="13326" width="12.85546875" bestFit="1" customWidth="1"/>
    <col min="13570" max="13570" width="4.140625" bestFit="1" customWidth="1"/>
    <col min="13571" max="13571" width="8.42578125" bestFit="1" customWidth="1"/>
    <col min="13572" max="13572" width="11.7109375" bestFit="1" customWidth="1"/>
    <col min="13573" max="13574" width="13.7109375" bestFit="1" customWidth="1"/>
    <col min="13575" max="13575" width="12.5703125" bestFit="1" customWidth="1"/>
    <col min="13576" max="13576" width="12.85546875" bestFit="1" customWidth="1"/>
    <col min="13577" max="13577" width="13.85546875" bestFit="1" customWidth="1"/>
    <col min="13578" max="13579" width="12.85546875" bestFit="1" customWidth="1"/>
    <col min="13580" max="13580" width="4.7109375" bestFit="1" customWidth="1"/>
    <col min="13581" max="13582" width="12.85546875" bestFit="1" customWidth="1"/>
    <col min="13826" max="13826" width="4.140625" bestFit="1" customWidth="1"/>
    <col min="13827" max="13827" width="8.42578125" bestFit="1" customWidth="1"/>
    <col min="13828" max="13828" width="11.7109375" bestFit="1" customWidth="1"/>
    <col min="13829" max="13830" width="13.7109375" bestFit="1" customWidth="1"/>
    <col min="13831" max="13831" width="12.5703125" bestFit="1" customWidth="1"/>
    <col min="13832" max="13832" width="12.85546875" bestFit="1" customWidth="1"/>
    <col min="13833" max="13833" width="13.85546875" bestFit="1" customWidth="1"/>
    <col min="13834" max="13835" width="12.85546875" bestFit="1" customWidth="1"/>
    <col min="13836" max="13836" width="4.7109375" bestFit="1" customWidth="1"/>
    <col min="13837" max="13838" width="12.85546875" bestFit="1" customWidth="1"/>
    <col min="14082" max="14082" width="4.140625" bestFit="1" customWidth="1"/>
    <col min="14083" max="14083" width="8.42578125" bestFit="1" customWidth="1"/>
    <col min="14084" max="14084" width="11.7109375" bestFit="1" customWidth="1"/>
    <col min="14085" max="14086" width="13.7109375" bestFit="1" customWidth="1"/>
    <col min="14087" max="14087" width="12.5703125" bestFit="1" customWidth="1"/>
    <col min="14088" max="14088" width="12.85546875" bestFit="1" customWidth="1"/>
    <col min="14089" max="14089" width="13.85546875" bestFit="1" customWidth="1"/>
    <col min="14090" max="14091" width="12.85546875" bestFit="1" customWidth="1"/>
    <col min="14092" max="14092" width="4.7109375" bestFit="1" customWidth="1"/>
    <col min="14093" max="14094" width="12.85546875" bestFit="1" customWidth="1"/>
    <col min="14338" max="14338" width="4.140625" bestFit="1" customWidth="1"/>
    <col min="14339" max="14339" width="8.42578125" bestFit="1" customWidth="1"/>
    <col min="14340" max="14340" width="11.7109375" bestFit="1" customWidth="1"/>
    <col min="14341" max="14342" width="13.7109375" bestFit="1" customWidth="1"/>
    <col min="14343" max="14343" width="12.5703125" bestFit="1" customWidth="1"/>
    <col min="14344" max="14344" width="12.85546875" bestFit="1" customWidth="1"/>
    <col min="14345" max="14345" width="13.85546875" bestFit="1" customWidth="1"/>
    <col min="14346" max="14347" width="12.85546875" bestFit="1" customWidth="1"/>
    <col min="14348" max="14348" width="4.7109375" bestFit="1" customWidth="1"/>
    <col min="14349" max="14350" width="12.85546875" bestFit="1" customWidth="1"/>
    <col min="14594" max="14594" width="4.140625" bestFit="1" customWidth="1"/>
    <col min="14595" max="14595" width="8.42578125" bestFit="1" customWidth="1"/>
    <col min="14596" max="14596" width="11.7109375" bestFit="1" customWidth="1"/>
    <col min="14597" max="14598" width="13.7109375" bestFit="1" customWidth="1"/>
    <col min="14599" max="14599" width="12.5703125" bestFit="1" customWidth="1"/>
    <col min="14600" max="14600" width="12.85546875" bestFit="1" customWidth="1"/>
    <col min="14601" max="14601" width="13.85546875" bestFit="1" customWidth="1"/>
    <col min="14602" max="14603" width="12.85546875" bestFit="1" customWidth="1"/>
    <col min="14604" max="14604" width="4.7109375" bestFit="1" customWidth="1"/>
    <col min="14605" max="14606" width="12.85546875" bestFit="1" customWidth="1"/>
    <col min="14850" max="14850" width="4.140625" bestFit="1" customWidth="1"/>
    <col min="14851" max="14851" width="8.42578125" bestFit="1" customWidth="1"/>
    <col min="14852" max="14852" width="11.7109375" bestFit="1" customWidth="1"/>
    <col min="14853" max="14854" width="13.7109375" bestFit="1" customWidth="1"/>
    <col min="14855" max="14855" width="12.5703125" bestFit="1" customWidth="1"/>
    <col min="14856" max="14856" width="12.85546875" bestFit="1" customWidth="1"/>
    <col min="14857" max="14857" width="13.85546875" bestFit="1" customWidth="1"/>
    <col min="14858" max="14859" width="12.85546875" bestFit="1" customWidth="1"/>
    <col min="14860" max="14860" width="4.7109375" bestFit="1" customWidth="1"/>
    <col min="14861" max="14862" width="12.85546875" bestFit="1" customWidth="1"/>
    <col min="15106" max="15106" width="4.140625" bestFit="1" customWidth="1"/>
    <col min="15107" max="15107" width="8.42578125" bestFit="1" customWidth="1"/>
    <col min="15108" max="15108" width="11.7109375" bestFit="1" customWidth="1"/>
    <col min="15109" max="15110" width="13.7109375" bestFit="1" customWidth="1"/>
    <col min="15111" max="15111" width="12.5703125" bestFit="1" customWidth="1"/>
    <col min="15112" max="15112" width="12.85546875" bestFit="1" customWidth="1"/>
    <col min="15113" max="15113" width="13.85546875" bestFit="1" customWidth="1"/>
    <col min="15114" max="15115" width="12.85546875" bestFit="1" customWidth="1"/>
    <col min="15116" max="15116" width="4.7109375" bestFit="1" customWidth="1"/>
    <col min="15117" max="15118" width="12.85546875" bestFit="1" customWidth="1"/>
    <col min="15362" max="15362" width="4.140625" bestFit="1" customWidth="1"/>
    <col min="15363" max="15363" width="8.42578125" bestFit="1" customWidth="1"/>
    <col min="15364" max="15364" width="11.7109375" bestFit="1" customWidth="1"/>
    <col min="15365" max="15366" width="13.7109375" bestFit="1" customWidth="1"/>
    <col min="15367" max="15367" width="12.5703125" bestFit="1" customWidth="1"/>
    <col min="15368" max="15368" width="12.85546875" bestFit="1" customWidth="1"/>
    <col min="15369" max="15369" width="13.85546875" bestFit="1" customWidth="1"/>
    <col min="15370" max="15371" width="12.85546875" bestFit="1" customWidth="1"/>
    <col min="15372" max="15372" width="4.7109375" bestFit="1" customWidth="1"/>
    <col min="15373" max="15374" width="12.85546875" bestFit="1" customWidth="1"/>
    <col min="15618" max="15618" width="4.140625" bestFit="1" customWidth="1"/>
    <col min="15619" max="15619" width="8.42578125" bestFit="1" customWidth="1"/>
    <col min="15620" max="15620" width="11.7109375" bestFit="1" customWidth="1"/>
    <col min="15621" max="15622" width="13.7109375" bestFit="1" customWidth="1"/>
    <col min="15623" max="15623" width="12.5703125" bestFit="1" customWidth="1"/>
    <col min="15624" max="15624" width="12.85546875" bestFit="1" customWidth="1"/>
    <col min="15625" max="15625" width="13.85546875" bestFit="1" customWidth="1"/>
    <col min="15626" max="15627" width="12.85546875" bestFit="1" customWidth="1"/>
    <col min="15628" max="15628" width="4.7109375" bestFit="1" customWidth="1"/>
    <col min="15629" max="15630" width="12.85546875" bestFit="1" customWidth="1"/>
    <col min="15874" max="15874" width="4.140625" bestFit="1" customWidth="1"/>
    <col min="15875" max="15875" width="8.42578125" bestFit="1" customWidth="1"/>
    <col min="15876" max="15876" width="11.7109375" bestFit="1" customWidth="1"/>
    <col min="15877" max="15878" width="13.7109375" bestFit="1" customWidth="1"/>
    <col min="15879" max="15879" width="12.5703125" bestFit="1" customWidth="1"/>
    <col min="15880" max="15880" width="12.85546875" bestFit="1" customWidth="1"/>
    <col min="15881" max="15881" width="13.85546875" bestFit="1" customWidth="1"/>
    <col min="15882" max="15883" width="12.85546875" bestFit="1" customWidth="1"/>
    <col min="15884" max="15884" width="4.7109375" bestFit="1" customWidth="1"/>
    <col min="15885" max="15886" width="12.85546875" bestFit="1" customWidth="1"/>
    <col min="16130" max="16130" width="4.140625" bestFit="1" customWidth="1"/>
    <col min="16131" max="16131" width="8.42578125" bestFit="1" customWidth="1"/>
    <col min="16132" max="16132" width="11.7109375" bestFit="1" customWidth="1"/>
    <col min="16133" max="16134" width="13.7109375" bestFit="1" customWidth="1"/>
    <col min="16135" max="16135" width="12.5703125" bestFit="1" customWidth="1"/>
    <col min="16136" max="16136" width="12.85546875" bestFit="1" customWidth="1"/>
    <col min="16137" max="16137" width="13.85546875" bestFit="1" customWidth="1"/>
    <col min="16138" max="16139" width="12.85546875" bestFit="1" customWidth="1"/>
    <col min="16140" max="16140" width="4.7109375" bestFit="1" customWidth="1"/>
    <col min="16141" max="16142" width="12.85546875" bestFit="1" customWidth="1"/>
  </cols>
  <sheetData>
    <row r="1" spans="1:25" x14ac:dyDescent="0.25">
      <c r="B1" s="37" t="s">
        <v>2616</v>
      </c>
      <c r="P1" s="37" t="str">
        <f>B1</f>
        <v>POSIÇÃO DAS OBRIGAÇÕES REALIZADAS ATÉ JUNHO DE 2023.</v>
      </c>
      <c r="R1" s="1"/>
      <c r="S1" s="1"/>
      <c r="T1" s="1"/>
      <c r="U1" s="1"/>
      <c r="V1" s="1"/>
      <c r="W1" s="1"/>
      <c r="X1" s="1"/>
    </row>
    <row r="2" spans="1:25" s="40" customFormat="1" ht="11.25" x14ac:dyDescent="0.2">
      <c r="H2" s="1216" t="s">
        <v>393</v>
      </c>
      <c r="I2" s="1216"/>
      <c r="J2" s="1216"/>
      <c r="K2" s="1216"/>
      <c r="O2" s="413"/>
      <c r="P2" s="416" t="s">
        <v>460</v>
      </c>
      <c r="Q2" s="414"/>
      <c r="R2" s="382"/>
      <c r="S2" s="382"/>
      <c r="T2" s="382"/>
      <c r="U2" s="415"/>
      <c r="V2" s="850" t="s">
        <v>457</v>
      </c>
      <c r="W2" s="382"/>
      <c r="X2" s="382"/>
      <c r="Y2" s="418"/>
    </row>
    <row r="3" spans="1:25" s="1" customFormat="1" ht="12.75" x14ac:dyDescent="0.2">
      <c r="A3" s="41" t="s">
        <v>50</v>
      </c>
      <c r="B3" s="42" t="s">
        <v>51</v>
      </c>
      <c r="C3" s="43" t="s">
        <v>394</v>
      </c>
      <c r="D3" s="43" t="s">
        <v>409</v>
      </c>
      <c r="E3" s="44" t="s">
        <v>410</v>
      </c>
      <c r="F3" s="43" t="s">
        <v>411</v>
      </c>
      <c r="G3" s="43" t="s">
        <v>412</v>
      </c>
      <c r="H3" s="43" t="s">
        <v>413</v>
      </c>
      <c r="I3" s="43" t="s">
        <v>414</v>
      </c>
      <c r="J3" s="43" t="s">
        <v>415</v>
      </c>
      <c r="K3" s="43" t="s">
        <v>416</v>
      </c>
      <c r="L3" s="43" t="s">
        <v>441</v>
      </c>
      <c r="M3" s="40"/>
      <c r="N3" s="40"/>
      <c r="O3" s="43" t="s">
        <v>394</v>
      </c>
      <c r="P3" s="5" t="s">
        <v>454</v>
      </c>
      <c r="Q3" s="43" t="s">
        <v>409</v>
      </c>
      <c r="R3" s="44" t="s">
        <v>410</v>
      </c>
      <c r="S3" s="43" t="s">
        <v>411</v>
      </c>
      <c r="T3" s="43" t="s">
        <v>412</v>
      </c>
      <c r="U3" s="43" t="s">
        <v>456</v>
      </c>
      <c r="V3" s="43" t="s">
        <v>409</v>
      </c>
      <c r="W3" s="44" t="s">
        <v>410</v>
      </c>
      <c r="X3" s="43" t="s">
        <v>411</v>
      </c>
      <c r="Y3" s="43" t="s">
        <v>412</v>
      </c>
    </row>
    <row r="4" spans="1:25" s="1" customFormat="1" ht="11.25" x14ac:dyDescent="0.2">
      <c r="A4" s="41">
        <v>1</v>
      </c>
      <c r="B4" s="45" t="s">
        <v>54</v>
      </c>
      <c r="C4" s="248">
        <f>Cruz!I11</f>
        <v>5609368</v>
      </c>
      <c r="D4" s="248">
        <f>2637008.09</f>
        <v>2637008.09</v>
      </c>
      <c r="E4" s="47">
        <f>Cruz!G11</f>
        <v>2411010.33</v>
      </c>
      <c r="F4" s="48">
        <v>2311275.67</v>
      </c>
      <c r="G4" s="11">
        <f>E4-F4</f>
        <v>99734.660000000149</v>
      </c>
      <c r="H4" s="9">
        <v>1837.41</v>
      </c>
      <c r="I4" s="9">
        <v>1837.41</v>
      </c>
      <c r="J4" s="9"/>
      <c r="K4" s="9">
        <v>1837.41</v>
      </c>
      <c r="L4" s="9">
        <f>I4-K4</f>
        <v>0</v>
      </c>
      <c r="M4" s="314">
        <f>I4-(K4+L4)</f>
        <v>0</v>
      </c>
      <c r="N4" s="314"/>
      <c r="O4" s="27">
        <v>5160368</v>
      </c>
      <c r="P4" s="27">
        <v>5160368</v>
      </c>
      <c r="Q4" s="9">
        <v>2267063.84</v>
      </c>
      <c r="R4" s="9">
        <v>2041066.08</v>
      </c>
      <c r="S4" s="9">
        <v>2000208.25</v>
      </c>
      <c r="T4" s="9">
        <f>R4-S4</f>
        <v>40857.830000000075</v>
      </c>
      <c r="U4" s="11">
        <f>Q4-R4</f>
        <v>225997.75999999978</v>
      </c>
      <c r="V4" s="11">
        <f>D4-Q4</f>
        <v>369944.25</v>
      </c>
      <c r="W4" s="11">
        <f t="shared" ref="W4:X18" si="0">E4-R4</f>
        <v>369944.25</v>
      </c>
      <c r="X4" s="11">
        <f>F4-S4</f>
        <v>311067.41999999993</v>
      </c>
      <c r="Y4" s="9">
        <f>W4-X4</f>
        <v>58876.830000000075</v>
      </c>
    </row>
    <row r="5" spans="1:25" s="1" customFormat="1" ht="11.25" x14ac:dyDescent="0.2">
      <c r="A5" s="41">
        <v>2</v>
      </c>
      <c r="B5" s="45" t="s">
        <v>55</v>
      </c>
      <c r="C5" s="248">
        <f>Cruz!I12</f>
        <v>3952195.39</v>
      </c>
      <c r="D5" s="248">
        <f>1588836.46</f>
        <v>1588836.46</v>
      </c>
      <c r="E5" s="47">
        <f>Cruz!G12</f>
        <v>1530846.54</v>
      </c>
      <c r="F5" s="48">
        <v>1169413.21</v>
      </c>
      <c r="G5" s="11">
        <f t="shared" ref="G5:G17" si="1">E5-F5</f>
        <v>361433.33000000007</v>
      </c>
      <c r="H5" s="9">
        <v>523428.11</v>
      </c>
      <c r="I5" s="9">
        <v>517734.91</v>
      </c>
      <c r="J5" s="9">
        <f>2244.26</f>
        <v>2244.2600000000002</v>
      </c>
      <c r="K5" s="9">
        <v>224057.86</v>
      </c>
      <c r="L5" s="9">
        <f>I5-K5</f>
        <v>293677.05</v>
      </c>
      <c r="M5" s="314">
        <f>I5-(K5+L5)</f>
        <v>0</v>
      </c>
      <c r="N5" s="314">
        <f>293677.05-L5</f>
        <v>0</v>
      </c>
      <c r="O5" s="27">
        <v>3108025.15</v>
      </c>
      <c r="P5" s="27">
        <v>3253425.15</v>
      </c>
      <c r="Q5" s="9">
        <v>1305646.0800000001</v>
      </c>
      <c r="R5" s="9">
        <v>1247656.1599999999</v>
      </c>
      <c r="S5" s="9">
        <v>1074245.3899999999</v>
      </c>
      <c r="T5" s="9">
        <f t="shared" ref="T5:T18" si="2">R5-S5</f>
        <v>173410.77000000002</v>
      </c>
      <c r="U5" s="11">
        <f t="shared" ref="U5:U18" si="3">Q5-R5</f>
        <v>57989.920000000158</v>
      </c>
      <c r="V5" s="11">
        <f>D5-Q5</f>
        <v>283190.37999999989</v>
      </c>
      <c r="W5" s="11">
        <f t="shared" si="0"/>
        <v>283190.38000000012</v>
      </c>
      <c r="X5" s="11">
        <f t="shared" si="0"/>
        <v>95167.820000000065</v>
      </c>
      <c r="Y5" s="9">
        <f t="shared" ref="Y5:Y18" si="4">W5-X5</f>
        <v>188022.56000000006</v>
      </c>
    </row>
    <row r="6" spans="1:25" s="1" customFormat="1" ht="11.25" x14ac:dyDescent="0.2">
      <c r="A6" s="41">
        <v>3</v>
      </c>
      <c r="B6" s="45" t="s">
        <v>56</v>
      </c>
      <c r="C6" s="248">
        <f>Cruz!I13</f>
        <v>2019326.11</v>
      </c>
      <c r="D6" s="248">
        <f>518048.37</f>
        <v>518048.37</v>
      </c>
      <c r="E6" s="47">
        <f>Cruz!G13</f>
        <v>402228.03</v>
      </c>
      <c r="F6" s="48">
        <v>334077.95</v>
      </c>
      <c r="G6" s="11">
        <f t="shared" si="1"/>
        <v>68150.080000000016</v>
      </c>
      <c r="H6" s="9">
        <v>208488.75</v>
      </c>
      <c r="I6" s="337">
        <v>200974.07</v>
      </c>
      <c r="J6" s="337"/>
      <c r="K6" s="337">
        <v>67728.87</v>
      </c>
      <c r="L6" s="337">
        <f>I6-K6</f>
        <v>133245.20000000001</v>
      </c>
      <c r="M6" s="678">
        <f t="shared" ref="M6:M19" si="5">I6-(K6+L6)</f>
        <v>0</v>
      </c>
      <c r="N6" s="678">
        <f>133245.2-L6</f>
        <v>0</v>
      </c>
      <c r="O6" s="27">
        <v>1781092.23</v>
      </c>
      <c r="P6" s="27">
        <v>1758092.23</v>
      </c>
      <c r="Q6" s="9">
        <v>447128.26</v>
      </c>
      <c r="R6" s="9">
        <v>331307.92</v>
      </c>
      <c r="S6" s="9">
        <v>311059.27</v>
      </c>
      <c r="T6" s="9">
        <f t="shared" si="2"/>
        <v>20248.649999999965</v>
      </c>
      <c r="U6" s="11">
        <f t="shared" si="3"/>
        <v>115820.34000000003</v>
      </c>
      <c r="V6" s="11">
        <f>D6-Q6</f>
        <v>70920.109999999986</v>
      </c>
      <c r="W6" s="11">
        <f t="shared" si="0"/>
        <v>70920.110000000044</v>
      </c>
      <c r="X6" s="11">
        <f t="shared" si="0"/>
        <v>23018.679999999993</v>
      </c>
      <c r="Y6" s="9">
        <f t="shared" si="4"/>
        <v>47901.430000000051</v>
      </c>
    </row>
    <row r="7" spans="1:25" s="1" customFormat="1" ht="11.25" x14ac:dyDescent="0.2">
      <c r="A7" s="41">
        <v>4</v>
      </c>
      <c r="B7" s="45" t="s">
        <v>57</v>
      </c>
      <c r="C7" s="248">
        <f>Cruz!I14</f>
        <v>3111454.3</v>
      </c>
      <c r="D7" s="248">
        <f>1471260.55</f>
        <v>1471260.55</v>
      </c>
      <c r="E7" s="47">
        <f>Cruz!G14</f>
        <v>1436991.23</v>
      </c>
      <c r="F7" s="48">
        <v>1152709.68</v>
      </c>
      <c r="G7" s="11">
        <f t="shared" si="1"/>
        <v>284281.55000000005</v>
      </c>
      <c r="H7" s="9">
        <f>473537.67</f>
        <v>473537.67</v>
      </c>
      <c r="I7" s="9">
        <v>467869.98</v>
      </c>
      <c r="J7" s="9">
        <v>4667.6899999999996</v>
      </c>
      <c r="K7" s="9">
        <v>120637.52</v>
      </c>
      <c r="L7" s="9">
        <f t="shared" ref="L7:L14" si="6">I7-K7</f>
        <v>347232.45999999996</v>
      </c>
      <c r="M7" s="314">
        <f t="shared" si="5"/>
        <v>0</v>
      </c>
      <c r="N7" s="314">
        <f>347232.46-L7</f>
        <v>0</v>
      </c>
      <c r="O7" s="27">
        <v>1990970</v>
      </c>
      <c r="P7" s="27">
        <v>2228370</v>
      </c>
      <c r="Q7" s="9">
        <v>1099016.26</v>
      </c>
      <c r="R7" s="9">
        <v>1064746.94</v>
      </c>
      <c r="S7" s="9">
        <v>1031232.93</v>
      </c>
      <c r="T7" s="9">
        <f t="shared" si="2"/>
        <v>33514.009999999893</v>
      </c>
      <c r="U7" s="11">
        <f t="shared" si="3"/>
        <v>34269.320000000065</v>
      </c>
      <c r="V7" s="11">
        <f t="shared" ref="V7:V18" si="7">D7-Q7</f>
        <v>372244.29000000004</v>
      </c>
      <c r="W7" s="11">
        <f t="shared" si="0"/>
        <v>372244.29000000004</v>
      </c>
      <c r="X7" s="11">
        <f t="shared" si="0"/>
        <v>121476.74999999988</v>
      </c>
      <c r="Y7" s="9">
        <f t="shared" si="4"/>
        <v>250767.54000000015</v>
      </c>
    </row>
    <row r="8" spans="1:25" s="1" customFormat="1" ht="11.25" x14ac:dyDescent="0.2">
      <c r="A8" s="41">
        <v>5</v>
      </c>
      <c r="B8" s="45" t="s">
        <v>58</v>
      </c>
      <c r="C8" s="248">
        <f>Cruz!I15</f>
        <v>15470195.76</v>
      </c>
      <c r="D8" s="248">
        <f>7457135</f>
        <v>7457135</v>
      </c>
      <c r="E8" s="47">
        <f>Cruz!G15</f>
        <v>7357916.3700000001</v>
      </c>
      <c r="F8" s="48">
        <v>3276338.09</v>
      </c>
      <c r="G8" s="11">
        <f t="shared" si="1"/>
        <v>4081578.2800000003</v>
      </c>
      <c r="H8" s="9">
        <f>5122791.35</f>
        <v>5122791.3499999996</v>
      </c>
      <c r="I8" s="9">
        <v>5118772.3499999996</v>
      </c>
      <c r="J8" s="9"/>
      <c r="K8" s="377">
        <v>1192505.3899999999</v>
      </c>
      <c r="L8" s="9">
        <f>I8-K8</f>
        <v>3926266.96</v>
      </c>
      <c r="M8" s="314">
        <f t="shared" si="5"/>
        <v>0</v>
      </c>
      <c r="N8" s="314">
        <f>3926266.96-L8</f>
        <v>0</v>
      </c>
      <c r="O8" s="27">
        <v>1982918.09</v>
      </c>
      <c r="P8" s="27">
        <v>1999918.09</v>
      </c>
      <c r="Q8" s="9">
        <v>926547.82</v>
      </c>
      <c r="R8" s="9">
        <v>827329.19</v>
      </c>
      <c r="S8" s="9">
        <v>805682.03</v>
      </c>
      <c r="T8" s="9">
        <f t="shared" si="2"/>
        <v>21647.159999999916</v>
      </c>
      <c r="U8" s="11">
        <f t="shared" si="3"/>
        <v>99218.63</v>
      </c>
      <c r="V8" s="376">
        <f t="shared" si="7"/>
        <v>6530587.1799999997</v>
      </c>
      <c r="W8" s="376">
        <f t="shared" si="0"/>
        <v>6530587.1799999997</v>
      </c>
      <c r="X8" s="11">
        <f t="shared" si="0"/>
        <v>2470656.0599999996</v>
      </c>
      <c r="Y8" s="9">
        <f t="shared" si="4"/>
        <v>4059931.12</v>
      </c>
    </row>
    <row r="9" spans="1:25" s="1" customFormat="1" ht="11.25" x14ac:dyDescent="0.2">
      <c r="A9" s="41">
        <v>6</v>
      </c>
      <c r="B9" s="45" t="s">
        <v>59</v>
      </c>
      <c r="C9" s="248">
        <f>Cruz!I16</f>
        <v>4946756.38</v>
      </c>
      <c r="D9" s="248">
        <f>2419278.37</f>
        <v>2419278.37</v>
      </c>
      <c r="E9" s="47">
        <f>Cruz!G16</f>
        <v>1917636.5800000003</v>
      </c>
      <c r="F9" s="48">
        <v>1465388.14</v>
      </c>
      <c r="G9" s="11">
        <f t="shared" si="1"/>
        <v>452248.44000000041</v>
      </c>
      <c r="H9" s="9">
        <f>897127.56</f>
        <v>897127.56</v>
      </c>
      <c r="I9" s="9">
        <f>896355.04</f>
        <v>896355.04</v>
      </c>
      <c r="J9" s="9">
        <v>322.52</v>
      </c>
      <c r="K9" s="9">
        <v>244640.15</v>
      </c>
      <c r="L9" s="9">
        <f t="shared" si="6"/>
        <v>651714.89</v>
      </c>
      <c r="M9" s="314">
        <f t="shared" si="5"/>
        <v>0</v>
      </c>
      <c r="N9" s="314">
        <f>651714.89-L9</f>
        <v>0</v>
      </c>
      <c r="O9" s="27">
        <v>3637912.5</v>
      </c>
      <c r="P9" s="27">
        <v>3635208.5</v>
      </c>
      <c r="Q9" s="9">
        <v>1896156.98</v>
      </c>
      <c r="R9" s="9">
        <v>1394515.19</v>
      </c>
      <c r="S9" s="9">
        <v>1299368.1599999999</v>
      </c>
      <c r="T9" s="9">
        <f t="shared" si="2"/>
        <v>95147.030000000028</v>
      </c>
      <c r="U9" s="11">
        <f t="shared" si="3"/>
        <v>501641.79000000004</v>
      </c>
      <c r="V9" s="11">
        <f t="shared" si="7"/>
        <v>523121.39000000013</v>
      </c>
      <c r="W9" s="11">
        <f t="shared" si="0"/>
        <v>523121.39000000036</v>
      </c>
      <c r="X9" s="11">
        <f t="shared" si="0"/>
        <v>166019.97999999998</v>
      </c>
      <c r="Y9" s="9">
        <f t="shared" si="4"/>
        <v>357101.41000000038</v>
      </c>
    </row>
    <row r="10" spans="1:25" s="1" customFormat="1" ht="11.25" x14ac:dyDescent="0.2">
      <c r="A10" s="41">
        <v>7</v>
      </c>
      <c r="B10" s="45" t="s">
        <v>60</v>
      </c>
      <c r="C10" s="248">
        <f>Cruz!I17</f>
        <v>1947634.6</v>
      </c>
      <c r="D10" s="248">
        <f>828503.76</f>
        <v>828503.76</v>
      </c>
      <c r="E10" s="47">
        <f>Cruz!G17</f>
        <v>722962.83000000007</v>
      </c>
      <c r="F10" s="48">
        <v>584580.17000000004</v>
      </c>
      <c r="G10" s="11">
        <f t="shared" si="1"/>
        <v>138382.66000000003</v>
      </c>
      <c r="H10" s="9">
        <f>366930.79</f>
        <v>366930.79</v>
      </c>
      <c r="I10" s="9">
        <f>359236.51</f>
        <v>359236.51</v>
      </c>
      <c r="J10" s="9">
        <v>1000</v>
      </c>
      <c r="K10" s="9">
        <v>243149.75</v>
      </c>
      <c r="L10" s="9">
        <f t="shared" si="6"/>
        <v>116086.76000000001</v>
      </c>
      <c r="M10" s="314">
        <f t="shared" si="5"/>
        <v>0</v>
      </c>
      <c r="N10" s="314">
        <f>116086.76-L10</f>
        <v>0</v>
      </c>
      <c r="O10" s="27">
        <v>1731368.39</v>
      </c>
      <c r="P10" s="27">
        <v>1790283.36</v>
      </c>
      <c r="Q10" s="9">
        <v>760365.99</v>
      </c>
      <c r="R10" s="9">
        <v>654825.06000000006</v>
      </c>
      <c r="S10" s="9">
        <v>563134.35</v>
      </c>
      <c r="T10" s="9">
        <f t="shared" si="2"/>
        <v>91690.710000000079</v>
      </c>
      <c r="U10" s="11">
        <f t="shared" si="3"/>
        <v>105540.92999999993</v>
      </c>
      <c r="V10" s="11">
        <f t="shared" si="7"/>
        <v>68137.770000000019</v>
      </c>
      <c r="W10" s="11">
        <f t="shared" si="0"/>
        <v>68137.770000000019</v>
      </c>
      <c r="X10" s="11">
        <f t="shared" si="0"/>
        <v>21445.820000000065</v>
      </c>
      <c r="Y10" s="9">
        <f t="shared" si="4"/>
        <v>46691.949999999953</v>
      </c>
    </row>
    <row r="11" spans="1:25" s="1" customFormat="1" ht="11.25" x14ac:dyDescent="0.2">
      <c r="A11" s="41">
        <v>8</v>
      </c>
      <c r="B11" s="45" t="s">
        <v>61</v>
      </c>
      <c r="C11" s="248">
        <f>Cruz!I18</f>
        <v>22745435.940000001</v>
      </c>
      <c r="D11" s="248">
        <f>11934394.86</f>
        <v>11934394.859999999</v>
      </c>
      <c r="E11" s="47">
        <f>Cruz!G18</f>
        <v>6503860.1799999997</v>
      </c>
      <c r="F11" s="48">
        <v>4952833.33</v>
      </c>
      <c r="G11" s="11">
        <f t="shared" si="1"/>
        <v>1551026.8499999996</v>
      </c>
      <c r="H11" s="9">
        <f>4668717.06</f>
        <v>4668717.0599999996</v>
      </c>
      <c r="I11" s="337">
        <f>3670233.9</f>
        <v>3670233.9</v>
      </c>
      <c r="J11" s="9">
        <v>33922.18</v>
      </c>
      <c r="K11" s="377">
        <v>1727391.1</v>
      </c>
      <c r="L11" s="9">
        <f>I11-K11</f>
        <v>1942842.7999999998</v>
      </c>
      <c r="M11" s="314">
        <f t="shared" si="5"/>
        <v>0</v>
      </c>
      <c r="N11" s="314">
        <f>1942842.8-L11</f>
        <v>0</v>
      </c>
      <c r="O11" s="27">
        <v>19407201.82</v>
      </c>
      <c r="P11" s="27">
        <v>20313243.09</v>
      </c>
      <c r="Q11" s="9">
        <v>10937317.970000001</v>
      </c>
      <c r="R11" s="9">
        <v>5506783.29</v>
      </c>
      <c r="S11" s="9">
        <v>4631421.38</v>
      </c>
      <c r="T11" s="9">
        <f t="shared" si="2"/>
        <v>875361.91000000015</v>
      </c>
      <c r="U11" s="11">
        <f t="shared" si="3"/>
        <v>5430534.6800000006</v>
      </c>
      <c r="V11" s="11">
        <f t="shared" si="7"/>
        <v>997076.88999999873</v>
      </c>
      <c r="W11" s="11">
        <f t="shared" si="0"/>
        <v>997076.88999999966</v>
      </c>
      <c r="X11" s="11">
        <f t="shared" si="0"/>
        <v>321411.95000000019</v>
      </c>
      <c r="Y11" s="9">
        <f t="shared" si="4"/>
        <v>675664.93999999948</v>
      </c>
    </row>
    <row r="12" spans="1:25" s="1" customFormat="1" ht="11.25" x14ac:dyDescent="0.2">
      <c r="A12" s="41">
        <v>9</v>
      </c>
      <c r="B12" s="45" t="s">
        <v>62</v>
      </c>
      <c r="C12" s="248">
        <f>Cruz!I19</f>
        <v>63883109.890000001</v>
      </c>
      <c r="D12" s="248">
        <f>29027646.25</f>
        <v>29027646.25</v>
      </c>
      <c r="E12" s="47">
        <f>Cruz!G19</f>
        <v>28030392.660000004</v>
      </c>
      <c r="F12" s="848">
        <v>24015308.960000001</v>
      </c>
      <c r="G12" s="11">
        <f t="shared" si="1"/>
        <v>4015083.700000003</v>
      </c>
      <c r="H12" s="9">
        <f>7344957.74</f>
        <v>7344957.7400000002</v>
      </c>
      <c r="I12" s="447">
        <v>6991712.6100000003</v>
      </c>
      <c r="J12" s="9">
        <f>30988.27</f>
        <v>30988.27</v>
      </c>
      <c r="K12" s="377">
        <v>2720557.46</v>
      </c>
      <c r="L12" s="9">
        <f>I12-K12</f>
        <v>4271155.1500000004</v>
      </c>
      <c r="M12" s="314">
        <f t="shared" si="5"/>
        <v>0</v>
      </c>
      <c r="N12" s="314">
        <f>4271155.15-L12</f>
        <v>0</v>
      </c>
      <c r="O12" s="27">
        <v>43754834.479999997</v>
      </c>
      <c r="P12" s="27">
        <v>44532446.670000002</v>
      </c>
      <c r="Q12" s="9">
        <v>20970766</v>
      </c>
      <c r="R12" s="9">
        <v>19973512.41</v>
      </c>
      <c r="S12" s="9">
        <v>18789351.129999999</v>
      </c>
      <c r="T12" s="9">
        <f t="shared" si="2"/>
        <v>1184161.2800000012</v>
      </c>
      <c r="U12" s="11">
        <f t="shared" si="3"/>
        <v>997253.58999999985</v>
      </c>
      <c r="V12" s="376">
        <f t="shared" si="7"/>
        <v>8056880.25</v>
      </c>
      <c r="W12" s="376">
        <f t="shared" si="0"/>
        <v>8056880.2500000037</v>
      </c>
      <c r="X12" s="11">
        <f t="shared" si="0"/>
        <v>5225957.8300000019</v>
      </c>
      <c r="Y12" s="9">
        <f t="shared" si="4"/>
        <v>2830922.4200000018</v>
      </c>
    </row>
    <row r="13" spans="1:25" s="1" customFormat="1" ht="11.25" x14ac:dyDescent="0.2">
      <c r="A13" s="41">
        <v>10</v>
      </c>
      <c r="B13" s="45" t="s">
        <v>63</v>
      </c>
      <c r="C13" s="248">
        <f>Cruz!I20</f>
        <v>43285142.450000003</v>
      </c>
      <c r="D13" s="248">
        <f>20414949.8</f>
        <v>20414949.800000001</v>
      </c>
      <c r="E13" s="47">
        <f>Cruz!G20</f>
        <v>16544060.449999999</v>
      </c>
      <c r="F13" s="48">
        <v>13344489.939999999</v>
      </c>
      <c r="G13" s="11">
        <f t="shared" si="1"/>
        <v>3199570.51</v>
      </c>
      <c r="H13" s="9">
        <f>7451561.9</f>
        <v>7451561.9000000004</v>
      </c>
      <c r="I13" s="10">
        <v>7264139.6200000001</v>
      </c>
      <c r="J13" s="337">
        <v>90200.43</v>
      </c>
      <c r="K13" s="377">
        <v>3053107.4</v>
      </c>
      <c r="L13" s="9">
        <f t="shared" si="6"/>
        <v>4211032.2200000007</v>
      </c>
      <c r="M13" s="314">
        <f t="shared" si="5"/>
        <v>0</v>
      </c>
      <c r="N13" s="314">
        <f>4211032.22-L13</f>
        <v>0</v>
      </c>
      <c r="O13" s="27">
        <v>33779879.969999999</v>
      </c>
      <c r="P13" s="27">
        <v>34802510.329999998</v>
      </c>
      <c r="Q13" s="9">
        <v>17044258.43</v>
      </c>
      <c r="R13" s="9">
        <v>13173369.08</v>
      </c>
      <c r="S13" s="9">
        <v>12506454.15</v>
      </c>
      <c r="T13" s="9">
        <f t="shared" si="2"/>
        <v>666914.9299999997</v>
      </c>
      <c r="U13" s="11">
        <f t="shared" si="3"/>
        <v>3870889.3499999996</v>
      </c>
      <c r="V13" s="11">
        <f t="shared" si="7"/>
        <v>3370691.370000001</v>
      </c>
      <c r="W13" s="11">
        <f t="shared" si="0"/>
        <v>3370691.3699999992</v>
      </c>
      <c r="X13" s="11">
        <f t="shared" si="0"/>
        <v>838035.78999999911</v>
      </c>
      <c r="Y13" s="9">
        <f t="shared" si="4"/>
        <v>2532655.58</v>
      </c>
    </row>
    <row r="14" spans="1:25" s="1" customFormat="1" ht="11.25" x14ac:dyDescent="0.2">
      <c r="A14" s="41">
        <v>11</v>
      </c>
      <c r="B14" s="45" t="s">
        <v>64</v>
      </c>
      <c r="C14" s="248">
        <f>Cruz!I21</f>
        <v>6251701.1799999997</v>
      </c>
      <c r="D14" s="248">
        <f>2381731.31</f>
        <v>2381731.31</v>
      </c>
      <c r="E14" s="47">
        <f>Cruz!G21</f>
        <v>2143458.89</v>
      </c>
      <c r="F14" s="48">
        <v>1784540.13</v>
      </c>
      <c r="G14" s="11">
        <f t="shared" si="1"/>
        <v>358918.76000000024</v>
      </c>
      <c r="H14" s="9">
        <f>899162.57</f>
        <v>899162.57</v>
      </c>
      <c r="I14" s="9">
        <v>848621.56</v>
      </c>
      <c r="J14" s="9">
        <v>28809.21</v>
      </c>
      <c r="K14" s="9">
        <v>299688.27</v>
      </c>
      <c r="L14" s="9">
        <f t="shared" si="6"/>
        <v>548933.29</v>
      </c>
      <c r="M14" s="314">
        <f t="shared" si="5"/>
        <v>0</v>
      </c>
      <c r="N14" s="314">
        <f>548933.29-L14</f>
        <v>0</v>
      </c>
      <c r="O14" s="27">
        <v>4906169.07</v>
      </c>
      <c r="P14" s="27">
        <v>5263278.1100000003</v>
      </c>
      <c r="Q14" s="9">
        <v>1968282.54</v>
      </c>
      <c r="R14" s="9">
        <v>1730010.12</v>
      </c>
      <c r="S14" s="9">
        <v>1649413.82</v>
      </c>
      <c r="T14" s="9">
        <f t="shared" si="2"/>
        <v>80596.300000000047</v>
      </c>
      <c r="U14" s="11">
        <f t="shared" si="3"/>
        <v>238272.41999999993</v>
      </c>
      <c r="V14" s="11">
        <f t="shared" si="7"/>
        <v>413448.77</v>
      </c>
      <c r="W14" s="11">
        <f t="shared" si="0"/>
        <v>413448.77</v>
      </c>
      <c r="X14" s="11">
        <f t="shared" si="0"/>
        <v>135126.30999999982</v>
      </c>
      <c r="Y14" s="9">
        <f t="shared" si="4"/>
        <v>278322.4600000002</v>
      </c>
    </row>
    <row r="15" spans="1:25" s="1" customFormat="1" ht="11.25" x14ac:dyDescent="0.2">
      <c r="A15" s="41">
        <v>12</v>
      </c>
      <c r="B15" s="45" t="s">
        <v>65</v>
      </c>
      <c r="C15" s="248">
        <f>Cruz!I22</f>
        <v>3627103.08</v>
      </c>
      <c r="D15" s="248">
        <f>1939905.59</f>
        <v>1939905.59</v>
      </c>
      <c r="E15" s="47">
        <f>Cruz!G22</f>
        <v>1504311.3900000001</v>
      </c>
      <c r="F15" s="48">
        <v>876622.84</v>
      </c>
      <c r="G15" s="11">
        <f t="shared" si="1"/>
        <v>627688.55000000016</v>
      </c>
      <c r="H15" s="9">
        <f>946111.76</f>
        <v>946111.76</v>
      </c>
      <c r="I15" s="9">
        <f>884978.94</f>
        <v>884978.94</v>
      </c>
      <c r="J15" s="9">
        <f>22867.73</f>
        <v>22867.73</v>
      </c>
      <c r="K15" s="9">
        <v>616632.96</v>
      </c>
      <c r="L15" s="337">
        <f>I15-K15</f>
        <v>268345.98</v>
      </c>
      <c r="M15" s="314">
        <f t="shared" ref="M15" si="8">I15-(K15+L15)</f>
        <v>0</v>
      </c>
      <c r="N15" s="314">
        <f>268345.98-L15</f>
        <v>0</v>
      </c>
      <c r="O15" s="27">
        <v>2135050.9</v>
      </c>
      <c r="P15" s="27">
        <v>3111343.53</v>
      </c>
      <c r="Q15" s="9">
        <v>1753188.38</v>
      </c>
      <c r="R15" s="9">
        <v>1317594.18</v>
      </c>
      <c r="S15" s="9">
        <v>814854.65</v>
      </c>
      <c r="T15" s="9">
        <f t="shared" si="2"/>
        <v>502739.52999999991</v>
      </c>
      <c r="U15" s="11">
        <f t="shared" si="3"/>
        <v>435594.19999999995</v>
      </c>
      <c r="V15" s="11">
        <f>D15-Q15</f>
        <v>186717.2100000002</v>
      </c>
      <c r="W15" s="11">
        <f>E15-R15</f>
        <v>186717.2100000002</v>
      </c>
      <c r="X15" s="11">
        <f t="shared" si="0"/>
        <v>61768.189999999944</v>
      </c>
      <c r="Y15" s="9">
        <f t="shared" si="4"/>
        <v>124949.02000000025</v>
      </c>
    </row>
    <row r="16" spans="1:25" s="1" customFormat="1" ht="11.25" x14ac:dyDescent="0.2">
      <c r="A16" s="41">
        <v>13</v>
      </c>
      <c r="B16" s="45" t="s">
        <v>66</v>
      </c>
      <c r="C16" s="248">
        <f>Cruz!I23</f>
        <v>3696620.2</v>
      </c>
      <c r="D16" s="248">
        <f>1446463.55</f>
        <v>1446463.55</v>
      </c>
      <c r="E16" s="47">
        <f>Cruz!G23</f>
        <v>1154745.6400000001</v>
      </c>
      <c r="F16" s="48">
        <v>1128837.98</v>
      </c>
      <c r="G16" s="11">
        <f t="shared" si="1"/>
        <v>25907.660000000149</v>
      </c>
      <c r="H16" s="9">
        <v>306841.69</v>
      </c>
      <c r="I16" s="9">
        <v>297326.17</v>
      </c>
      <c r="J16" s="9">
        <v>2004.37</v>
      </c>
      <c r="K16" s="9">
        <v>96423.32</v>
      </c>
      <c r="L16" s="337">
        <f>I16-K16</f>
        <v>200902.84999999998</v>
      </c>
      <c r="M16" s="314">
        <f t="shared" si="5"/>
        <v>0</v>
      </c>
      <c r="N16" s="314">
        <f>200902.85-L16</f>
        <v>0</v>
      </c>
      <c r="O16" s="27">
        <v>3650208.2</v>
      </c>
      <c r="P16" s="27">
        <v>3665808.2</v>
      </c>
      <c r="Q16" s="9">
        <v>1423163.24</v>
      </c>
      <c r="R16" s="283">
        <v>1131445.33</v>
      </c>
      <c r="S16" s="9">
        <v>1105537.67</v>
      </c>
      <c r="T16" s="9">
        <f t="shared" si="2"/>
        <v>25907.660000000149</v>
      </c>
      <c r="U16" s="11">
        <f t="shared" si="3"/>
        <v>291717.90999999992</v>
      </c>
      <c r="V16" s="11">
        <f t="shared" si="7"/>
        <v>23300.310000000056</v>
      </c>
      <c r="W16" s="11">
        <f t="shared" si="0"/>
        <v>23300.310000000056</v>
      </c>
      <c r="X16" s="11">
        <f t="shared" si="0"/>
        <v>23300.310000000056</v>
      </c>
      <c r="Y16" s="9">
        <f t="shared" si="4"/>
        <v>0</v>
      </c>
    </row>
    <row r="17" spans="1:25" s="1" customFormat="1" ht="11.25" x14ac:dyDescent="0.2">
      <c r="A17" s="41">
        <v>15</v>
      </c>
      <c r="B17" s="45" t="s">
        <v>67</v>
      </c>
      <c r="C17" s="46">
        <f>Cruz!I25</f>
        <v>53822953.909999996</v>
      </c>
      <c r="D17" s="46">
        <f>17347767.93</f>
        <v>17347767.93</v>
      </c>
      <c r="E17" s="47">
        <f>Cruz!G25</f>
        <v>17330717.390000001</v>
      </c>
      <c r="F17" s="48">
        <v>17322406.57</v>
      </c>
      <c r="G17" s="11">
        <f t="shared" si="1"/>
        <v>8310.820000000298</v>
      </c>
      <c r="H17" s="9">
        <v>45210.12</v>
      </c>
      <c r="I17" s="9">
        <v>45210.12</v>
      </c>
      <c r="J17" s="9"/>
      <c r="K17" s="9">
        <v>4008.39</v>
      </c>
      <c r="L17" s="9">
        <f>I17-K17</f>
        <v>41201.730000000003</v>
      </c>
      <c r="M17" s="314">
        <f t="shared" si="5"/>
        <v>0</v>
      </c>
      <c r="N17" s="314">
        <f>41201.73-L17</f>
        <v>0</v>
      </c>
      <c r="O17" s="27">
        <v>53822953.909999996</v>
      </c>
      <c r="P17" s="27">
        <v>53822953.909999996</v>
      </c>
      <c r="Q17" s="9">
        <v>17347767.93</v>
      </c>
      <c r="R17" s="9">
        <v>17330717.390000001</v>
      </c>
      <c r="S17" s="9">
        <v>17322406.57</v>
      </c>
      <c r="T17" s="9">
        <f t="shared" si="2"/>
        <v>8310.820000000298</v>
      </c>
      <c r="U17" s="11">
        <f t="shared" si="3"/>
        <v>17050.539999999106</v>
      </c>
      <c r="V17" s="11">
        <f t="shared" si="7"/>
        <v>0</v>
      </c>
      <c r="W17" s="11">
        <f t="shared" si="0"/>
        <v>0</v>
      </c>
      <c r="X17" s="11">
        <f t="shared" si="0"/>
        <v>0</v>
      </c>
      <c r="Y17" s="9">
        <f t="shared" si="4"/>
        <v>0</v>
      </c>
    </row>
    <row r="18" spans="1:25" s="1" customFormat="1" ht="11.25" x14ac:dyDescent="0.2">
      <c r="A18" s="41">
        <v>16</v>
      </c>
      <c r="B18" s="45" t="s">
        <v>68</v>
      </c>
      <c r="C18" s="46">
        <f>Cruz!I26</f>
        <v>4892448.28</v>
      </c>
      <c r="D18" s="46">
        <f>2258437.35</f>
        <v>2258437.35</v>
      </c>
      <c r="E18" s="47">
        <f>Cruz!G26</f>
        <v>1926086.57</v>
      </c>
      <c r="F18" s="48">
        <v>1881005.18</v>
      </c>
      <c r="G18" s="11">
        <f>E18-F18</f>
        <v>45081.39000000013</v>
      </c>
      <c r="H18" s="9">
        <v>95299.6</v>
      </c>
      <c r="I18" s="9">
        <v>92879.12</v>
      </c>
      <c r="J18" s="9"/>
      <c r="K18" s="9">
        <v>92879.12</v>
      </c>
      <c r="L18" s="9">
        <f>I18-K18</f>
        <v>0</v>
      </c>
      <c r="M18" s="314">
        <f t="shared" si="5"/>
        <v>0</v>
      </c>
      <c r="N18" s="314"/>
      <c r="O18" s="27">
        <v>4892448.28</v>
      </c>
      <c r="P18" s="27">
        <v>4892448.28</v>
      </c>
      <c r="Q18" s="9">
        <v>2258437.35</v>
      </c>
      <c r="R18" s="9">
        <v>1926086.57</v>
      </c>
      <c r="S18" s="9">
        <v>1881005.18</v>
      </c>
      <c r="T18" s="9">
        <f t="shared" si="2"/>
        <v>45081.39000000013</v>
      </c>
      <c r="U18" s="11">
        <f t="shared" si="3"/>
        <v>332350.78000000003</v>
      </c>
      <c r="V18" s="11">
        <f t="shared" si="7"/>
        <v>0</v>
      </c>
      <c r="W18" s="11">
        <f t="shared" si="0"/>
        <v>0</v>
      </c>
      <c r="X18" s="11">
        <f t="shared" si="0"/>
        <v>0</v>
      </c>
      <c r="Y18" s="9">
        <f t="shared" si="4"/>
        <v>0</v>
      </c>
    </row>
    <row r="19" spans="1:25" s="1" customFormat="1" ht="11.25" x14ac:dyDescent="0.2">
      <c r="C19" s="328">
        <f t="shared" ref="C19:G19" si="9">SUM(C4:C18)</f>
        <v>239261445.47</v>
      </c>
      <c r="D19" s="328">
        <f t="shared" si="9"/>
        <v>103671367.24000001</v>
      </c>
      <c r="E19" s="333">
        <f>SUM(E4:E18)</f>
        <v>90917225.079999998</v>
      </c>
      <c r="F19" s="333">
        <f t="shared" si="9"/>
        <v>75599827.840000004</v>
      </c>
      <c r="G19" s="333">
        <f t="shared" si="9"/>
        <v>15317397.240000006</v>
      </c>
      <c r="H19" s="367">
        <f>SUM(H4:H18)</f>
        <v>29352004.080000002</v>
      </c>
      <c r="I19" s="9">
        <f>SUM(I4:I18)</f>
        <v>27657882.310000006</v>
      </c>
      <c r="J19" s="9">
        <f>SUM(J4:J18)</f>
        <v>217026.65999999997</v>
      </c>
      <c r="K19" s="380">
        <f>SUM(K4:K18)</f>
        <v>10705244.970000001</v>
      </c>
      <c r="L19" s="377">
        <f>SUM(L4:L18)</f>
        <v>16952637.340000004</v>
      </c>
      <c r="M19" s="314">
        <f t="shared" si="5"/>
        <v>0</v>
      </c>
      <c r="N19" s="314"/>
      <c r="O19" s="301">
        <f>SUM(O4:O18)</f>
        <v>185741400.98999998</v>
      </c>
      <c r="P19" s="301">
        <f>SUM(P4:P18)</f>
        <v>190229697.45000002</v>
      </c>
      <c r="Q19" s="301">
        <f t="shared" ref="Q19:U19" si="10">SUM(Q4:Q18)</f>
        <v>82405107.069999993</v>
      </c>
      <c r="R19" s="301">
        <f t="shared" si="10"/>
        <v>69650964.909999996</v>
      </c>
      <c r="S19" s="11">
        <f t="shared" si="10"/>
        <v>65785374.93</v>
      </c>
      <c r="T19" s="301">
        <f t="shared" si="10"/>
        <v>3865589.9800000014</v>
      </c>
      <c r="U19" s="301">
        <f t="shared" si="10"/>
        <v>12754142.159999998</v>
      </c>
      <c r="V19" s="301">
        <f>SUM(V4:V18)</f>
        <v>21266260.169999998</v>
      </c>
      <c r="W19" s="301">
        <f>SUM(W4:W18)</f>
        <v>21266260.170000002</v>
      </c>
      <c r="X19" s="301">
        <f>SUM(X4:X18)</f>
        <v>9814452.910000002</v>
      </c>
      <c r="Y19" s="301">
        <f>SUM(Y4:Y18)</f>
        <v>11451807.260000004</v>
      </c>
    </row>
    <row r="20" spans="1:25" s="1" customFormat="1" ht="11.25" x14ac:dyDescent="0.2">
      <c r="A20" s="5"/>
      <c r="B20" s="331" t="s">
        <v>134</v>
      </c>
      <c r="C20" s="9">
        <f>C19+Cruz!I24-Cruz!I27</f>
        <v>0</v>
      </c>
      <c r="D20" s="9">
        <f>103671367.24-D19</f>
        <v>0</v>
      </c>
      <c r="E20" s="48">
        <f>90917225.08-E19</f>
        <v>0</v>
      </c>
      <c r="F20" s="48">
        <f>75599827.84-F19</f>
        <v>0</v>
      </c>
      <c r="G20" s="48">
        <f>15317397.24-G19</f>
        <v>0</v>
      </c>
      <c r="H20" s="9">
        <f>29352004.08-H19</f>
        <v>0</v>
      </c>
      <c r="I20" s="9">
        <f>27657882.31-I19</f>
        <v>0</v>
      </c>
      <c r="J20" s="9">
        <f>217026.66-J19</f>
        <v>0</v>
      </c>
      <c r="K20" s="27">
        <f>10705244.97-K19</f>
        <v>0</v>
      </c>
      <c r="L20" s="9">
        <f>16952637.34-L19</f>
        <v>0</v>
      </c>
      <c r="M20" s="314"/>
      <c r="N20" s="314"/>
      <c r="O20" s="3" t="s">
        <v>455</v>
      </c>
      <c r="P20" s="314">
        <f>185921958.03-O19</f>
        <v>180557.04000002146</v>
      </c>
      <c r="Q20" s="314">
        <f>82405107.07-Q19</f>
        <v>0</v>
      </c>
      <c r="R20" s="327">
        <f>69650964.91-R19</f>
        <v>0</v>
      </c>
      <c r="S20" s="327">
        <f>65785374.93-S19</f>
        <v>0</v>
      </c>
      <c r="T20" s="314">
        <f>3865589.98-T19</f>
        <v>0</v>
      </c>
      <c r="U20" s="314">
        <f>(16619732.14-T19)-U19</f>
        <v>0</v>
      </c>
      <c r="W20" s="399"/>
      <c r="Y20" s="327">
        <f>T19+Y19</f>
        <v>15317397.240000006</v>
      </c>
    </row>
    <row r="21" spans="1:25" s="1" customFormat="1" ht="11.25" x14ac:dyDescent="0.2">
      <c r="B21" s="50" t="s">
        <v>1199</v>
      </c>
      <c r="E21" s="51"/>
      <c r="F21" s="51"/>
      <c r="G21" s="51"/>
      <c r="H21" s="323"/>
      <c r="I21" s="334"/>
      <c r="J21" s="327"/>
      <c r="K21" s="332"/>
      <c r="L21" s="327"/>
      <c r="M21" s="314"/>
      <c r="N21" s="314"/>
      <c r="O21" s="314"/>
      <c r="P21" s="314">
        <f>190229839.52-P19</f>
        <v>142.06999999284744</v>
      </c>
      <c r="Q21" s="314"/>
      <c r="R21" s="314"/>
      <c r="S21" s="314"/>
      <c r="T21" s="314"/>
      <c r="U21" s="314"/>
      <c r="V21" s="314"/>
      <c r="W21" s="314"/>
      <c r="X21" s="314"/>
      <c r="Y21" s="314"/>
    </row>
    <row r="22" spans="1:25" s="1" customFormat="1" ht="11.25" x14ac:dyDescent="0.2">
      <c r="B22" s="417">
        <v>3110</v>
      </c>
      <c r="C22" s="601" t="s">
        <v>1140</v>
      </c>
      <c r="D22" s="601" t="s">
        <v>806</v>
      </c>
      <c r="E22" s="643"/>
      <c r="F22" s="604"/>
      <c r="G22" s="600">
        <f>13674675.12</f>
        <v>13674675.119999999</v>
      </c>
      <c r="H22" s="675"/>
      <c r="I22" s="327">
        <f>13674675.12-G22</f>
        <v>0</v>
      </c>
      <c r="J22" s="334"/>
      <c r="K22" s="334"/>
      <c r="L22" s="334"/>
      <c r="M22" s="314"/>
      <c r="N22" s="314"/>
      <c r="O22" s="314"/>
      <c r="P22" s="314"/>
      <c r="Q22" s="314"/>
      <c r="R22" s="314"/>
      <c r="S22" s="314"/>
      <c r="T22" s="314"/>
      <c r="U22" s="314"/>
      <c r="V22" s="314"/>
      <c r="W22" s="314"/>
      <c r="X22" s="314"/>
      <c r="Y22" s="314"/>
    </row>
    <row r="23" spans="1:25" s="1" customFormat="1" x14ac:dyDescent="0.25">
      <c r="B23" s="417">
        <v>2986</v>
      </c>
      <c r="C23" s="601" t="s">
        <v>2619</v>
      </c>
      <c r="D23" s="601" t="s">
        <v>2618</v>
      </c>
      <c r="E23" s="431"/>
      <c r="F23" s="602"/>
      <c r="G23" s="647">
        <f>3295727.51</f>
        <v>3295727.51</v>
      </c>
      <c r="H23" s="644">
        <v>2897110.04</v>
      </c>
      <c r="I23" s="327">
        <f>(G22+G23+G24+G25)-H19</f>
        <v>0</v>
      </c>
      <c r="Q23" s="314"/>
      <c r="R23" s="314"/>
      <c r="S23" s="314"/>
      <c r="T23" s="314"/>
      <c r="U23" s="314"/>
      <c r="V23" s="314"/>
      <c r="W23" s="314"/>
      <c r="X23" s="314"/>
      <c r="Y23" s="314"/>
    </row>
    <row r="24" spans="1:25" s="1" customFormat="1" ht="11.25" x14ac:dyDescent="0.2">
      <c r="B24" s="381">
        <v>2989</v>
      </c>
      <c r="C24" s="650" t="s">
        <v>1139</v>
      </c>
      <c r="D24" s="603" t="s">
        <v>1136</v>
      </c>
      <c r="E24" s="643"/>
      <c r="F24" s="643"/>
      <c r="G24" s="687">
        <f>10957304.4</f>
        <v>10957304.4</v>
      </c>
      <c r="H24" s="648"/>
      <c r="I24" s="327"/>
      <c r="Q24" s="314"/>
      <c r="R24" s="314"/>
      <c r="S24" s="314"/>
      <c r="T24" s="314"/>
      <c r="U24" s="314"/>
      <c r="V24" s="314"/>
      <c r="W24" s="314"/>
      <c r="X24" s="314"/>
      <c r="Y24" s="314"/>
    </row>
    <row r="25" spans="1:25" s="1" customFormat="1" ht="11.25" x14ac:dyDescent="0.2">
      <c r="B25" s="645">
        <v>2983</v>
      </c>
      <c r="C25" s="573" t="s">
        <v>1138</v>
      </c>
      <c r="D25" s="573" t="s">
        <v>1137</v>
      </c>
      <c r="E25" s="573"/>
      <c r="F25" s="573"/>
      <c r="G25" s="649">
        <v>1424297.05</v>
      </c>
      <c r="H25" s="646"/>
      <c r="J25" s="680"/>
      <c r="K25" s="680"/>
      <c r="L25" s="680"/>
      <c r="M25" s="680"/>
      <c r="N25" s="680"/>
      <c r="O25" s="680"/>
      <c r="P25" s="314"/>
      <c r="Q25" s="314"/>
      <c r="R25" s="314"/>
      <c r="S25" s="314"/>
      <c r="T25" s="314"/>
      <c r="U25" s="314"/>
      <c r="V25" s="314"/>
      <c r="W25" s="314"/>
      <c r="X25" s="314"/>
      <c r="Y25" s="314"/>
    </row>
    <row r="26" spans="1:25" s="1" customFormat="1" ht="11.25" x14ac:dyDescent="0.2">
      <c r="B26" s="679">
        <v>3098</v>
      </c>
      <c r="C26" s="1" t="s">
        <v>1204</v>
      </c>
      <c r="D26" s="1" t="s">
        <v>1205</v>
      </c>
      <c r="G26" s="649">
        <v>128792.75</v>
      </c>
      <c r="H26" s="688">
        <v>5971.88</v>
      </c>
      <c r="J26" s="680"/>
      <c r="K26" s="680"/>
      <c r="L26" s="680"/>
      <c r="M26" s="680"/>
      <c r="N26" s="680"/>
      <c r="O26" s="680"/>
      <c r="P26" s="314"/>
      <c r="Q26" s="314"/>
      <c r="R26" s="314"/>
      <c r="S26" s="314"/>
      <c r="T26" s="314"/>
      <c r="U26" s="314"/>
      <c r="V26" s="314"/>
      <c r="W26" s="314"/>
      <c r="X26" s="314"/>
      <c r="Y26" s="314"/>
    </row>
    <row r="27" spans="1:25" s="1" customFormat="1" ht="11.25" x14ac:dyDescent="0.2">
      <c r="B27" s="681">
        <v>3107</v>
      </c>
      <c r="C27" s="682" t="s">
        <v>1202</v>
      </c>
      <c r="D27" s="682" t="s">
        <v>1200</v>
      </c>
      <c r="E27" s="682"/>
      <c r="F27" s="648"/>
      <c r="G27" s="683">
        <f>16817872.71</f>
        <v>16817872.710000001</v>
      </c>
      <c r="H27" s="648"/>
      <c r="J27" s="323"/>
      <c r="K27" s="323"/>
      <c r="L27" s="327"/>
      <c r="M27" s="314"/>
      <c r="N27" s="314"/>
      <c r="O27" s="314"/>
      <c r="P27" s="314"/>
      <c r="Q27" s="314"/>
      <c r="R27" s="314"/>
      <c r="S27" s="314"/>
      <c r="T27" s="314"/>
      <c r="U27" s="314"/>
      <c r="V27" s="314"/>
      <c r="W27" s="314"/>
      <c r="X27" s="314"/>
      <c r="Y27" s="314"/>
    </row>
    <row r="28" spans="1:25" s="1" customFormat="1" ht="11.25" x14ac:dyDescent="0.2">
      <c r="B28" s="681">
        <v>3108</v>
      </c>
      <c r="C28" s="684" t="s">
        <v>1203</v>
      </c>
      <c r="D28" s="684" t="s">
        <v>1201</v>
      </c>
      <c r="E28" s="685"/>
      <c r="F28" s="648"/>
      <c r="G28" s="683">
        <v>7808134.9299999997</v>
      </c>
      <c r="H28" s="648"/>
      <c r="N28" s="314"/>
      <c r="O28" s="314"/>
      <c r="P28" s="314"/>
      <c r="Q28" s="314"/>
      <c r="R28" s="314"/>
      <c r="S28" s="314"/>
      <c r="T28" s="314"/>
      <c r="U28" s="314"/>
      <c r="V28" s="314"/>
      <c r="W28" s="314"/>
      <c r="X28" s="314"/>
      <c r="Y28" s="314"/>
    </row>
    <row r="29" spans="1:25" s="1" customFormat="1" ht="11.25" x14ac:dyDescent="0.2">
      <c r="B29" s="52"/>
      <c r="E29" s="51"/>
      <c r="F29" s="51"/>
      <c r="G29" s="51"/>
      <c r="H29" s="314"/>
      <c r="I29" s="323"/>
      <c r="J29" s="323"/>
      <c r="K29" s="323"/>
      <c r="L29" s="327"/>
      <c r="M29" s="314"/>
      <c r="N29" s="314"/>
      <c r="O29" s="314"/>
      <c r="P29" s="314"/>
      <c r="Q29" s="314"/>
      <c r="R29" s="314"/>
      <c r="S29" s="314"/>
      <c r="T29" s="314"/>
      <c r="U29" s="314"/>
      <c r="V29" s="314"/>
      <c r="W29" s="314"/>
      <c r="X29" s="314"/>
      <c r="Y29" s="314"/>
    </row>
    <row r="30" spans="1:25" s="1" customFormat="1" ht="11.25" x14ac:dyDescent="0.2">
      <c r="B30" s="381"/>
      <c r="C30" s="382"/>
      <c r="D30" s="382" t="s">
        <v>442</v>
      </c>
      <c r="E30" s="325"/>
      <c r="F30" s="325"/>
      <c r="G30" s="383"/>
      <c r="H30" s="284"/>
      <c r="I30" s="382" t="s">
        <v>443</v>
      </c>
      <c r="J30" s="382"/>
      <c r="K30" s="326"/>
      <c r="L30" s="384"/>
      <c r="M30" s="385"/>
      <c r="N30" s="314"/>
      <c r="O30" s="314"/>
      <c r="P30" s="314"/>
      <c r="Q30" s="314"/>
      <c r="R30" s="314"/>
      <c r="S30" s="314"/>
      <c r="T30" s="314"/>
      <c r="U30" s="314"/>
      <c r="V30" s="314"/>
      <c r="W30" s="314"/>
      <c r="X30" s="314"/>
      <c r="Y30" s="314"/>
    </row>
    <row r="31" spans="1:25" x14ac:dyDescent="0.25">
      <c r="B31" s="373" t="s">
        <v>368</v>
      </c>
      <c r="C31" s="374"/>
      <c r="D31" s="372" t="s">
        <v>406</v>
      </c>
      <c r="E31" s="44" t="s">
        <v>404</v>
      </c>
      <c r="F31" s="371" t="s">
        <v>405</v>
      </c>
      <c r="G31" s="44" t="s">
        <v>407</v>
      </c>
      <c r="H31" s="43" t="s">
        <v>408</v>
      </c>
      <c r="I31" s="43" t="s">
        <v>439</v>
      </c>
      <c r="J31" s="43" t="s">
        <v>440</v>
      </c>
      <c r="K31" s="43" t="s">
        <v>416</v>
      </c>
      <c r="L31" s="378" t="s">
        <v>444</v>
      </c>
      <c r="M31" s="43" t="s">
        <v>445</v>
      </c>
      <c r="R31" s="1"/>
      <c r="S31" s="1"/>
      <c r="T31" s="1"/>
      <c r="U31" s="1"/>
      <c r="V31" s="1"/>
      <c r="W31" s="1"/>
      <c r="X31" s="1"/>
      <c r="Y31" s="1"/>
    </row>
    <row r="32" spans="1:25" x14ac:dyDescent="0.25">
      <c r="B32" s="5" t="s">
        <v>70</v>
      </c>
      <c r="C32" s="53">
        <f>Cruz!H16</f>
        <v>67686015.709999993</v>
      </c>
      <c r="D32" s="301">
        <f>SUM(D4:D16)</f>
        <v>84065161.960000008</v>
      </c>
      <c r="E32" s="11">
        <f>SUM(E4:E16)</f>
        <v>71660421.120000005</v>
      </c>
      <c r="F32" s="11">
        <f>SUM(F4:F16)</f>
        <v>56396416.090000004</v>
      </c>
      <c r="G32" s="376">
        <f>C32-F32</f>
        <v>11289599.61999999</v>
      </c>
      <c r="H32" s="11">
        <f>E32-F32</f>
        <v>15264005.030000001</v>
      </c>
      <c r="I32" s="11">
        <f>SUM(H4:H16)</f>
        <v>29211494.359999999</v>
      </c>
      <c r="J32" s="301">
        <f>SUM(I4:I16)</f>
        <v>27519793.070000004</v>
      </c>
      <c r="K32" s="376">
        <f>SUM(K4:K16)</f>
        <v>10608357.460000001</v>
      </c>
      <c r="L32" s="376">
        <f>SUM(L4:L16)</f>
        <v>16911435.610000003</v>
      </c>
      <c r="M32" s="377">
        <f>C32-(F32+K32)</f>
        <v>681242.15999998897</v>
      </c>
      <c r="R32" s="1"/>
      <c r="S32" s="1"/>
      <c r="T32" s="1"/>
      <c r="U32" s="1"/>
      <c r="V32" s="1"/>
      <c r="W32" s="1"/>
      <c r="X32" s="1"/>
      <c r="Y32" s="1"/>
    </row>
    <row r="33" spans="1:26" x14ac:dyDescent="0.25">
      <c r="B33" s="5" t="s">
        <v>67</v>
      </c>
      <c r="C33" s="54">
        <f>Cruz!H25</f>
        <v>21296552.969999999</v>
      </c>
      <c r="D33" s="11">
        <f t="shared" ref="D33:F34" si="11">D17</f>
        <v>17347767.93</v>
      </c>
      <c r="E33" s="11">
        <f t="shared" si="11"/>
        <v>17330717.390000001</v>
      </c>
      <c r="F33" s="11">
        <f t="shared" si="11"/>
        <v>17322406.57</v>
      </c>
      <c r="G33" s="11">
        <f>C33-F33</f>
        <v>3974146.3999999985</v>
      </c>
      <c r="H33" s="11">
        <f>E33-F33</f>
        <v>8310.820000000298</v>
      </c>
      <c r="I33" s="11">
        <f>H17</f>
        <v>45210.12</v>
      </c>
      <c r="J33" s="11">
        <f t="shared" ref="J33" si="12">I17</f>
        <v>45210.12</v>
      </c>
      <c r="K33" s="11">
        <f>K17</f>
        <v>4008.39</v>
      </c>
      <c r="L33" s="11">
        <f>L17</f>
        <v>41201.730000000003</v>
      </c>
      <c r="M33" s="387">
        <f>C33-(F33+K33)</f>
        <v>3970138.0099999979</v>
      </c>
      <c r="R33" s="1"/>
      <c r="S33" s="1"/>
      <c r="T33" s="1"/>
      <c r="U33" s="1"/>
      <c r="V33" s="1"/>
      <c r="W33" s="1"/>
      <c r="X33" s="1"/>
      <c r="Y33" s="1"/>
    </row>
    <row r="34" spans="1:26" x14ac:dyDescent="0.25">
      <c r="B34" s="5" t="s">
        <v>68</v>
      </c>
      <c r="C34" s="164">
        <f>Cruz!H26</f>
        <v>2622709.4</v>
      </c>
      <c r="D34" s="11">
        <f t="shared" si="11"/>
        <v>2258437.35</v>
      </c>
      <c r="E34" s="11">
        <f t="shared" si="11"/>
        <v>1926086.57</v>
      </c>
      <c r="F34" s="11">
        <f t="shared" si="11"/>
        <v>1881005.18</v>
      </c>
      <c r="G34" s="11">
        <f>C34-F34</f>
        <v>741704.22</v>
      </c>
      <c r="H34" s="11">
        <f>E34-F34</f>
        <v>45081.39000000013</v>
      </c>
      <c r="I34" s="11">
        <f>H18</f>
        <v>95299.6</v>
      </c>
      <c r="J34" s="11">
        <f t="shared" ref="J34" si="13">I18</f>
        <v>92879.12</v>
      </c>
      <c r="K34" s="11">
        <f>K18</f>
        <v>92879.12</v>
      </c>
      <c r="L34" s="11">
        <f>L18</f>
        <v>0</v>
      </c>
      <c r="M34" s="9">
        <f>C34-(F34+K34)</f>
        <v>648825.10000000009</v>
      </c>
      <c r="R34" s="1"/>
      <c r="S34" s="1"/>
      <c r="T34" s="1"/>
      <c r="U34" s="1"/>
      <c r="V34" s="1"/>
      <c r="W34" s="1"/>
      <c r="X34" s="1"/>
      <c r="Y34" s="1"/>
    </row>
    <row r="35" spans="1:26" x14ac:dyDescent="0.25">
      <c r="B35" s="5" t="s">
        <v>71</v>
      </c>
      <c r="C35" s="55">
        <f t="shared" ref="C35:J35" si="14">SUM(C32:C34)</f>
        <v>91605278.079999998</v>
      </c>
      <c r="D35" s="55">
        <f t="shared" si="14"/>
        <v>103671367.24000001</v>
      </c>
      <c r="E35" s="55">
        <f t="shared" si="14"/>
        <v>90917225.079999998</v>
      </c>
      <c r="F35" s="55">
        <f t="shared" si="14"/>
        <v>75599827.840000004</v>
      </c>
      <c r="G35" s="388">
        <f>SUM(G32:G34)</f>
        <v>16005450.239999989</v>
      </c>
      <c r="H35" s="55">
        <f t="shared" si="14"/>
        <v>15317397.240000002</v>
      </c>
      <c r="I35" s="55">
        <f t="shared" si="14"/>
        <v>29352004.080000002</v>
      </c>
      <c r="J35" s="69">
        <f t="shared" si="14"/>
        <v>27657882.310000006</v>
      </c>
      <c r="K35" s="386">
        <f>SUM(K32:K34)</f>
        <v>10705244.970000001</v>
      </c>
      <c r="L35" s="379">
        <f>SUM(L32:L34)</f>
        <v>16952637.340000004</v>
      </c>
      <c r="M35" s="448">
        <f>SUM(M32:M34)</f>
        <v>5300205.2699999865</v>
      </c>
      <c r="R35" s="1"/>
      <c r="S35" s="1"/>
      <c r="T35" s="1"/>
      <c r="U35" s="1"/>
      <c r="V35" s="1"/>
      <c r="W35" s="1"/>
      <c r="X35" s="1"/>
      <c r="Y35" s="1"/>
    </row>
    <row r="36" spans="1:26" s="1" customFormat="1" ht="11.25" x14ac:dyDescent="0.2">
      <c r="B36" s="299" t="s">
        <v>446</v>
      </c>
      <c r="C36" s="299"/>
      <c r="D36" s="299"/>
      <c r="E36" s="392"/>
      <c r="F36" s="299"/>
      <c r="G36" s="299"/>
      <c r="H36" s="393">
        <f>C35-E35</f>
        <v>688053</v>
      </c>
      <c r="I36" s="299" t="s">
        <v>2623</v>
      </c>
      <c r="J36" s="299"/>
      <c r="K36" s="299"/>
      <c r="L36" s="393">
        <f>(D19-F19)+(L19)</f>
        <v>45024176.74000001</v>
      </c>
    </row>
    <row r="37" spans="1:26" s="1" customFormat="1" ht="11.25" x14ac:dyDescent="0.2">
      <c r="M37" s="323"/>
    </row>
    <row r="38" spans="1:26" s="336" customFormat="1" x14ac:dyDescent="0.25">
      <c r="M38" s="395"/>
      <c r="Z38" s="1"/>
    </row>
    <row r="39" spans="1:26" s="336" customFormat="1" x14ac:dyDescent="0.25">
      <c r="A39"/>
      <c r="B39"/>
      <c r="C39"/>
      <c r="D39"/>
      <c r="E39"/>
      <c r="M39" s="395"/>
      <c r="R39" s="29" t="s">
        <v>23</v>
      </c>
      <c r="S39" s="1"/>
      <c r="T39" s="29" t="s">
        <v>24</v>
      </c>
      <c r="U39" s="1"/>
      <c r="V39" s="1"/>
      <c r="W39" s="339" t="s">
        <v>25</v>
      </c>
      <c r="Z39" s="1"/>
    </row>
    <row r="40" spans="1:26" s="3" customFormat="1" ht="8.25" x14ac:dyDescent="0.15">
      <c r="G40" s="304" t="s">
        <v>23</v>
      </c>
      <c r="I40" s="304" t="s">
        <v>24</v>
      </c>
      <c r="L40" s="686" t="s">
        <v>25</v>
      </c>
      <c r="R40" s="304" t="s">
        <v>26</v>
      </c>
      <c r="T40" s="304" t="s">
        <v>27</v>
      </c>
      <c r="W40" s="307" t="s">
        <v>28</v>
      </c>
    </row>
    <row r="41" spans="1:26" s="3" customFormat="1" ht="8.25" x14ac:dyDescent="0.15">
      <c r="G41" s="304" t="s">
        <v>26</v>
      </c>
      <c r="I41" s="304" t="s">
        <v>27</v>
      </c>
      <c r="L41" s="307" t="s">
        <v>28</v>
      </c>
      <c r="T41" s="329"/>
      <c r="U41" s="329"/>
      <c r="V41" s="329"/>
      <c r="W41" s="329"/>
    </row>
    <row r="47" spans="1:26" x14ac:dyDescent="0.25">
      <c r="R47" s="1"/>
      <c r="S47" s="1"/>
      <c r="T47" s="1"/>
      <c r="U47" s="1"/>
      <c r="V47" s="1"/>
      <c r="W47" s="1"/>
      <c r="X47" s="1"/>
      <c r="Y47" s="1"/>
    </row>
    <row r="48" spans="1:26" x14ac:dyDescent="0.25">
      <c r="R48" s="1"/>
      <c r="S48" s="1"/>
      <c r="T48" s="1"/>
      <c r="U48" s="1"/>
      <c r="V48" s="1"/>
      <c r="W48" s="1"/>
      <c r="X48" s="1"/>
      <c r="Y48" s="1"/>
    </row>
    <row r="49" spans="15:36" x14ac:dyDescent="0.25">
      <c r="R49" s="1"/>
      <c r="S49" s="1"/>
      <c r="T49" s="1"/>
      <c r="U49" s="1"/>
      <c r="V49" s="1"/>
      <c r="W49" s="1"/>
      <c r="X49" s="1"/>
      <c r="Y49" s="1"/>
    </row>
    <row r="50" spans="15:36" x14ac:dyDescent="0.25">
      <c r="R50" s="1"/>
      <c r="S50" s="1"/>
      <c r="T50" s="1"/>
      <c r="U50" s="1"/>
      <c r="V50" s="1"/>
      <c r="W50" s="1"/>
      <c r="X50" s="1"/>
      <c r="Y50" s="1"/>
    </row>
    <row r="51" spans="15:36" x14ac:dyDescent="0.25">
      <c r="R51" s="1"/>
      <c r="S51" s="1"/>
      <c r="T51" s="1"/>
      <c r="U51" s="1"/>
      <c r="V51" s="1"/>
      <c r="W51" s="1"/>
      <c r="X51" s="1"/>
      <c r="Y51" s="1"/>
    </row>
    <row r="52" spans="15:36" x14ac:dyDescent="0.25">
      <c r="R52" s="1"/>
      <c r="S52" s="1"/>
      <c r="T52" s="1"/>
      <c r="U52" s="1"/>
      <c r="V52" s="1"/>
      <c r="W52" s="1"/>
      <c r="X52" s="1"/>
      <c r="Y52" s="1"/>
    </row>
    <row r="53" spans="15:36" x14ac:dyDescent="0.25">
      <c r="R53" s="1"/>
      <c r="S53" s="1"/>
      <c r="T53" s="1"/>
      <c r="U53" s="1"/>
      <c r="V53" s="1"/>
      <c r="W53" s="1"/>
      <c r="X53" s="1"/>
      <c r="Y53" s="1"/>
    </row>
    <row r="54" spans="15:36" x14ac:dyDescent="0.25">
      <c r="R54" s="1"/>
      <c r="S54" s="1"/>
      <c r="T54" s="1"/>
      <c r="U54" s="1"/>
      <c r="V54" s="1"/>
      <c r="W54" s="1"/>
      <c r="X54" s="1"/>
      <c r="Y54" s="1"/>
    </row>
    <row r="55" spans="15:36" x14ac:dyDescent="0.25">
      <c r="R55" s="1"/>
      <c r="S55" s="1"/>
      <c r="T55" s="1"/>
      <c r="U55" s="1"/>
      <c r="V55" s="1"/>
      <c r="W55" s="1"/>
      <c r="X55" s="1"/>
      <c r="Y55" s="1"/>
    </row>
    <row r="56" spans="15:36" x14ac:dyDescent="0.25">
      <c r="R56" s="1"/>
      <c r="S56" s="1"/>
      <c r="T56" s="1"/>
      <c r="U56" s="1"/>
      <c r="V56" s="1"/>
      <c r="W56" s="1"/>
      <c r="X56" s="1"/>
      <c r="Y56" s="1"/>
    </row>
    <row r="57" spans="15:36" x14ac:dyDescent="0.25">
      <c r="R57" s="1"/>
      <c r="S57" s="1"/>
      <c r="T57" s="1"/>
      <c r="U57" s="1"/>
      <c r="V57" s="1"/>
      <c r="W57" s="1"/>
      <c r="X57" s="1"/>
      <c r="Y57" s="1"/>
    </row>
    <row r="58" spans="15:36" x14ac:dyDescent="0.25"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</row>
    <row r="59" spans="15:36" x14ac:dyDescent="0.25"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</row>
    <row r="60" spans="15:36" x14ac:dyDescent="0.25"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</row>
    <row r="61" spans="15:36" x14ac:dyDescent="0.25">
      <c r="O61"/>
      <c r="P6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</row>
    <row r="62" spans="15:36" x14ac:dyDescent="0.25">
      <c r="O62"/>
      <c r="P62"/>
      <c r="U62" s="1"/>
      <c r="V62" s="1"/>
      <c r="W62" s="1"/>
      <c r="X62" s="1"/>
      <c r="Y62" s="1"/>
    </row>
  </sheetData>
  <mergeCells count="1">
    <mergeCell ref="H2:K2"/>
  </mergeCells>
  <pageMargins left="0.511811024" right="0.511811024" top="0.78740157499999996" bottom="0.78740157499999996" header="0.31496062000000002" footer="0.31496062000000002"/>
  <pageSetup paperSize="9" orientation="landscape" horizontalDpi="0" verticalDpi="0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6"/>
  <sheetViews>
    <sheetView workbookViewId="0">
      <selection activeCell="I19" sqref="I19"/>
    </sheetView>
  </sheetViews>
  <sheetFormatPr defaultRowHeight="11.25" x14ac:dyDescent="0.2"/>
  <cols>
    <col min="1" max="1" width="10.28515625" style="31" customWidth="1"/>
    <col min="2" max="2" width="10.42578125" style="31" customWidth="1"/>
    <col min="3" max="3" width="12.7109375" style="31" customWidth="1"/>
    <col min="4" max="4" width="11.85546875" style="31" customWidth="1"/>
    <col min="5" max="5" width="11" style="31" customWidth="1"/>
    <col min="6" max="6" width="11.7109375" style="31" customWidth="1"/>
    <col min="7" max="7" width="10.85546875" style="31" customWidth="1"/>
    <col min="8" max="8" width="11" style="31" customWidth="1"/>
    <col min="9" max="9" width="11.42578125" style="31" customWidth="1"/>
    <col min="10" max="10" width="11.5703125" style="31" customWidth="1"/>
    <col min="11" max="11" width="11" style="31" customWidth="1"/>
    <col min="12" max="12" width="12" style="31" customWidth="1"/>
    <col min="13" max="13" width="10" style="31" bestFit="1" customWidth="1"/>
    <col min="14" max="14" width="13.85546875" style="31" customWidth="1"/>
    <col min="15" max="15" width="11.140625" style="31" bestFit="1" customWidth="1"/>
    <col min="16" max="16" width="12" style="31" bestFit="1" customWidth="1"/>
    <col min="17" max="17" width="10.85546875" style="31" customWidth="1"/>
    <col min="18" max="18" width="12.140625" style="31" customWidth="1"/>
    <col min="19" max="19" width="10.85546875" style="31" bestFit="1" customWidth="1"/>
    <col min="20" max="20" width="10.5703125" style="31" bestFit="1" customWidth="1"/>
    <col min="21" max="21" width="11.85546875" style="31" customWidth="1"/>
    <col min="22" max="22" width="10.85546875" style="31" bestFit="1" customWidth="1"/>
    <col min="23" max="23" width="11.140625" style="31" bestFit="1" customWidth="1"/>
    <col min="24" max="256" width="9.140625" style="31"/>
    <col min="257" max="257" width="10.28515625" style="31" customWidth="1"/>
    <col min="258" max="258" width="10.42578125" style="31" customWidth="1"/>
    <col min="259" max="259" width="12.7109375" style="31" customWidth="1"/>
    <col min="260" max="260" width="11.28515625" style="31" customWidth="1"/>
    <col min="261" max="261" width="11.85546875" style="31" customWidth="1"/>
    <col min="262" max="262" width="11.7109375" style="31" customWidth="1"/>
    <col min="263" max="263" width="10.7109375" style="31" customWidth="1"/>
    <col min="264" max="264" width="11.85546875" style="31" customWidth="1"/>
    <col min="265" max="265" width="11.42578125" style="31" customWidth="1"/>
    <col min="266" max="266" width="12.28515625" style="31" customWidth="1"/>
    <col min="267" max="267" width="11" style="31" customWidth="1"/>
    <col min="268" max="268" width="12" style="31" customWidth="1"/>
    <col min="269" max="269" width="12.85546875" style="31" bestFit="1" customWidth="1"/>
    <col min="270" max="270" width="13.85546875" style="31" customWidth="1"/>
    <col min="271" max="271" width="4.85546875" style="31" bestFit="1" customWidth="1"/>
    <col min="272" max="272" width="12" style="31" bestFit="1" customWidth="1"/>
    <col min="273" max="273" width="10.28515625" style="31" bestFit="1" customWidth="1"/>
    <col min="274" max="274" width="12" style="31" bestFit="1" customWidth="1"/>
    <col min="275" max="275" width="12.5703125" style="31" bestFit="1" customWidth="1"/>
    <col min="276" max="276" width="12" style="31" bestFit="1" customWidth="1"/>
    <col min="277" max="278" width="11.7109375" style="31" bestFit="1" customWidth="1"/>
    <col min="279" max="279" width="11.140625" style="31" bestFit="1" customWidth="1"/>
    <col min="280" max="512" width="9.140625" style="31"/>
    <col min="513" max="513" width="10.28515625" style="31" customWidth="1"/>
    <col min="514" max="514" width="10.42578125" style="31" customWidth="1"/>
    <col min="515" max="515" width="12.7109375" style="31" customWidth="1"/>
    <col min="516" max="516" width="11.28515625" style="31" customWidth="1"/>
    <col min="517" max="517" width="11.85546875" style="31" customWidth="1"/>
    <col min="518" max="518" width="11.7109375" style="31" customWidth="1"/>
    <col min="519" max="519" width="10.7109375" style="31" customWidth="1"/>
    <col min="520" max="520" width="11.85546875" style="31" customWidth="1"/>
    <col min="521" max="521" width="11.42578125" style="31" customWidth="1"/>
    <col min="522" max="522" width="12.28515625" style="31" customWidth="1"/>
    <col min="523" max="523" width="11" style="31" customWidth="1"/>
    <col min="524" max="524" width="12" style="31" customWidth="1"/>
    <col min="525" max="525" width="12.85546875" style="31" bestFit="1" customWidth="1"/>
    <col min="526" max="526" width="13.85546875" style="31" customWidth="1"/>
    <col min="527" max="527" width="4.85546875" style="31" bestFit="1" customWidth="1"/>
    <col min="528" max="528" width="12" style="31" bestFit="1" customWidth="1"/>
    <col min="529" max="529" width="10.28515625" style="31" bestFit="1" customWidth="1"/>
    <col min="530" max="530" width="12" style="31" bestFit="1" customWidth="1"/>
    <col min="531" max="531" width="12.5703125" style="31" bestFit="1" customWidth="1"/>
    <col min="532" max="532" width="12" style="31" bestFit="1" customWidth="1"/>
    <col min="533" max="534" width="11.7109375" style="31" bestFit="1" customWidth="1"/>
    <col min="535" max="535" width="11.140625" style="31" bestFit="1" customWidth="1"/>
    <col min="536" max="768" width="9.140625" style="31"/>
    <col min="769" max="769" width="10.28515625" style="31" customWidth="1"/>
    <col min="770" max="770" width="10.42578125" style="31" customWidth="1"/>
    <col min="771" max="771" width="12.7109375" style="31" customWidth="1"/>
    <col min="772" max="772" width="11.28515625" style="31" customWidth="1"/>
    <col min="773" max="773" width="11.85546875" style="31" customWidth="1"/>
    <col min="774" max="774" width="11.7109375" style="31" customWidth="1"/>
    <col min="775" max="775" width="10.7109375" style="31" customWidth="1"/>
    <col min="776" max="776" width="11.85546875" style="31" customWidth="1"/>
    <col min="777" max="777" width="11.42578125" style="31" customWidth="1"/>
    <col min="778" max="778" width="12.28515625" style="31" customWidth="1"/>
    <col min="779" max="779" width="11" style="31" customWidth="1"/>
    <col min="780" max="780" width="12" style="31" customWidth="1"/>
    <col min="781" max="781" width="12.85546875" style="31" bestFit="1" customWidth="1"/>
    <col min="782" max="782" width="13.85546875" style="31" customWidth="1"/>
    <col min="783" max="783" width="4.85546875" style="31" bestFit="1" customWidth="1"/>
    <col min="784" max="784" width="12" style="31" bestFit="1" customWidth="1"/>
    <col min="785" max="785" width="10.28515625" style="31" bestFit="1" customWidth="1"/>
    <col min="786" max="786" width="12" style="31" bestFit="1" customWidth="1"/>
    <col min="787" max="787" width="12.5703125" style="31" bestFit="1" customWidth="1"/>
    <col min="788" max="788" width="12" style="31" bestFit="1" customWidth="1"/>
    <col min="789" max="790" width="11.7109375" style="31" bestFit="1" customWidth="1"/>
    <col min="791" max="791" width="11.140625" style="31" bestFit="1" customWidth="1"/>
    <col min="792" max="1024" width="9.140625" style="31"/>
    <col min="1025" max="1025" width="10.28515625" style="31" customWidth="1"/>
    <col min="1026" max="1026" width="10.42578125" style="31" customWidth="1"/>
    <col min="1027" max="1027" width="12.7109375" style="31" customWidth="1"/>
    <col min="1028" max="1028" width="11.28515625" style="31" customWidth="1"/>
    <col min="1029" max="1029" width="11.85546875" style="31" customWidth="1"/>
    <col min="1030" max="1030" width="11.7109375" style="31" customWidth="1"/>
    <col min="1031" max="1031" width="10.7109375" style="31" customWidth="1"/>
    <col min="1032" max="1032" width="11.85546875" style="31" customWidth="1"/>
    <col min="1033" max="1033" width="11.42578125" style="31" customWidth="1"/>
    <col min="1034" max="1034" width="12.28515625" style="31" customWidth="1"/>
    <col min="1035" max="1035" width="11" style="31" customWidth="1"/>
    <col min="1036" max="1036" width="12" style="31" customWidth="1"/>
    <col min="1037" max="1037" width="12.85546875" style="31" bestFit="1" customWidth="1"/>
    <col min="1038" max="1038" width="13.85546875" style="31" customWidth="1"/>
    <col min="1039" max="1039" width="4.85546875" style="31" bestFit="1" customWidth="1"/>
    <col min="1040" max="1040" width="12" style="31" bestFit="1" customWidth="1"/>
    <col min="1041" max="1041" width="10.28515625" style="31" bestFit="1" customWidth="1"/>
    <col min="1042" max="1042" width="12" style="31" bestFit="1" customWidth="1"/>
    <col min="1043" max="1043" width="12.5703125" style="31" bestFit="1" customWidth="1"/>
    <col min="1044" max="1044" width="12" style="31" bestFit="1" customWidth="1"/>
    <col min="1045" max="1046" width="11.7109375" style="31" bestFit="1" customWidth="1"/>
    <col min="1047" max="1047" width="11.140625" style="31" bestFit="1" customWidth="1"/>
    <col min="1048" max="1280" width="9.140625" style="31"/>
    <col min="1281" max="1281" width="10.28515625" style="31" customWidth="1"/>
    <col min="1282" max="1282" width="10.42578125" style="31" customWidth="1"/>
    <col min="1283" max="1283" width="12.7109375" style="31" customWidth="1"/>
    <col min="1284" max="1284" width="11.28515625" style="31" customWidth="1"/>
    <col min="1285" max="1285" width="11.85546875" style="31" customWidth="1"/>
    <col min="1286" max="1286" width="11.7109375" style="31" customWidth="1"/>
    <col min="1287" max="1287" width="10.7109375" style="31" customWidth="1"/>
    <col min="1288" max="1288" width="11.85546875" style="31" customWidth="1"/>
    <col min="1289" max="1289" width="11.42578125" style="31" customWidth="1"/>
    <col min="1290" max="1290" width="12.28515625" style="31" customWidth="1"/>
    <col min="1291" max="1291" width="11" style="31" customWidth="1"/>
    <col min="1292" max="1292" width="12" style="31" customWidth="1"/>
    <col min="1293" max="1293" width="12.85546875" style="31" bestFit="1" customWidth="1"/>
    <col min="1294" max="1294" width="13.85546875" style="31" customWidth="1"/>
    <col min="1295" max="1295" width="4.85546875" style="31" bestFit="1" customWidth="1"/>
    <col min="1296" max="1296" width="12" style="31" bestFit="1" customWidth="1"/>
    <col min="1297" max="1297" width="10.28515625" style="31" bestFit="1" customWidth="1"/>
    <col min="1298" max="1298" width="12" style="31" bestFit="1" customWidth="1"/>
    <col min="1299" max="1299" width="12.5703125" style="31" bestFit="1" customWidth="1"/>
    <col min="1300" max="1300" width="12" style="31" bestFit="1" customWidth="1"/>
    <col min="1301" max="1302" width="11.7109375" style="31" bestFit="1" customWidth="1"/>
    <col min="1303" max="1303" width="11.140625" style="31" bestFit="1" customWidth="1"/>
    <col min="1304" max="1536" width="9.140625" style="31"/>
    <col min="1537" max="1537" width="10.28515625" style="31" customWidth="1"/>
    <col min="1538" max="1538" width="10.42578125" style="31" customWidth="1"/>
    <col min="1539" max="1539" width="12.7109375" style="31" customWidth="1"/>
    <col min="1540" max="1540" width="11.28515625" style="31" customWidth="1"/>
    <col min="1541" max="1541" width="11.85546875" style="31" customWidth="1"/>
    <col min="1542" max="1542" width="11.7109375" style="31" customWidth="1"/>
    <col min="1543" max="1543" width="10.7109375" style="31" customWidth="1"/>
    <col min="1544" max="1544" width="11.85546875" style="31" customWidth="1"/>
    <col min="1545" max="1545" width="11.42578125" style="31" customWidth="1"/>
    <col min="1546" max="1546" width="12.28515625" style="31" customWidth="1"/>
    <col min="1547" max="1547" width="11" style="31" customWidth="1"/>
    <col min="1548" max="1548" width="12" style="31" customWidth="1"/>
    <col min="1549" max="1549" width="12.85546875" style="31" bestFit="1" customWidth="1"/>
    <col min="1550" max="1550" width="13.85546875" style="31" customWidth="1"/>
    <col min="1551" max="1551" width="4.85546875" style="31" bestFit="1" customWidth="1"/>
    <col min="1552" max="1552" width="12" style="31" bestFit="1" customWidth="1"/>
    <col min="1553" max="1553" width="10.28515625" style="31" bestFit="1" customWidth="1"/>
    <col min="1554" max="1554" width="12" style="31" bestFit="1" customWidth="1"/>
    <col min="1555" max="1555" width="12.5703125" style="31" bestFit="1" customWidth="1"/>
    <col min="1556" max="1556" width="12" style="31" bestFit="1" customWidth="1"/>
    <col min="1557" max="1558" width="11.7109375" style="31" bestFit="1" customWidth="1"/>
    <col min="1559" max="1559" width="11.140625" style="31" bestFit="1" customWidth="1"/>
    <col min="1560" max="1792" width="9.140625" style="31"/>
    <col min="1793" max="1793" width="10.28515625" style="31" customWidth="1"/>
    <col min="1794" max="1794" width="10.42578125" style="31" customWidth="1"/>
    <col min="1795" max="1795" width="12.7109375" style="31" customWidth="1"/>
    <col min="1796" max="1796" width="11.28515625" style="31" customWidth="1"/>
    <col min="1797" max="1797" width="11.85546875" style="31" customWidth="1"/>
    <col min="1798" max="1798" width="11.7109375" style="31" customWidth="1"/>
    <col min="1799" max="1799" width="10.7109375" style="31" customWidth="1"/>
    <col min="1800" max="1800" width="11.85546875" style="31" customWidth="1"/>
    <col min="1801" max="1801" width="11.42578125" style="31" customWidth="1"/>
    <col min="1802" max="1802" width="12.28515625" style="31" customWidth="1"/>
    <col min="1803" max="1803" width="11" style="31" customWidth="1"/>
    <col min="1804" max="1804" width="12" style="31" customWidth="1"/>
    <col min="1805" max="1805" width="12.85546875" style="31" bestFit="1" customWidth="1"/>
    <col min="1806" max="1806" width="13.85546875" style="31" customWidth="1"/>
    <col min="1807" max="1807" width="4.85546875" style="31" bestFit="1" customWidth="1"/>
    <col min="1808" max="1808" width="12" style="31" bestFit="1" customWidth="1"/>
    <col min="1809" max="1809" width="10.28515625" style="31" bestFit="1" customWidth="1"/>
    <col min="1810" max="1810" width="12" style="31" bestFit="1" customWidth="1"/>
    <col min="1811" max="1811" width="12.5703125" style="31" bestFit="1" customWidth="1"/>
    <col min="1812" max="1812" width="12" style="31" bestFit="1" customWidth="1"/>
    <col min="1813" max="1814" width="11.7109375" style="31" bestFit="1" customWidth="1"/>
    <col min="1815" max="1815" width="11.140625" style="31" bestFit="1" customWidth="1"/>
    <col min="1816" max="2048" width="9.140625" style="31"/>
    <col min="2049" max="2049" width="10.28515625" style="31" customWidth="1"/>
    <col min="2050" max="2050" width="10.42578125" style="31" customWidth="1"/>
    <col min="2051" max="2051" width="12.7109375" style="31" customWidth="1"/>
    <col min="2052" max="2052" width="11.28515625" style="31" customWidth="1"/>
    <col min="2053" max="2053" width="11.85546875" style="31" customWidth="1"/>
    <col min="2054" max="2054" width="11.7109375" style="31" customWidth="1"/>
    <col min="2055" max="2055" width="10.7109375" style="31" customWidth="1"/>
    <col min="2056" max="2056" width="11.85546875" style="31" customWidth="1"/>
    <col min="2057" max="2057" width="11.42578125" style="31" customWidth="1"/>
    <col min="2058" max="2058" width="12.28515625" style="31" customWidth="1"/>
    <col min="2059" max="2059" width="11" style="31" customWidth="1"/>
    <col min="2060" max="2060" width="12" style="31" customWidth="1"/>
    <col min="2061" max="2061" width="12.85546875" style="31" bestFit="1" customWidth="1"/>
    <col min="2062" max="2062" width="13.85546875" style="31" customWidth="1"/>
    <col min="2063" max="2063" width="4.85546875" style="31" bestFit="1" customWidth="1"/>
    <col min="2064" max="2064" width="12" style="31" bestFit="1" customWidth="1"/>
    <col min="2065" max="2065" width="10.28515625" style="31" bestFit="1" customWidth="1"/>
    <col min="2066" max="2066" width="12" style="31" bestFit="1" customWidth="1"/>
    <col min="2067" max="2067" width="12.5703125" style="31" bestFit="1" customWidth="1"/>
    <col min="2068" max="2068" width="12" style="31" bestFit="1" customWidth="1"/>
    <col min="2069" max="2070" width="11.7109375" style="31" bestFit="1" customWidth="1"/>
    <col min="2071" max="2071" width="11.140625" style="31" bestFit="1" customWidth="1"/>
    <col min="2072" max="2304" width="9.140625" style="31"/>
    <col min="2305" max="2305" width="10.28515625" style="31" customWidth="1"/>
    <col min="2306" max="2306" width="10.42578125" style="31" customWidth="1"/>
    <col min="2307" max="2307" width="12.7109375" style="31" customWidth="1"/>
    <col min="2308" max="2308" width="11.28515625" style="31" customWidth="1"/>
    <col min="2309" max="2309" width="11.85546875" style="31" customWidth="1"/>
    <col min="2310" max="2310" width="11.7109375" style="31" customWidth="1"/>
    <col min="2311" max="2311" width="10.7109375" style="31" customWidth="1"/>
    <col min="2312" max="2312" width="11.85546875" style="31" customWidth="1"/>
    <col min="2313" max="2313" width="11.42578125" style="31" customWidth="1"/>
    <col min="2314" max="2314" width="12.28515625" style="31" customWidth="1"/>
    <col min="2315" max="2315" width="11" style="31" customWidth="1"/>
    <col min="2316" max="2316" width="12" style="31" customWidth="1"/>
    <col min="2317" max="2317" width="12.85546875" style="31" bestFit="1" customWidth="1"/>
    <col min="2318" max="2318" width="13.85546875" style="31" customWidth="1"/>
    <col min="2319" max="2319" width="4.85546875" style="31" bestFit="1" customWidth="1"/>
    <col min="2320" max="2320" width="12" style="31" bestFit="1" customWidth="1"/>
    <col min="2321" max="2321" width="10.28515625" style="31" bestFit="1" customWidth="1"/>
    <col min="2322" max="2322" width="12" style="31" bestFit="1" customWidth="1"/>
    <col min="2323" max="2323" width="12.5703125" style="31" bestFit="1" customWidth="1"/>
    <col min="2324" max="2324" width="12" style="31" bestFit="1" customWidth="1"/>
    <col min="2325" max="2326" width="11.7109375" style="31" bestFit="1" customWidth="1"/>
    <col min="2327" max="2327" width="11.140625" style="31" bestFit="1" customWidth="1"/>
    <col min="2328" max="2560" width="9.140625" style="31"/>
    <col min="2561" max="2561" width="10.28515625" style="31" customWidth="1"/>
    <col min="2562" max="2562" width="10.42578125" style="31" customWidth="1"/>
    <col min="2563" max="2563" width="12.7109375" style="31" customWidth="1"/>
    <col min="2564" max="2564" width="11.28515625" style="31" customWidth="1"/>
    <col min="2565" max="2565" width="11.85546875" style="31" customWidth="1"/>
    <col min="2566" max="2566" width="11.7109375" style="31" customWidth="1"/>
    <col min="2567" max="2567" width="10.7109375" style="31" customWidth="1"/>
    <col min="2568" max="2568" width="11.85546875" style="31" customWidth="1"/>
    <col min="2569" max="2569" width="11.42578125" style="31" customWidth="1"/>
    <col min="2570" max="2570" width="12.28515625" style="31" customWidth="1"/>
    <col min="2571" max="2571" width="11" style="31" customWidth="1"/>
    <col min="2572" max="2572" width="12" style="31" customWidth="1"/>
    <col min="2573" max="2573" width="12.85546875" style="31" bestFit="1" customWidth="1"/>
    <col min="2574" max="2574" width="13.85546875" style="31" customWidth="1"/>
    <col min="2575" max="2575" width="4.85546875" style="31" bestFit="1" customWidth="1"/>
    <col min="2576" max="2576" width="12" style="31" bestFit="1" customWidth="1"/>
    <col min="2577" max="2577" width="10.28515625" style="31" bestFit="1" customWidth="1"/>
    <col min="2578" max="2578" width="12" style="31" bestFit="1" customWidth="1"/>
    <col min="2579" max="2579" width="12.5703125" style="31" bestFit="1" customWidth="1"/>
    <col min="2580" max="2580" width="12" style="31" bestFit="1" customWidth="1"/>
    <col min="2581" max="2582" width="11.7109375" style="31" bestFit="1" customWidth="1"/>
    <col min="2583" max="2583" width="11.140625" style="31" bestFit="1" customWidth="1"/>
    <col min="2584" max="2816" width="9.140625" style="31"/>
    <col min="2817" max="2817" width="10.28515625" style="31" customWidth="1"/>
    <col min="2818" max="2818" width="10.42578125" style="31" customWidth="1"/>
    <col min="2819" max="2819" width="12.7109375" style="31" customWidth="1"/>
    <col min="2820" max="2820" width="11.28515625" style="31" customWidth="1"/>
    <col min="2821" max="2821" width="11.85546875" style="31" customWidth="1"/>
    <col min="2822" max="2822" width="11.7109375" style="31" customWidth="1"/>
    <col min="2823" max="2823" width="10.7109375" style="31" customWidth="1"/>
    <col min="2824" max="2824" width="11.85546875" style="31" customWidth="1"/>
    <col min="2825" max="2825" width="11.42578125" style="31" customWidth="1"/>
    <col min="2826" max="2826" width="12.28515625" style="31" customWidth="1"/>
    <col min="2827" max="2827" width="11" style="31" customWidth="1"/>
    <col min="2828" max="2828" width="12" style="31" customWidth="1"/>
    <col min="2829" max="2829" width="12.85546875" style="31" bestFit="1" customWidth="1"/>
    <col min="2830" max="2830" width="13.85546875" style="31" customWidth="1"/>
    <col min="2831" max="2831" width="4.85546875" style="31" bestFit="1" customWidth="1"/>
    <col min="2832" max="2832" width="12" style="31" bestFit="1" customWidth="1"/>
    <col min="2833" max="2833" width="10.28515625" style="31" bestFit="1" customWidth="1"/>
    <col min="2834" max="2834" width="12" style="31" bestFit="1" customWidth="1"/>
    <col min="2835" max="2835" width="12.5703125" style="31" bestFit="1" customWidth="1"/>
    <col min="2836" max="2836" width="12" style="31" bestFit="1" customWidth="1"/>
    <col min="2837" max="2838" width="11.7109375" style="31" bestFit="1" customWidth="1"/>
    <col min="2839" max="2839" width="11.140625" style="31" bestFit="1" customWidth="1"/>
    <col min="2840" max="3072" width="9.140625" style="31"/>
    <col min="3073" max="3073" width="10.28515625" style="31" customWidth="1"/>
    <col min="3074" max="3074" width="10.42578125" style="31" customWidth="1"/>
    <col min="3075" max="3075" width="12.7109375" style="31" customWidth="1"/>
    <col min="3076" max="3076" width="11.28515625" style="31" customWidth="1"/>
    <col min="3077" max="3077" width="11.85546875" style="31" customWidth="1"/>
    <col min="3078" max="3078" width="11.7109375" style="31" customWidth="1"/>
    <col min="3079" max="3079" width="10.7109375" style="31" customWidth="1"/>
    <col min="3080" max="3080" width="11.85546875" style="31" customWidth="1"/>
    <col min="3081" max="3081" width="11.42578125" style="31" customWidth="1"/>
    <col min="3082" max="3082" width="12.28515625" style="31" customWidth="1"/>
    <col min="3083" max="3083" width="11" style="31" customWidth="1"/>
    <col min="3084" max="3084" width="12" style="31" customWidth="1"/>
    <col min="3085" max="3085" width="12.85546875" style="31" bestFit="1" customWidth="1"/>
    <col min="3086" max="3086" width="13.85546875" style="31" customWidth="1"/>
    <col min="3087" max="3087" width="4.85546875" style="31" bestFit="1" customWidth="1"/>
    <col min="3088" max="3088" width="12" style="31" bestFit="1" customWidth="1"/>
    <col min="3089" max="3089" width="10.28515625" style="31" bestFit="1" customWidth="1"/>
    <col min="3090" max="3090" width="12" style="31" bestFit="1" customWidth="1"/>
    <col min="3091" max="3091" width="12.5703125" style="31" bestFit="1" customWidth="1"/>
    <col min="3092" max="3092" width="12" style="31" bestFit="1" customWidth="1"/>
    <col min="3093" max="3094" width="11.7109375" style="31" bestFit="1" customWidth="1"/>
    <col min="3095" max="3095" width="11.140625" style="31" bestFit="1" customWidth="1"/>
    <col min="3096" max="3328" width="9.140625" style="31"/>
    <col min="3329" max="3329" width="10.28515625" style="31" customWidth="1"/>
    <col min="3330" max="3330" width="10.42578125" style="31" customWidth="1"/>
    <col min="3331" max="3331" width="12.7109375" style="31" customWidth="1"/>
    <col min="3332" max="3332" width="11.28515625" style="31" customWidth="1"/>
    <col min="3333" max="3333" width="11.85546875" style="31" customWidth="1"/>
    <col min="3334" max="3334" width="11.7109375" style="31" customWidth="1"/>
    <col min="3335" max="3335" width="10.7109375" style="31" customWidth="1"/>
    <col min="3336" max="3336" width="11.85546875" style="31" customWidth="1"/>
    <col min="3337" max="3337" width="11.42578125" style="31" customWidth="1"/>
    <col min="3338" max="3338" width="12.28515625" style="31" customWidth="1"/>
    <col min="3339" max="3339" width="11" style="31" customWidth="1"/>
    <col min="3340" max="3340" width="12" style="31" customWidth="1"/>
    <col min="3341" max="3341" width="12.85546875" style="31" bestFit="1" customWidth="1"/>
    <col min="3342" max="3342" width="13.85546875" style="31" customWidth="1"/>
    <col min="3343" max="3343" width="4.85546875" style="31" bestFit="1" customWidth="1"/>
    <col min="3344" max="3344" width="12" style="31" bestFit="1" customWidth="1"/>
    <col min="3345" max="3345" width="10.28515625" style="31" bestFit="1" customWidth="1"/>
    <col min="3346" max="3346" width="12" style="31" bestFit="1" customWidth="1"/>
    <col min="3347" max="3347" width="12.5703125" style="31" bestFit="1" customWidth="1"/>
    <col min="3348" max="3348" width="12" style="31" bestFit="1" customWidth="1"/>
    <col min="3349" max="3350" width="11.7109375" style="31" bestFit="1" customWidth="1"/>
    <col min="3351" max="3351" width="11.140625" style="31" bestFit="1" customWidth="1"/>
    <col min="3352" max="3584" width="9.140625" style="31"/>
    <col min="3585" max="3585" width="10.28515625" style="31" customWidth="1"/>
    <col min="3586" max="3586" width="10.42578125" style="31" customWidth="1"/>
    <col min="3587" max="3587" width="12.7109375" style="31" customWidth="1"/>
    <col min="3588" max="3588" width="11.28515625" style="31" customWidth="1"/>
    <col min="3589" max="3589" width="11.85546875" style="31" customWidth="1"/>
    <col min="3590" max="3590" width="11.7109375" style="31" customWidth="1"/>
    <col min="3591" max="3591" width="10.7109375" style="31" customWidth="1"/>
    <col min="3592" max="3592" width="11.85546875" style="31" customWidth="1"/>
    <col min="3593" max="3593" width="11.42578125" style="31" customWidth="1"/>
    <col min="3594" max="3594" width="12.28515625" style="31" customWidth="1"/>
    <col min="3595" max="3595" width="11" style="31" customWidth="1"/>
    <col min="3596" max="3596" width="12" style="31" customWidth="1"/>
    <col min="3597" max="3597" width="12.85546875" style="31" bestFit="1" customWidth="1"/>
    <col min="3598" max="3598" width="13.85546875" style="31" customWidth="1"/>
    <col min="3599" max="3599" width="4.85546875" style="31" bestFit="1" customWidth="1"/>
    <col min="3600" max="3600" width="12" style="31" bestFit="1" customWidth="1"/>
    <col min="3601" max="3601" width="10.28515625" style="31" bestFit="1" customWidth="1"/>
    <col min="3602" max="3602" width="12" style="31" bestFit="1" customWidth="1"/>
    <col min="3603" max="3603" width="12.5703125" style="31" bestFit="1" customWidth="1"/>
    <col min="3604" max="3604" width="12" style="31" bestFit="1" customWidth="1"/>
    <col min="3605" max="3606" width="11.7109375" style="31" bestFit="1" customWidth="1"/>
    <col min="3607" max="3607" width="11.140625" style="31" bestFit="1" customWidth="1"/>
    <col min="3608" max="3840" width="9.140625" style="31"/>
    <col min="3841" max="3841" width="10.28515625" style="31" customWidth="1"/>
    <col min="3842" max="3842" width="10.42578125" style="31" customWidth="1"/>
    <col min="3843" max="3843" width="12.7109375" style="31" customWidth="1"/>
    <col min="3844" max="3844" width="11.28515625" style="31" customWidth="1"/>
    <col min="3845" max="3845" width="11.85546875" style="31" customWidth="1"/>
    <col min="3846" max="3846" width="11.7109375" style="31" customWidth="1"/>
    <col min="3847" max="3847" width="10.7109375" style="31" customWidth="1"/>
    <col min="3848" max="3848" width="11.85546875" style="31" customWidth="1"/>
    <col min="3849" max="3849" width="11.42578125" style="31" customWidth="1"/>
    <col min="3850" max="3850" width="12.28515625" style="31" customWidth="1"/>
    <col min="3851" max="3851" width="11" style="31" customWidth="1"/>
    <col min="3852" max="3852" width="12" style="31" customWidth="1"/>
    <col min="3853" max="3853" width="12.85546875" style="31" bestFit="1" customWidth="1"/>
    <col min="3854" max="3854" width="13.85546875" style="31" customWidth="1"/>
    <col min="3855" max="3855" width="4.85546875" style="31" bestFit="1" customWidth="1"/>
    <col min="3856" max="3856" width="12" style="31" bestFit="1" customWidth="1"/>
    <col min="3857" max="3857" width="10.28515625" style="31" bestFit="1" customWidth="1"/>
    <col min="3858" max="3858" width="12" style="31" bestFit="1" customWidth="1"/>
    <col min="3859" max="3859" width="12.5703125" style="31" bestFit="1" customWidth="1"/>
    <col min="3860" max="3860" width="12" style="31" bestFit="1" customWidth="1"/>
    <col min="3861" max="3862" width="11.7109375" style="31" bestFit="1" customWidth="1"/>
    <col min="3863" max="3863" width="11.140625" style="31" bestFit="1" customWidth="1"/>
    <col min="3864" max="4096" width="9.140625" style="31"/>
    <col min="4097" max="4097" width="10.28515625" style="31" customWidth="1"/>
    <col min="4098" max="4098" width="10.42578125" style="31" customWidth="1"/>
    <col min="4099" max="4099" width="12.7109375" style="31" customWidth="1"/>
    <col min="4100" max="4100" width="11.28515625" style="31" customWidth="1"/>
    <col min="4101" max="4101" width="11.85546875" style="31" customWidth="1"/>
    <col min="4102" max="4102" width="11.7109375" style="31" customWidth="1"/>
    <col min="4103" max="4103" width="10.7109375" style="31" customWidth="1"/>
    <col min="4104" max="4104" width="11.85546875" style="31" customWidth="1"/>
    <col min="4105" max="4105" width="11.42578125" style="31" customWidth="1"/>
    <col min="4106" max="4106" width="12.28515625" style="31" customWidth="1"/>
    <col min="4107" max="4107" width="11" style="31" customWidth="1"/>
    <col min="4108" max="4108" width="12" style="31" customWidth="1"/>
    <col min="4109" max="4109" width="12.85546875" style="31" bestFit="1" customWidth="1"/>
    <col min="4110" max="4110" width="13.85546875" style="31" customWidth="1"/>
    <col min="4111" max="4111" width="4.85546875" style="31" bestFit="1" customWidth="1"/>
    <col min="4112" max="4112" width="12" style="31" bestFit="1" customWidth="1"/>
    <col min="4113" max="4113" width="10.28515625" style="31" bestFit="1" customWidth="1"/>
    <col min="4114" max="4114" width="12" style="31" bestFit="1" customWidth="1"/>
    <col min="4115" max="4115" width="12.5703125" style="31" bestFit="1" customWidth="1"/>
    <col min="4116" max="4116" width="12" style="31" bestFit="1" customWidth="1"/>
    <col min="4117" max="4118" width="11.7109375" style="31" bestFit="1" customWidth="1"/>
    <col min="4119" max="4119" width="11.140625" style="31" bestFit="1" customWidth="1"/>
    <col min="4120" max="4352" width="9.140625" style="31"/>
    <col min="4353" max="4353" width="10.28515625" style="31" customWidth="1"/>
    <col min="4354" max="4354" width="10.42578125" style="31" customWidth="1"/>
    <col min="4355" max="4355" width="12.7109375" style="31" customWidth="1"/>
    <col min="4356" max="4356" width="11.28515625" style="31" customWidth="1"/>
    <col min="4357" max="4357" width="11.85546875" style="31" customWidth="1"/>
    <col min="4358" max="4358" width="11.7109375" style="31" customWidth="1"/>
    <col min="4359" max="4359" width="10.7109375" style="31" customWidth="1"/>
    <col min="4360" max="4360" width="11.85546875" style="31" customWidth="1"/>
    <col min="4361" max="4361" width="11.42578125" style="31" customWidth="1"/>
    <col min="4362" max="4362" width="12.28515625" style="31" customWidth="1"/>
    <col min="4363" max="4363" width="11" style="31" customWidth="1"/>
    <col min="4364" max="4364" width="12" style="31" customWidth="1"/>
    <col min="4365" max="4365" width="12.85546875" style="31" bestFit="1" customWidth="1"/>
    <col min="4366" max="4366" width="13.85546875" style="31" customWidth="1"/>
    <col min="4367" max="4367" width="4.85546875" style="31" bestFit="1" customWidth="1"/>
    <col min="4368" max="4368" width="12" style="31" bestFit="1" customWidth="1"/>
    <col min="4369" max="4369" width="10.28515625" style="31" bestFit="1" customWidth="1"/>
    <col min="4370" max="4370" width="12" style="31" bestFit="1" customWidth="1"/>
    <col min="4371" max="4371" width="12.5703125" style="31" bestFit="1" customWidth="1"/>
    <col min="4372" max="4372" width="12" style="31" bestFit="1" customWidth="1"/>
    <col min="4373" max="4374" width="11.7109375" style="31" bestFit="1" customWidth="1"/>
    <col min="4375" max="4375" width="11.140625" style="31" bestFit="1" customWidth="1"/>
    <col min="4376" max="4608" width="9.140625" style="31"/>
    <col min="4609" max="4609" width="10.28515625" style="31" customWidth="1"/>
    <col min="4610" max="4610" width="10.42578125" style="31" customWidth="1"/>
    <col min="4611" max="4611" width="12.7109375" style="31" customWidth="1"/>
    <col min="4612" max="4612" width="11.28515625" style="31" customWidth="1"/>
    <col min="4613" max="4613" width="11.85546875" style="31" customWidth="1"/>
    <col min="4614" max="4614" width="11.7109375" style="31" customWidth="1"/>
    <col min="4615" max="4615" width="10.7109375" style="31" customWidth="1"/>
    <col min="4616" max="4616" width="11.85546875" style="31" customWidth="1"/>
    <col min="4617" max="4617" width="11.42578125" style="31" customWidth="1"/>
    <col min="4618" max="4618" width="12.28515625" style="31" customWidth="1"/>
    <col min="4619" max="4619" width="11" style="31" customWidth="1"/>
    <col min="4620" max="4620" width="12" style="31" customWidth="1"/>
    <col min="4621" max="4621" width="12.85546875" style="31" bestFit="1" customWidth="1"/>
    <col min="4622" max="4622" width="13.85546875" style="31" customWidth="1"/>
    <col min="4623" max="4623" width="4.85546875" style="31" bestFit="1" customWidth="1"/>
    <col min="4624" max="4624" width="12" style="31" bestFit="1" customWidth="1"/>
    <col min="4625" max="4625" width="10.28515625" style="31" bestFit="1" customWidth="1"/>
    <col min="4626" max="4626" width="12" style="31" bestFit="1" customWidth="1"/>
    <col min="4627" max="4627" width="12.5703125" style="31" bestFit="1" customWidth="1"/>
    <col min="4628" max="4628" width="12" style="31" bestFit="1" customWidth="1"/>
    <col min="4629" max="4630" width="11.7109375" style="31" bestFit="1" customWidth="1"/>
    <col min="4631" max="4631" width="11.140625" style="31" bestFit="1" customWidth="1"/>
    <col min="4632" max="4864" width="9.140625" style="31"/>
    <col min="4865" max="4865" width="10.28515625" style="31" customWidth="1"/>
    <col min="4866" max="4866" width="10.42578125" style="31" customWidth="1"/>
    <col min="4867" max="4867" width="12.7109375" style="31" customWidth="1"/>
    <col min="4868" max="4868" width="11.28515625" style="31" customWidth="1"/>
    <col min="4869" max="4869" width="11.85546875" style="31" customWidth="1"/>
    <col min="4870" max="4870" width="11.7109375" style="31" customWidth="1"/>
    <col min="4871" max="4871" width="10.7109375" style="31" customWidth="1"/>
    <col min="4872" max="4872" width="11.85546875" style="31" customWidth="1"/>
    <col min="4873" max="4873" width="11.42578125" style="31" customWidth="1"/>
    <col min="4874" max="4874" width="12.28515625" style="31" customWidth="1"/>
    <col min="4875" max="4875" width="11" style="31" customWidth="1"/>
    <col min="4876" max="4876" width="12" style="31" customWidth="1"/>
    <col min="4877" max="4877" width="12.85546875" style="31" bestFit="1" customWidth="1"/>
    <col min="4878" max="4878" width="13.85546875" style="31" customWidth="1"/>
    <col min="4879" max="4879" width="4.85546875" style="31" bestFit="1" customWidth="1"/>
    <col min="4880" max="4880" width="12" style="31" bestFit="1" customWidth="1"/>
    <col min="4881" max="4881" width="10.28515625" style="31" bestFit="1" customWidth="1"/>
    <col min="4882" max="4882" width="12" style="31" bestFit="1" customWidth="1"/>
    <col min="4883" max="4883" width="12.5703125" style="31" bestFit="1" customWidth="1"/>
    <col min="4884" max="4884" width="12" style="31" bestFit="1" customWidth="1"/>
    <col min="4885" max="4886" width="11.7109375" style="31" bestFit="1" customWidth="1"/>
    <col min="4887" max="4887" width="11.140625" style="31" bestFit="1" customWidth="1"/>
    <col min="4888" max="5120" width="9.140625" style="31"/>
    <col min="5121" max="5121" width="10.28515625" style="31" customWidth="1"/>
    <col min="5122" max="5122" width="10.42578125" style="31" customWidth="1"/>
    <col min="5123" max="5123" width="12.7109375" style="31" customWidth="1"/>
    <col min="5124" max="5124" width="11.28515625" style="31" customWidth="1"/>
    <col min="5125" max="5125" width="11.85546875" style="31" customWidth="1"/>
    <col min="5126" max="5126" width="11.7109375" style="31" customWidth="1"/>
    <col min="5127" max="5127" width="10.7109375" style="31" customWidth="1"/>
    <col min="5128" max="5128" width="11.85546875" style="31" customWidth="1"/>
    <col min="5129" max="5129" width="11.42578125" style="31" customWidth="1"/>
    <col min="5130" max="5130" width="12.28515625" style="31" customWidth="1"/>
    <col min="5131" max="5131" width="11" style="31" customWidth="1"/>
    <col min="5132" max="5132" width="12" style="31" customWidth="1"/>
    <col min="5133" max="5133" width="12.85546875" style="31" bestFit="1" customWidth="1"/>
    <col min="5134" max="5134" width="13.85546875" style="31" customWidth="1"/>
    <col min="5135" max="5135" width="4.85546875" style="31" bestFit="1" customWidth="1"/>
    <col min="5136" max="5136" width="12" style="31" bestFit="1" customWidth="1"/>
    <col min="5137" max="5137" width="10.28515625" style="31" bestFit="1" customWidth="1"/>
    <col min="5138" max="5138" width="12" style="31" bestFit="1" customWidth="1"/>
    <col min="5139" max="5139" width="12.5703125" style="31" bestFit="1" customWidth="1"/>
    <col min="5140" max="5140" width="12" style="31" bestFit="1" customWidth="1"/>
    <col min="5141" max="5142" width="11.7109375" style="31" bestFit="1" customWidth="1"/>
    <col min="5143" max="5143" width="11.140625" style="31" bestFit="1" customWidth="1"/>
    <col min="5144" max="5376" width="9.140625" style="31"/>
    <col min="5377" max="5377" width="10.28515625" style="31" customWidth="1"/>
    <col min="5378" max="5378" width="10.42578125" style="31" customWidth="1"/>
    <col min="5379" max="5379" width="12.7109375" style="31" customWidth="1"/>
    <col min="5380" max="5380" width="11.28515625" style="31" customWidth="1"/>
    <col min="5381" max="5381" width="11.85546875" style="31" customWidth="1"/>
    <col min="5382" max="5382" width="11.7109375" style="31" customWidth="1"/>
    <col min="5383" max="5383" width="10.7109375" style="31" customWidth="1"/>
    <col min="5384" max="5384" width="11.85546875" style="31" customWidth="1"/>
    <col min="5385" max="5385" width="11.42578125" style="31" customWidth="1"/>
    <col min="5386" max="5386" width="12.28515625" style="31" customWidth="1"/>
    <col min="5387" max="5387" width="11" style="31" customWidth="1"/>
    <col min="5388" max="5388" width="12" style="31" customWidth="1"/>
    <col min="5389" max="5389" width="12.85546875" style="31" bestFit="1" customWidth="1"/>
    <col min="5390" max="5390" width="13.85546875" style="31" customWidth="1"/>
    <col min="5391" max="5391" width="4.85546875" style="31" bestFit="1" customWidth="1"/>
    <col min="5392" max="5392" width="12" style="31" bestFit="1" customWidth="1"/>
    <col min="5393" max="5393" width="10.28515625" style="31" bestFit="1" customWidth="1"/>
    <col min="5394" max="5394" width="12" style="31" bestFit="1" customWidth="1"/>
    <col min="5395" max="5395" width="12.5703125" style="31" bestFit="1" customWidth="1"/>
    <col min="5396" max="5396" width="12" style="31" bestFit="1" customWidth="1"/>
    <col min="5397" max="5398" width="11.7109375" style="31" bestFit="1" customWidth="1"/>
    <col min="5399" max="5399" width="11.140625" style="31" bestFit="1" customWidth="1"/>
    <col min="5400" max="5632" width="9.140625" style="31"/>
    <col min="5633" max="5633" width="10.28515625" style="31" customWidth="1"/>
    <col min="5634" max="5634" width="10.42578125" style="31" customWidth="1"/>
    <col min="5635" max="5635" width="12.7109375" style="31" customWidth="1"/>
    <col min="5636" max="5636" width="11.28515625" style="31" customWidth="1"/>
    <col min="5637" max="5637" width="11.85546875" style="31" customWidth="1"/>
    <col min="5638" max="5638" width="11.7109375" style="31" customWidth="1"/>
    <col min="5639" max="5639" width="10.7109375" style="31" customWidth="1"/>
    <col min="5640" max="5640" width="11.85546875" style="31" customWidth="1"/>
    <col min="5641" max="5641" width="11.42578125" style="31" customWidth="1"/>
    <col min="5642" max="5642" width="12.28515625" style="31" customWidth="1"/>
    <col min="5643" max="5643" width="11" style="31" customWidth="1"/>
    <col min="5644" max="5644" width="12" style="31" customWidth="1"/>
    <col min="5645" max="5645" width="12.85546875" style="31" bestFit="1" customWidth="1"/>
    <col min="5646" max="5646" width="13.85546875" style="31" customWidth="1"/>
    <col min="5647" max="5647" width="4.85546875" style="31" bestFit="1" customWidth="1"/>
    <col min="5648" max="5648" width="12" style="31" bestFit="1" customWidth="1"/>
    <col min="5649" max="5649" width="10.28515625" style="31" bestFit="1" customWidth="1"/>
    <col min="5650" max="5650" width="12" style="31" bestFit="1" customWidth="1"/>
    <col min="5651" max="5651" width="12.5703125" style="31" bestFit="1" customWidth="1"/>
    <col min="5652" max="5652" width="12" style="31" bestFit="1" customWidth="1"/>
    <col min="5653" max="5654" width="11.7109375" style="31" bestFit="1" customWidth="1"/>
    <col min="5655" max="5655" width="11.140625" style="31" bestFit="1" customWidth="1"/>
    <col min="5656" max="5888" width="9.140625" style="31"/>
    <col min="5889" max="5889" width="10.28515625" style="31" customWidth="1"/>
    <col min="5890" max="5890" width="10.42578125" style="31" customWidth="1"/>
    <col min="5891" max="5891" width="12.7109375" style="31" customWidth="1"/>
    <col min="5892" max="5892" width="11.28515625" style="31" customWidth="1"/>
    <col min="5893" max="5893" width="11.85546875" style="31" customWidth="1"/>
    <col min="5894" max="5894" width="11.7109375" style="31" customWidth="1"/>
    <col min="5895" max="5895" width="10.7109375" style="31" customWidth="1"/>
    <col min="5896" max="5896" width="11.85546875" style="31" customWidth="1"/>
    <col min="5897" max="5897" width="11.42578125" style="31" customWidth="1"/>
    <col min="5898" max="5898" width="12.28515625" style="31" customWidth="1"/>
    <col min="5899" max="5899" width="11" style="31" customWidth="1"/>
    <col min="5900" max="5900" width="12" style="31" customWidth="1"/>
    <col min="5901" max="5901" width="12.85546875" style="31" bestFit="1" customWidth="1"/>
    <col min="5902" max="5902" width="13.85546875" style="31" customWidth="1"/>
    <col min="5903" max="5903" width="4.85546875" style="31" bestFit="1" customWidth="1"/>
    <col min="5904" max="5904" width="12" style="31" bestFit="1" customWidth="1"/>
    <col min="5905" max="5905" width="10.28515625" style="31" bestFit="1" customWidth="1"/>
    <col min="5906" max="5906" width="12" style="31" bestFit="1" customWidth="1"/>
    <col min="5907" max="5907" width="12.5703125" style="31" bestFit="1" customWidth="1"/>
    <col min="5908" max="5908" width="12" style="31" bestFit="1" customWidth="1"/>
    <col min="5909" max="5910" width="11.7109375" style="31" bestFit="1" customWidth="1"/>
    <col min="5911" max="5911" width="11.140625" style="31" bestFit="1" customWidth="1"/>
    <col min="5912" max="6144" width="9.140625" style="31"/>
    <col min="6145" max="6145" width="10.28515625" style="31" customWidth="1"/>
    <col min="6146" max="6146" width="10.42578125" style="31" customWidth="1"/>
    <col min="6147" max="6147" width="12.7109375" style="31" customWidth="1"/>
    <col min="6148" max="6148" width="11.28515625" style="31" customWidth="1"/>
    <col min="6149" max="6149" width="11.85546875" style="31" customWidth="1"/>
    <col min="6150" max="6150" width="11.7109375" style="31" customWidth="1"/>
    <col min="6151" max="6151" width="10.7109375" style="31" customWidth="1"/>
    <col min="6152" max="6152" width="11.85546875" style="31" customWidth="1"/>
    <col min="6153" max="6153" width="11.42578125" style="31" customWidth="1"/>
    <col min="6154" max="6154" width="12.28515625" style="31" customWidth="1"/>
    <col min="6155" max="6155" width="11" style="31" customWidth="1"/>
    <col min="6156" max="6156" width="12" style="31" customWidth="1"/>
    <col min="6157" max="6157" width="12.85546875" style="31" bestFit="1" customWidth="1"/>
    <col min="6158" max="6158" width="13.85546875" style="31" customWidth="1"/>
    <col min="6159" max="6159" width="4.85546875" style="31" bestFit="1" customWidth="1"/>
    <col min="6160" max="6160" width="12" style="31" bestFit="1" customWidth="1"/>
    <col min="6161" max="6161" width="10.28515625" style="31" bestFit="1" customWidth="1"/>
    <col min="6162" max="6162" width="12" style="31" bestFit="1" customWidth="1"/>
    <col min="6163" max="6163" width="12.5703125" style="31" bestFit="1" customWidth="1"/>
    <col min="6164" max="6164" width="12" style="31" bestFit="1" customWidth="1"/>
    <col min="6165" max="6166" width="11.7109375" style="31" bestFit="1" customWidth="1"/>
    <col min="6167" max="6167" width="11.140625" style="31" bestFit="1" customWidth="1"/>
    <col min="6168" max="6400" width="9.140625" style="31"/>
    <col min="6401" max="6401" width="10.28515625" style="31" customWidth="1"/>
    <col min="6402" max="6402" width="10.42578125" style="31" customWidth="1"/>
    <col min="6403" max="6403" width="12.7109375" style="31" customWidth="1"/>
    <col min="6404" max="6404" width="11.28515625" style="31" customWidth="1"/>
    <col min="6405" max="6405" width="11.85546875" style="31" customWidth="1"/>
    <col min="6406" max="6406" width="11.7109375" style="31" customWidth="1"/>
    <col min="6407" max="6407" width="10.7109375" style="31" customWidth="1"/>
    <col min="6408" max="6408" width="11.85546875" style="31" customWidth="1"/>
    <col min="6409" max="6409" width="11.42578125" style="31" customWidth="1"/>
    <col min="6410" max="6410" width="12.28515625" style="31" customWidth="1"/>
    <col min="6411" max="6411" width="11" style="31" customWidth="1"/>
    <col min="6412" max="6412" width="12" style="31" customWidth="1"/>
    <col min="6413" max="6413" width="12.85546875" style="31" bestFit="1" customWidth="1"/>
    <col min="6414" max="6414" width="13.85546875" style="31" customWidth="1"/>
    <col min="6415" max="6415" width="4.85546875" style="31" bestFit="1" customWidth="1"/>
    <col min="6416" max="6416" width="12" style="31" bestFit="1" customWidth="1"/>
    <col min="6417" max="6417" width="10.28515625" style="31" bestFit="1" customWidth="1"/>
    <col min="6418" max="6418" width="12" style="31" bestFit="1" customWidth="1"/>
    <col min="6419" max="6419" width="12.5703125" style="31" bestFit="1" customWidth="1"/>
    <col min="6420" max="6420" width="12" style="31" bestFit="1" customWidth="1"/>
    <col min="6421" max="6422" width="11.7109375" style="31" bestFit="1" customWidth="1"/>
    <col min="6423" max="6423" width="11.140625" style="31" bestFit="1" customWidth="1"/>
    <col min="6424" max="6656" width="9.140625" style="31"/>
    <col min="6657" max="6657" width="10.28515625" style="31" customWidth="1"/>
    <col min="6658" max="6658" width="10.42578125" style="31" customWidth="1"/>
    <col min="6659" max="6659" width="12.7109375" style="31" customWidth="1"/>
    <col min="6660" max="6660" width="11.28515625" style="31" customWidth="1"/>
    <col min="6661" max="6661" width="11.85546875" style="31" customWidth="1"/>
    <col min="6662" max="6662" width="11.7109375" style="31" customWidth="1"/>
    <col min="6663" max="6663" width="10.7109375" style="31" customWidth="1"/>
    <col min="6664" max="6664" width="11.85546875" style="31" customWidth="1"/>
    <col min="6665" max="6665" width="11.42578125" style="31" customWidth="1"/>
    <col min="6666" max="6666" width="12.28515625" style="31" customWidth="1"/>
    <col min="6667" max="6667" width="11" style="31" customWidth="1"/>
    <col min="6668" max="6668" width="12" style="31" customWidth="1"/>
    <col min="6669" max="6669" width="12.85546875" style="31" bestFit="1" customWidth="1"/>
    <col min="6670" max="6670" width="13.85546875" style="31" customWidth="1"/>
    <col min="6671" max="6671" width="4.85546875" style="31" bestFit="1" customWidth="1"/>
    <col min="6672" max="6672" width="12" style="31" bestFit="1" customWidth="1"/>
    <col min="6673" max="6673" width="10.28515625" style="31" bestFit="1" customWidth="1"/>
    <col min="6674" max="6674" width="12" style="31" bestFit="1" customWidth="1"/>
    <col min="6675" max="6675" width="12.5703125" style="31" bestFit="1" customWidth="1"/>
    <col min="6676" max="6676" width="12" style="31" bestFit="1" customWidth="1"/>
    <col min="6677" max="6678" width="11.7109375" style="31" bestFit="1" customWidth="1"/>
    <col min="6679" max="6679" width="11.140625" style="31" bestFit="1" customWidth="1"/>
    <col min="6680" max="6912" width="9.140625" style="31"/>
    <col min="6913" max="6913" width="10.28515625" style="31" customWidth="1"/>
    <col min="6914" max="6914" width="10.42578125" style="31" customWidth="1"/>
    <col min="6915" max="6915" width="12.7109375" style="31" customWidth="1"/>
    <col min="6916" max="6916" width="11.28515625" style="31" customWidth="1"/>
    <col min="6917" max="6917" width="11.85546875" style="31" customWidth="1"/>
    <col min="6918" max="6918" width="11.7109375" style="31" customWidth="1"/>
    <col min="6919" max="6919" width="10.7109375" style="31" customWidth="1"/>
    <col min="6920" max="6920" width="11.85546875" style="31" customWidth="1"/>
    <col min="6921" max="6921" width="11.42578125" style="31" customWidth="1"/>
    <col min="6922" max="6922" width="12.28515625" style="31" customWidth="1"/>
    <col min="6923" max="6923" width="11" style="31" customWidth="1"/>
    <col min="6924" max="6924" width="12" style="31" customWidth="1"/>
    <col min="6925" max="6925" width="12.85546875" style="31" bestFit="1" customWidth="1"/>
    <col min="6926" max="6926" width="13.85546875" style="31" customWidth="1"/>
    <col min="6927" max="6927" width="4.85546875" style="31" bestFit="1" customWidth="1"/>
    <col min="6928" max="6928" width="12" style="31" bestFit="1" customWidth="1"/>
    <col min="6929" max="6929" width="10.28515625" style="31" bestFit="1" customWidth="1"/>
    <col min="6930" max="6930" width="12" style="31" bestFit="1" customWidth="1"/>
    <col min="6931" max="6931" width="12.5703125" style="31" bestFit="1" customWidth="1"/>
    <col min="6932" max="6932" width="12" style="31" bestFit="1" customWidth="1"/>
    <col min="6933" max="6934" width="11.7109375" style="31" bestFit="1" customWidth="1"/>
    <col min="6935" max="6935" width="11.140625" style="31" bestFit="1" customWidth="1"/>
    <col min="6936" max="7168" width="9.140625" style="31"/>
    <col min="7169" max="7169" width="10.28515625" style="31" customWidth="1"/>
    <col min="7170" max="7170" width="10.42578125" style="31" customWidth="1"/>
    <col min="7171" max="7171" width="12.7109375" style="31" customWidth="1"/>
    <col min="7172" max="7172" width="11.28515625" style="31" customWidth="1"/>
    <col min="7173" max="7173" width="11.85546875" style="31" customWidth="1"/>
    <col min="7174" max="7174" width="11.7109375" style="31" customWidth="1"/>
    <col min="7175" max="7175" width="10.7109375" style="31" customWidth="1"/>
    <col min="7176" max="7176" width="11.85546875" style="31" customWidth="1"/>
    <col min="7177" max="7177" width="11.42578125" style="31" customWidth="1"/>
    <col min="7178" max="7178" width="12.28515625" style="31" customWidth="1"/>
    <col min="7179" max="7179" width="11" style="31" customWidth="1"/>
    <col min="7180" max="7180" width="12" style="31" customWidth="1"/>
    <col min="7181" max="7181" width="12.85546875" style="31" bestFit="1" customWidth="1"/>
    <col min="7182" max="7182" width="13.85546875" style="31" customWidth="1"/>
    <col min="7183" max="7183" width="4.85546875" style="31" bestFit="1" customWidth="1"/>
    <col min="7184" max="7184" width="12" style="31" bestFit="1" customWidth="1"/>
    <col min="7185" max="7185" width="10.28515625" style="31" bestFit="1" customWidth="1"/>
    <col min="7186" max="7186" width="12" style="31" bestFit="1" customWidth="1"/>
    <col min="7187" max="7187" width="12.5703125" style="31" bestFit="1" customWidth="1"/>
    <col min="7188" max="7188" width="12" style="31" bestFit="1" customWidth="1"/>
    <col min="7189" max="7190" width="11.7109375" style="31" bestFit="1" customWidth="1"/>
    <col min="7191" max="7191" width="11.140625" style="31" bestFit="1" customWidth="1"/>
    <col min="7192" max="7424" width="9.140625" style="31"/>
    <col min="7425" max="7425" width="10.28515625" style="31" customWidth="1"/>
    <col min="7426" max="7426" width="10.42578125" style="31" customWidth="1"/>
    <col min="7427" max="7427" width="12.7109375" style="31" customWidth="1"/>
    <col min="7428" max="7428" width="11.28515625" style="31" customWidth="1"/>
    <col min="7429" max="7429" width="11.85546875" style="31" customWidth="1"/>
    <col min="7430" max="7430" width="11.7109375" style="31" customWidth="1"/>
    <col min="7431" max="7431" width="10.7109375" style="31" customWidth="1"/>
    <col min="7432" max="7432" width="11.85546875" style="31" customWidth="1"/>
    <col min="7433" max="7433" width="11.42578125" style="31" customWidth="1"/>
    <col min="7434" max="7434" width="12.28515625" style="31" customWidth="1"/>
    <col min="7435" max="7435" width="11" style="31" customWidth="1"/>
    <col min="7436" max="7436" width="12" style="31" customWidth="1"/>
    <col min="7437" max="7437" width="12.85546875" style="31" bestFit="1" customWidth="1"/>
    <col min="7438" max="7438" width="13.85546875" style="31" customWidth="1"/>
    <col min="7439" max="7439" width="4.85546875" style="31" bestFit="1" customWidth="1"/>
    <col min="7440" max="7440" width="12" style="31" bestFit="1" customWidth="1"/>
    <col min="7441" max="7441" width="10.28515625" style="31" bestFit="1" customWidth="1"/>
    <col min="7442" max="7442" width="12" style="31" bestFit="1" customWidth="1"/>
    <col min="7443" max="7443" width="12.5703125" style="31" bestFit="1" customWidth="1"/>
    <col min="7444" max="7444" width="12" style="31" bestFit="1" customWidth="1"/>
    <col min="7445" max="7446" width="11.7109375" style="31" bestFit="1" customWidth="1"/>
    <col min="7447" max="7447" width="11.140625" style="31" bestFit="1" customWidth="1"/>
    <col min="7448" max="7680" width="9.140625" style="31"/>
    <col min="7681" max="7681" width="10.28515625" style="31" customWidth="1"/>
    <col min="7682" max="7682" width="10.42578125" style="31" customWidth="1"/>
    <col min="7683" max="7683" width="12.7109375" style="31" customWidth="1"/>
    <col min="7684" max="7684" width="11.28515625" style="31" customWidth="1"/>
    <col min="7685" max="7685" width="11.85546875" style="31" customWidth="1"/>
    <col min="7686" max="7686" width="11.7109375" style="31" customWidth="1"/>
    <col min="7687" max="7687" width="10.7109375" style="31" customWidth="1"/>
    <col min="7688" max="7688" width="11.85546875" style="31" customWidth="1"/>
    <col min="7689" max="7689" width="11.42578125" style="31" customWidth="1"/>
    <col min="7690" max="7690" width="12.28515625" style="31" customWidth="1"/>
    <col min="7691" max="7691" width="11" style="31" customWidth="1"/>
    <col min="7692" max="7692" width="12" style="31" customWidth="1"/>
    <col min="7693" max="7693" width="12.85546875" style="31" bestFit="1" customWidth="1"/>
    <col min="7694" max="7694" width="13.85546875" style="31" customWidth="1"/>
    <col min="7695" max="7695" width="4.85546875" style="31" bestFit="1" customWidth="1"/>
    <col min="7696" max="7696" width="12" style="31" bestFit="1" customWidth="1"/>
    <col min="7697" max="7697" width="10.28515625" style="31" bestFit="1" customWidth="1"/>
    <col min="7698" max="7698" width="12" style="31" bestFit="1" customWidth="1"/>
    <col min="7699" max="7699" width="12.5703125" style="31" bestFit="1" customWidth="1"/>
    <col min="7700" max="7700" width="12" style="31" bestFit="1" customWidth="1"/>
    <col min="7701" max="7702" width="11.7109375" style="31" bestFit="1" customWidth="1"/>
    <col min="7703" max="7703" width="11.140625" style="31" bestFit="1" customWidth="1"/>
    <col min="7704" max="7936" width="9.140625" style="31"/>
    <col min="7937" max="7937" width="10.28515625" style="31" customWidth="1"/>
    <col min="7938" max="7938" width="10.42578125" style="31" customWidth="1"/>
    <col min="7939" max="7939" width="12.7109375" style="31" customWidth="1"/>
    <col min="7940" max="7940" width="11.28515625" style="31" customWidth="1"/>
    <col min="7941" max="7941" width="11.85546875" style="31" customWidth="1"/>
    <col min="7942" max="7942" width="11.7109375" style="31" customWidth="1"/>
    <col min="7943" max="7943" width="10.7109375" style="31" customWidth="1"/>
    <col min="7944" max="7944" width="11.85546875" style="31" customWidth="1"/>
    <col min="7945" max="7945" width="11.42578125" style="31" customWidth="1"/>
    <col min="7946" max="7946" width="12.28515625" style="31" customWidth="1"/>
    <col min="7947" max="7947" width="11" style="31" customWidth="1"/>
    <col min="7948" max="7948" width="12" style="31" customWidth="1"/>
    <col min="7949" max="7949" width="12.85546875" style="31" bestFit="1" customWidth="1"/>
    <col min="7950" max="7950" width="13.85546875" style="31" customWidth="1"/>
    <col min="7951" max="7951" width="4.85546875" style="31" bestFit="1" customWidth="1"/>
    <col min="7952" max="7952" width="12" style="31" bestFit="1" customWidth="1"/>
    <col min="7953" max="7953" width="10.28515625" style="31" bestFit="1" customWidth="1"/>
    <col min="7954" max="7954" width="12" style="31" bestFit="1" customWidth="1"/>
    <col min="7955" max="7955" width="12.5703125" style="31" bestFit="1" customWidth="1"/>
    <col min="7956" max="7956" width="12" style="31" bestFit="1" customWidth="1"/>
    <col min="7957" max="7958" width="11.7109375" style="31" bestFit="1" customWidth="1"/>
    <col min="7959" max="7959" width="11.140625" style="31" bestFit="1" customWidth="1"/>
    <col min="7960" max="8192" width="9.140625" style="31"/>
    <col min="8193" max="8193" width="10.28515625" style="31" customWidth="1"/>
    <col min="8194" max="8194" width="10.42578125" style="31" customWidth="1"/>
    <col min="8195" max="8195" width="12.7109375" style="31" customWidth="1"/>
    <col min="8196" max="8196" width="11.28515625" style="31" customWidth="1"/>
    <col min="8197" max="8197" width="11.85546875" style="31" customWidth="1"/>
    <col min="8198" max="8198" width="11.7109375" style="31" customWidth="1"/>
    <col min="8199" max="8199" width="10.7109375" style="31" customWidth="1"/>
    <col min="8200" max="8200" width="11.85546875" style="31" customWidth="1"/>
    <col min="8201" max="8201" width="11.42578125" style="31" customWidth="1"/>
    <col min="8202" max="8202" width="12.28515625" style="31" customWidth="1"/>
    <col min="8203" max="8203" width="11" style="31" customWidth="1"/>
    <col min="8204" max="8204" width="12" style="31" customWidth="1"/>
    <col min="8205" max="8205" width="12.85546875" style="31" bestFit="1" customWidth="1"/>
    <col min="8206" max="8206" width="13.85546875" style="31" customWidth="1"/>
    <col min="8207" max="8207" width="4.85546875" style="31" bestFit="1" customWidth="1"/>
    <col min="8208" max="8208" width="12" style="31" bestFit="1" customWidth="1"/>
    <col min="8209" max="8209" width="10.28515625" style="31" bestFit="1" customWidth="1"/>
    <col min="8210" max="8210" width="12" style="31" bestFit="1" customWidth="1"/>
    <col min="8211" max="8211" width="12.5703125" style="31" bestFit="1" customWidth="1"/>
    <col min="8212" max="8212" width="12" style="31" bestFit="1" customWidth="1"/>
    <col min="8213" max="8214" width="11.7109375" style="31" bestFit="1" customWidth="1"/>
    <col min="8215" max="8215" width="11.140625" style="31" bestFit="1" customWidth="1"/>
    <col min="8216" max="8448" width="9.140625" style="31"/>
    <col min="8449" max="8449" width="10.28515625" style="31" customWidth="1"/>
    <col min="8450" max="8450" width="10.42578125" style="31" customWidth="1"/>
    <col min="8451" max="8451" width="12.7109375" style="31" customWidth="1"/>
    <col min="8452" max="8452" width="11.28515625" style="31" customWidth="1"/>
    <col min="8453" max="8453" width="11.85546875" style="31" customWidth="1"/>
    <col min="8454" max="8454" width="11.7109375" style="31" customWidth="1"/>
    <col min="8455" max="8455" width="10.7109375" style="31" customWidth="1"/>
    <col min="8456" max="8456" width="11.85546875" style="31" customWidth="1"/>
    <col min="8457" max="8457" width="11.42578125" style="31" customWidth="1"/>
    <col min="8458" max="8458" width="12.28515625" style="31" customWidth="1"/>
    <col min="8459" max="8459" width="11" style="31" customWidth="1"/>
    <col min="8460" max="8460" width="12" style="31" customWidth="1"/>
    <col min="8461" max="8461" width="12.85546875" style="31" bestFit="1" customWidth="1"/>
    <col min="8462" max="8462" width="13.85546875" style="31" customWidth="1"/>
    <col min="8463" max="8463" width="4.85546875" style="31" bestFit="1" customWidth="1"/>
    <col min="8464" max="8464" width="12" style="31" bestFit="1" customWidth="1"/>
    <col min="8465" max="8465" width="10.28515625" style="31" bestFit="1" customWidth="1"/>
    <col min="8466" max="8466" width="12" style="31" bestFit="1" customWidth="1"/>
    <col min="8467" max="8467" width="12.5703125" style="31" bestFit="1" customWidth="1"/>
    <col min="8468" max="8468" width="12" style="31" bestFit="1" customWidth="1"/>
    <col min="8469" max="8470" width="11.7109375" style="31" bestFit="1" customWidth="1"/>
    <col min="8471" max="8471" width="11.140625" style="31" bestFit="1" customWidth="1"/>
    <col min="8472" max="8704" width="9.140625" style="31"/>
    <col min="8705" max="8705" width="10.28515625" style="31" customWidth="1"/>
    <col min="8706" max="8706" width="10.42578125" style="31" customWidth="1"/>
    <col min="8707" max="8707" width="12.7109375" style="31" customWidth="1"/>
    <col min="8708" max="8708" width="11.28515625" style="31" customWidth="1"/>
    <col min="8709" max="8709" width="11.85546875" style="31" customWidth="1"/>
    <col min="8710" max="8710" width="11.7109375" style="31" customWidth="1"/>
    <col min="8711" max="8711" width="10.7109375" style="31" customWidth="1"/>
    <col min="8712" max="8712" width="11.85546875" style="31" customWidth="1"/>
    <col min="8713" max="8713" width="11.42578125" style="31" customWidth="1"/>
    <col min="8714" max="8714" width="12.28515625" style="31" customWidth="1"/>
    <col min="8715" max="8715" width="11" style="31" customWidth="1"/>
    <col min="8716" max="8716" width="12" style="31" customWidth="1"/>
    <col min="8717" max="8717" width="12.85546875" style="31" bestFit="1" customWidth="1"/>
    <col min="8718" max="8718" width="13.85546875" style="31" customWidth="1"/>
    <col min="8719" max="8719" width="4.85546875" style="31" bestFit="1" customWidth="1"/>
    <col min="8720" max="8720" width="12" style="31" bestFit="1" customWidth="1"/>
    <col min="8721" max="8721" width="10.28515625" style="31" bestFit="1" customWidth="1"/>
    <col min="8722" max="8722" width="12" style="31" bestFit="1" customWidth="1"/>
    <col min="8723" max="8723" width="12.5703125" style="31" bestFit="1" customWidth="1"/>
    <col min="8724" max="8724" width="12" style="31" bestFit="1" customWidth="1"/>
    <col min="8725" max="8726" width="11.7109375" style="31" bestFit="1" customWidth="1"/>
    <col min="8727" max="8727" width="11.140625" style="31" bestFit="1" customWidth="1"/>
    <col min="8728" max="8960" width="9.140625" style="31"/>
    <col min="8961" max="8961" width="10.28515625" style="31" customWidth="1"/>
    <col min="8962" max="8962" width="10.42578125" style="31" customWidth="1"/>
    <col min="8963" max="8963" width="12.7109375" style="31" customWidth="1"/>
    <col min="8964" max="8964" width="11.28515625" style="31" customWidth="1"/>
    <col min="8965" max="8965" width="11.85546875" style="31" customWidth="1"/>
    <col min="8966" max="8966" width="11.7109375" style="31" customWidth="1"/>
    <col min="8967" max="8967" width="10.7109375" style="31" customWidth="1"/>
    <col min="8968" max="8968" width="11.85546875" style="31" customWidth="1"/>
    <col min="8969" max="8969" width="11.42578125" style="31" customWidth="1"/>
    <col min="8970" max="8970" width="12.28515625" style="31" customWidth="1"/>
    <col min="8971" max="8971" width="11" style="31" customWidth="1"/>
    <col min="8972" max="8972" width="12" style="31" customWidth="1"/>
    <col min="8973" max="8973" width="12.85546875" style="31" bestFit="1" customWidth="1"/>
    <col min="8974" max="8974" width="13.85546875" style="31" customWidth="1"/>
    <col min="8975" max="8975" width="4.85546875" style="31" bestFit="1" customWidth="1"/>
    <col min="8976" max="8976" width="12" style="31" bestFit="1" customWidth="1"/>
    <col min="8977" max="8977" width="10.28515625" style="31" bestFit="1" customWidth="1"/>
    <col min="8978" max="8978" width="12" style="31" bestFit="1" customWidth="1"/>
    <col min="8979" max="8979" width="12.5703125" style="31" bestFit="1" customWidth="1"/>
    <col min="8980" max="8980" width="12" style="31" bestFit="1" customWidth="1"/>
    <col min="8981" max="8982" width="11.7109375" style="31" bestFit="1" customWidth="1"/>
    <col min="8983" max="8983" width="11.140625" style="31" bestFit="1" customWidth="1"/>
    <col min="8984" max="9216" width="9.140625" style="31"/>
    <col min="9217" max="9217" width="10.28515625" style="31" customWidth="1"/>
    <col min="9218" max="9218" width="10.42578125" style="31" customWidth="1"/>
    <col min="9219" max="9219" width="12.7109375" style="31" customWidth="1"/>
    <col min="9220" max="9220" width="11.28515625" style="31" customWidth="1"/>
    <col min="9221" max="9221" width="11.85546875" style="31" customWidth="1"/>
    <col min="9222" max="9222" width="11.7109375" style="31" customWidth="1"/>
    <col min="9223" max="9223" width="10.7109375" style="31" customWidth="1"/>
    <col min="9224" max="9224" width="11.85546875" style="31" customWidth="1"/>
    <col min="9225" max="9225" width="11.42578125" style="31" customWidth="1"/>
    <col min="9226" max="9226" width="12.28515625" style="31" customWidth="1"/>
    <col min="9227" max="9227" width="11" style="31" customWidth="1"/>
    <col min="9228" max="9228" width="12" style="31" customWidth="1"/>
    <col min="9229" max="9229" width="12.85546875" style="31" bestFit="1" customWidth="1"/>
    <col min="9230" max="9230" width="13.85546875" style="31" customWidth="1"/>
    <col min="9231" max="9231" width="4.85546875" style="31" bestFit="1" customWidth="1"/>
    <col min="9232" max="9232" width="12" style="31" bestFit="1" customWidth="1"/>
    <col min="9233" max="9233" width="10.28515625" style="31" bestFit="1" customWidth="1"/>
    <col min="9234" max="9234" width="12" style="31" bestFit="1" customWidth="1"/>
    <col min="9235" max="9235" width="12.5703125" style="31" bestFit="1" customWidth="1"/>
    <col min="9236" max="9236" width="12" style="31" bestFit="1" customWidth="1"/>
    <col min="9237" max="9238" width="11.7109375" style="31" bestFit="1" customWidth="1"/>
    <col min="9239" max="9239" width="11.140625" style="31" bestFit="1" customWidth="1"/>
    <col min="9240" max="9472" width="9.140625" style="31"/>
    <col min="9473" max="9473" width="10.28515625" style="31" customWidth="1"/>
    <col min="9474" max="9474" width="10.42578125" style="31" customWidth="1"/>
    <col min="9475" max="9475" width="12.7109375" style="31" customWidth="1"/>
    <col min="9476" max="9476" width="11.28515625" style="31" customWidth="1"/>
    <col min="9477" max="9477" width="11.85546875" style="31" customWidth="1"/>
    <col min="9478" max="9478" width="11.7109375" style="31" customWidth="1"/>
    <col min="9479" max="9479" width="10.7109375" style="31" customWidth="1"/>
    <col min="9480" max="9480" width="11.85546875" style="31" customWidth="1"/>
    <col min="9481" max="9481" width="11.42578125" style="31" customWidth="1"/>
    <col min="9482" max="9482" width="12.28515625" style="31" customWidth="1"/>
    <col min="9483" max="9483" width="11" style="31" customWidth="1"/>
    <col min="9484" max="9484" width="12" style="31" customWidth="1"/>
    <col min="9485" max="9485" width="12.85546875" style="31" bestFit="1" customWidth="1"/>
    <col min="9486" max="9486" width="13.85546875" style="31" customWidth="1"/>
    <col min="9487" max="9487" width="4.85546875" style="31" bestFit="1" customWidth="1"/>
    <col min="9488" max="9488" width="12" style="31" bestFit="1" customWidth="1"/>
    <col min="9489" max="9489" width="10.28515625" style="31" bestFit="1" customWidth="1"/>
    <col min="9490" max="9490" width="12" style="31" bestFit="1" customWidth="1"/>
    <col min="9491" max="9491" width="12.5703125" style="31" bestFit="1" customWidth="1"/>
    <col min="9492" max="9492" width="12" style="31" bestFit="1" customWidth="1"/>
    <col min="9493" max="9494" width="11.7109375" style="31" bestFit="1" customWidth="1"/>
    <col min="9495" max="9495" width="11.140625" style="31" bestFit="1" customWidth="1"/>
    <col min="9496" max="9728" width="9.140625" style="31"/>
    <col min="9729" max="9729" width="10.28515625" style="31" customWidth="1"/>
    <col min="9730" max="9730" width="10.42578125" style="31" customWidth="1"/>
    <col min="9731" max="9731" width="12.7109375" style="31" customWidth="1"/>
    <col min="9732" max="9732" width="11.28515625" style="31" customWidth="1"/>
    <col min="9733" max="9733" width="11.85546875" style="31" customWidth="1"/>
    <col min="9734" max="9734" width="11.7109375" style="31" customWidth="1"/>
    <col min="9735" max="9735" width="10.7109375" style="31" customWidth="1"/>
    <col min="9736" max="9736" width="11.85546875" style="31" customWidth="1"/>
    <col min="9737" max="9737" width="11.42578125" style="31" customWidth="1"/>
    <col min="9738" max="9738" width="12.28515625" style="31" customWidth="1"/>
    <col min="9739" max="9739" width="11" style="31" customWidth="1"/>
    <col min="9740" max="9740" width="12" style="31" customWidth="1"/>
    <col min="9741" max="9741" width="12.85546875" style="31" bestFit="1" customWidth="1"/>
    <col min="9742" max="9742" width="13.85546875" style="31" customWidth="1"/>
    <col min="9743" max="9743" width="4.85546875" style="31" bestFit="1" customWidth="1"/>
    <col min="9744" max="9744" width="12" style="31" bestFit="1" customWidth="1"/>
    <col min="9745" max="9745" width="10.28515625" style="31" bestFit="1" customWidth="1"/>
    <col min="9746" max="9746" width="12" style="31" bestFit="1" customWidth="1"/>
    <col min="9747" max="9747" width="12.5703125" style="31" bestFit="1" customWidth="1"/>
    <col min="9748" max="9748" width="12" style="31" bestFit="1" customWidth="1"/>
    <col min="9749" max="9750" width="11.7109375" style="31" bestFit="1" customWidth="1"/>
    <col min="9751" max="9751" width="11.140625" style="31" bestFit="1" customWidth="1"/>
    <col min="9752" max="9984" width="9.140625" style="31"/>
    <col min="9985" max="9985" width="10.28515625" style="31" customWidth="1"/>
    <col min="9986" max="9986" width="10.42578125" style="31" customWidth="1"/>
    <col min="9987" max="9987" width="12.7109375" style="31" customWidth="1"/>
    <col min="9988" max="9988" width="11.28515625" style="31" customWidth="1"/>
    <col min="9989" max="9989" width="11.85546875" style="31" customWidth="1"/>
    <col min="9990" max="9990" width="11.7109375" style="31" customWidth="1"/>
    <col min="9991" max="9991" width="10.7109375" style="31" customWidth="1"/>
    <col min="9992" max="9992" width="11.85546875" style="31" customWidth="1"/>
    <col min="9993" max="9993" width="11.42578125" style="31" customWidth="1"/>
    <col min="9994" max="9994" width="12.28515625" style="31" customWidth="1"/>
    <col min="9995" max="9995" width="11" style="31" customWidth="1"/>
    <col min="9996" max="9996" width="12" style="31" customWidth="1"/>
    <col min="9997" max="9997" width="12.85546875" style="31" bestFit="1" customWidth="1"/>
    <col min="9998" max="9998" width="13.85546875" style="31" customWidth="1"/>
    <col min="9999" max="9999" width="4.85546875" style="31" bestFit="1" customWidth="1"/>
    <col min="10000" max="10000" width="12" style="31" bestFit="1" customWidth="1"/>
    <col min="10001" max="10001" width="10.28515625" style="31" bestFit="1" customWidth="1"/>
    <col min="10002" max="10002" width="12" style="31" bestFit="1" customWidth="1"/>
    <col min="10003" max="10003" width="12.5703125" style="31" bestFit="1" customWidth="1"/>
    <col min="10004" max="10004" width="12" style="31" bestFit="1" customWidth="1"/>
    <col min="10005" max="10006" width="11.7109375" style="31" bestFit="1" customWidth="1"/>
    <col min="10007" max="10007" width="11.140625" style="31" bestFit="1" customWidth="1"/>
    <col min="10008" max="10240" width="9.140625" style="31"/>
    <col min="10241" max="10241" width="10.28515625" style="31" customWidth="1"/>
    <col min="10242" max="10242" width="10.42578125" style="31" customWidth="1"/>
    <col min="10243" max="10243" width="12.7109375" style="31" customWidth="1"/>
    <col min="10244" max="10244" width="11.28515625" style="31" customWidth="1"/>
    <col min="10245" max="10245" width="11.85546875" style="31" customWidth="1"/>
    <col min="10246" max="10246" width="11.7109375" style="31" customWidth="1"/>
    <col min="10247" max="10247" width="10.7109375" style="31" customWidth="1"/>
    <col min="10248" max="10248" width="11.85546875" style="31" customWidth="1"/>
    <col min="10249" max="10249" width="11.42578125" style="31" customWidth="1"/>
    <col min="10250" max="10250" width="12.28515625" style="31" customWidth="1"/>
    <col min="10251" max="10251" width="11" style="31" customWidth="1"/>
    <col min="10252" max="10252" width="12" style="31" customWidth="1"/>
    <col min="10253" max="10253" width="12.85546875" style="31" bestFit="1" customWidth="1"/>
    <col min="10254" max="10254" width="13.85546875" style="31" customWidth="1"/>
    <col min="10255" max="10255" width="4.85546875" style="31" bestFit="1" customWidth="1"/>
    <col min="10256" max="10256" width="12" style="31" bestFit="1" customWidth="1"/>
    <col min="10257" max="10257" width="10.28515625" style="31" bestFit="1" customWidth="1"/>
    <col min="10258" max="10258" width="12" style="31" bestFit="1" customWidth="1"/>
    <col min="10259" max="10259" width="12.5703125" style="31" bestFit="1" customWidth="1"/>
    <col min="10260" max="10260" width="12" style="31" bestFit="1" customWidth="1"/>
    <col min="10261" max="10262" width="11.7109375" style="31" bestFit="1" customWidth="1"/>
    <col min="10263" max="10263" width="11.140625" style="31" bestFit="1" customWidth="1"/>
    <col min="10264" max="10496" width="9.140625" style="31"/>
    <col min="10497" max="10497" width="10.28515625" style="31" customWidth="1"/>
    <col min="10498" max="10498" width="10.42578125" style="31" customWidth="1"/>
    <col min="10499" max="10499" width="12.7109375" style="31" customWidth="1"/>
    <col min="10500" max="10500" width="11.28515625" style="31" customWidth="1"/>
    <col min="10501" max="10501" width="11.85546875" style="31" customWidth="1"/>
    <col min="10502" max="10502" width="11.7109375" style="31" customWidth="1"/>
    <col min="10503" max="10503" width="10.7109375" style="31" customWidth="1"/>
    <col min="10504" max="10504" width="11.85546875" style="31" customWidth="1"/>
    <col min="10505" max="10505" width="11.42578125" style="31" customWidth="1"/>
    <col min="10506" max="10506" width="12.28515625" style="31" customWidth="1"/>
    <col min="10507" max="10507" width="11" style="31" customWidth="1"/>
    <col min="10508" max="10508" width="12" style="31" customWidth="1"/>
    <col min="10509" max="10509" width="12.85546875" style="31" bestFit="1" customWidth="1"/>
    <col min="10510" max="10510" width="13.85546875" style="31" customWidth="1"/>
    <col min="10511" max="10511" width="4.85546875" style="31" bestFit="1" customWidth="1"/>
    <col min="10512" max="10512" width="12" style="31" bestFit="1" customWidth="1"/>
    <col min="10513" max="10513" width="10.28515625" style="31" bestFit="1" customWidth="1"/>
    <col min="10514" max="10514" width="12" style="31" bestFit="1" customWidth="1"/>
    <col min="10515" max="10515" width="12.5703125" style="31" bestFit="1" customWidth="1"/>
    <col min="10516" max="10516" width="12" style="31" bestFit="1" customWidth="1"/>
    <col min="10517" max="10518" width="11.7109375" style="31" bestFit="1" customWidth="1"/>
    <col min="10519" max="10519" width="11.140625" style="31" bestFit="1" customWidth="1"/>
    <col min="10520" max="10752" width="9.140625" style="31"/>
    <col min="10753" max="10753" width="10.28515625" style="31" customWidth="1"/>
    <col min="10754" max="10754" width="10.42578125" style="31" customWidth="1"/>
    <col min="10755" max="10755" width="12.7109375" style="31" customWidth="1"/>
    <col min="10756" max="10756" width="11.28515625" style="31" customWidth="1"/>
    <col min="10757" max="10757" width="11.85546875" style="31" customWidth="1"/>
    <col min="10758" max="10758" width="11.7109375" style="31" customWidth="1"/>
    <col min="10759" max="10759" width="10.7109375" style="31" customWidth="1"/>
    <col min="10760" max="10760" width="11.85546875" style="31" customWidth="1"/>
    <col min="10761" max="10761" width="11.42578125" style="31" customWidth="1"/>
    <col min="10762" max="10762" width="12.28515625" style="31" customWidth="1"/>
    <col min="10763" max="10763" width="11" style="31" customWidth="1"/>
    <col min="10764" max="10764" width="12" style="31" customWidth="1"/>
    <col min="10765" max="10765" width="12.85546875" style="31" bestFit="1" customWidth="1"/>
    <col min="10766" max="10766" width="13.85546875" style="31" customWidth="1"/>
    <col min="10767" max="10767" width="4.85546875" style="31" bestFit="1" customWidth="1"/>
    <col min="10768" max="10768" width="12" style="31" bestFit="1" customWidth="1"/>
    <col min="10769" max="10769" width="10.28515625" style="31" bestFit="1" customWidth="1"/>
    <col min="10770" max="10770" width="12" style="31" bestFit="1" customWidth="1"/>
    <col min="10771" max="10771" width="12.5703125" style="31" bestFit="1" customWidth="1"/>
    <col min="10772" max="10772" width="12" style="31" bestFit="1" customWidth="1"/>
    <col min="10773" max="10774" width="11.7109375" style="31" bestFit="1" customWidth="1"/>
    <col min="10775" max="10775" width="11.140625" style="31" bestFit="1" customWidth="1"/>
    <col min="10776" max="11008" width="9.140625" style="31"/>
    <col min="11009" max="11009" width="10.28515625" style="31" customWidth="1"/>
    <col min="11010" max="11010" width="10.42578125" style="31" customWidth="1"/>
    <col min="11011" max="11011" width="12.7109375" style="31" customWidth="1"/>
    <col min="11012" max="11012" width="11.28515625" style="31" customWidth="1"/>
    <col min="11013" max="11013" width="11.85546875" style="31" customWidth="1"/>
    <col min="11014" max="11014" width="11.7109375" style="31" customWidth="1"/>
    <col min="11015" max="11015" width="10.7109375" style="31" customWidth="1"/>
    <col min="11016" max="11016" width="11.85546875" style="31" customWidth="1"/>
    <col min="11017" max="11017" width="11.42578125" style="31" customWidth="1"/>
    <col min="11018" max="11018" width="12.28515625" style="31" customWidth="1"/>
    <col min="11019" max="11019" width="11" style="31" customWidth="1"/>
    <col min="11020" max="11020" width="12" style="31" customWidth="1"/>
    <col min="11021" max="11021" width="12.85546875" style="31" bestFit="1" customWidth="1"/>
    <col min="11022" max="11022" width="13.85546875" style="31" customWidth="1"/>
    <col min="11023" max="11023" width="4.85546875" style="31" bestFit="1" customWidth="1"/>
    <col min="11024" max="11024" width="12" style="31" bestFit="1" customWidth="1"/>
    <col min="11025" max="11025" width="10.28515625" style="31" bestFit="1" customWidth="1"/>
    <col min="11026" max="11026" width="12" style="31" bestFit="1" customWidth="1"/>
    <col min="11027" max="11027" width="12.5703125" style="31" bestFit="1" customWidth="1"/>
    <col min="11028" max="11028" width="12" style="31" bestFit="1" customWidth="1"/>
    <col min="11029" max="11030" width="11.7109375" style="31" bestFit="1" customWidth="1"/>
    <col min="11031" max="11031" width="11.140625" style="31" bestFit="1" customWidth="1"/>
    <col min="11032" max="11264" width="9.140625" style="31"/>
    <col min="11265" max="11265" width="10.28515625" style="31" customWidth="1"/>
    <col min="11266" max="11266" width="10.42578125" style="31" customWidth="1"/>
    <col min="11267" max="11267" width="12.7109375" style="31" customWidth="1"/>
    <col min="11268" max="11268" width="11.28515625" style="31" customWidth="1"/>
    <col min="11269" max="11269" width="11.85546875" style="31" customWidth="1"/>
    <col min="11270" max="11270" width="11.7109375" style="31" customWidth="1"/>
    <col min="11271" max="11271" width="10.7109375" style="31" customWidth="1"/>
    <col min="11272" max="11272" width="11.85546875" style="31" customWidth="1"/>
    <col min="11273" max="11273" width="11.42578125" style="31" customWidth="1"/>
    <col min="11274" max="11274" width="12.28515625" style="31" customWidth="1"/>
    <col min="11275" max="11275" width="11" style="31" customWidth="1"/>
    <col min="11276" max="11276" width="12" style="31" customWidth="1"/>
    <col min="11277" max="11277" width="12.85546875" style="31" bestFit="1" customWidth="1"/>
    <col min="11278" max="11278" width="13.85546875" style="31" customWidth="1"/>
    <col min="11279" max="11279" width="4.85546875" style="31" bestFit="1" customWidth="1"/>
    <col min="11280" max="11280" width="12" style="31" bestFit="1" customWidth="1"/>
    <col min="11281" max="11281" width="10.28515625" style="31" bestFit="1" customWidth="1"/>
    <col min="11282" max="11282" width="12" style="31" bestFit="1" customWidth="1"/>
    <col min="11283" max="11283" width="12.5703125" style="31" bestFit="1" customWidth="1"/>
    <col min="11284" max="11284" width="12" style="31" bestFit="1" customWidth="1"/>
    <col min="11285" max="11286" width="11.7109375" style="31" bestFit="1" customWidth="1"/>
    <col min="11287" max="11287" width="11.140625" style="31" bestFit="1" customWidth="1"/>
    <col min="11288" max="11520" width="9.140625" style="31"/>
    <col min="11521" max="11521" width="10.28515625" style="31" customWidth="1"/>
    <col min="11522" max="11522" width="10.42578125" style="31" customWidth="1"/>
    <col min="11523" max="11523" width="12.7109375" style="31" customWidth="1"/>
    <col min="11524" max="11524" width="11.28515625" style="31" customWidth="1"/>
    <col min="11525" max="11525" width="11.85546875" style="31" customWidth="1"/>
    <col min="11526" max="11526" width="11.7109375" style="31" customWidth="1"/>
    <col min="11527" max="11527" width="10.7109375" style="31" customWidth="1"/>
    <col min="11528" max="11528" width="11.85546875" style="31" customWidth="1"/>
    <col min="11529" max="11529" width="11.42578125" style="31" customWidth="1"/>
    <col min="11530" max="11530" width="12.28515625" style="31" customWidth="1"/>
    <col min="11531" max="11531" width="11" style="31" customWidth="1"/>
    <col min="11532" max="11532" width="12" style="31" customWidth="1"/>
    <col min="11533" max="11533" width="12.85546875" style="31" bestFit="1" customWidth="1"/>
    <col min="11534" max="11534" width="13.85546875" style="31" customWidth="1"/>
    <col min="11535" max="11535" width="4.85546875" style="31" bestFit="1" customWidth="1"/>
    <col min="11536" max="11536" width="12" style="31" bestFit="1" customWidth="1"/>
    <col min="11537" max="11537" width="10.28515625" style="31" bestFit="1" customWidth="1"/>
    <col min="11538" max="11538" width="12" style="31" bestFit="1" customWidth="1"/>
    <col min="11539" max="11539" width="12.5703125" style="31" bestFit="1" customWidth="1"/>
    <col min="11540" max="11540" width="12" style="31" bestFit="1" customWidth="1"/>
    <col min="11541" max="11542" width="11.7109375" style="31" bestFit="1" customWidth="1"/>
    <col min="11543" max="11543" width="11.140625" style="31" bestFit="1" customWidth="1"/>
    <col min="11544" max="11776" width="9.140625" style="31"/>
    <col min="11777" max="11777" width="10.28515625" style="31" customWidth="1"/>
    <col min="11778" max="11778" width="10.42578125" style="31" customWidth="1"/>
    <col min="11779" max="11779" width="12.7109375" style="31" customWidth="1"/>
    <col min="11780" max="11780" width="11.28515625" style="31" customWidth="1"/>
    <col min="11781" max="11781" width="11.85546875" style="31" customWidth="1"/>
    <col min="11782" max="11782" width="11.7109375" style="31" customWidth="1"/>
    <col min="11783" max="11783" width="10.7109375" style="31" customWidth="1"/>
    <col min="11784" max="11784" width="11.85546875" style="31" customWidth="1"/>
    <col min="11785" max="11785" width="11.42578125" style="31" customWidth="1"/>
    <col min="11786" max="11786" width="12.28515625" style="31" customWidth="1"/>
    <col min="11787" max="11787" width="11" style="31" customWidth="1"/>
    <col min="11788" max="11788" width="12" style="31" customWidth="1"/>
    <col min="11789" max="11789" width="12.85546875" style="31" bestFit="1" customWidth="1"/>
    <col min="11790" max="11790" width="13.85546875" style="31" customWidth="1"/>
    <col min="11791" max="11791" width="4.85546875" style="31" bestFit="1" customWidth="1"/>
    <col min="11792" max="11792" width="12" style="31" bestFit="1" customWidth="1"/>
    <col min="11793" max="11793" width="10.28515625" style="31" bestFit="1" customWidth="1"/>
    <col min="11794" max="11794" width="12" style="31" bestFit="1" customWidth="1"/>
    <col min="11795" max="11795" width="12.5703125" style="31" bestFit="1" customWidth="1"/>
    <col min="11796" max="11796" width="12" style="31" bestFit="1" customWidth="1"/>
    <col min="11797" max="11798" width="11.7109375" style="31" bestFit="1" customWidth="1"/>
    <col min="11799" max="11799" width="11.140625" style="31" bestFit="1" customWidth="1"/>
    <col min="11800" max="12032" width="9.140625" style="31"/>
    <col min="12033" max="12033" width="10.28515625" style="31" customWidth="1"/>
    <col min="12034" max="12034" width="10.42578125" style="31" customWidth="1"/>
    <col min="12035" max="12035" width="12.7109375" style="31" customWidth="1"/>
    <col min="12036" max="12036" width="11.28515625" style="31" customWidth="1"/>
    <col min="12037" max="12037" width="11.85546875" style="31" customWidth="1"/>
    <col min="12038" max="12038" width="11.7109375" style="31" customWidth="1"/>
    <col min="12039" max="12039" width="10.7109375" style="31" customWidth="1"/>
    <col min="12040" max="12040" width="11.85546875" style="31" customWidth="1"/>
    <col min="12041" max="12041" width="11.42578125" style="31" customWidth="1"/>
    <col min="12042" max="12042" width="12.28515625" style="31" customWidth="1"/>
    <col min="12043" max="12043" width="11" style="31" customWidth="1"/>
    <col min="12044" max="12044" width="12" style="31" customWidth="1"/>
    <col min="12045" max="12045" width="12.85546875" style="31" bestFit="1" customWidth="1"/>
    <col min="12046" max="12046" width="13.85546875" style="31" customWidth="1"/>
    <col min="12047" max="12047" width="4.85546875" style="31" bestFit="1" customWidth="1"/>
    <col min="12048" max="12048" width="12" style="31" bestFit="1" customWidth="1"/>
    <col min="12049" max="12049" width="10.28515625" style="31" bestFit="1" customWidth="1"/>
    <col min="12050" max="12050" width="12" style="31" bestFit="1" customWidth="1"/>
    <col min="12051" max="12051" width="12.5703125" style="31" bestFit="1" customWidth="1"/>
    <col min="12052" max="12052" width="12" style="31" bestFit="1" customWidth="1"/>
    <col min="12053" max="12054" width="11.7109375" style="31" bestFit="1" customWidth="1"/>
    <col min="12055" max="12055" width="11.140625" style="31" bestFit="1" customWidth="1"/>
    <col min="12056" max="12288" width="9.140625" style="31"/>
    <col min="12289" max="12289" width="10.28515625" style="31" customWidth="1"/>
    <col min="12290" max="12290" width="10.42578125" style="31" customWidth="1"/>
    <col min="12291" max="12291" width="12.7109375" style="31" customWidth="1"/>
    <col min="12292" max="12292" width="11.28515625" style="31" customWidth="1"/>
    <col min="12293" max="12293" width="11.85546875" style="31" customWidth="1"/>
    <col min="12294" max="12294" width="11.7109375" style="31" customWidth="1"/>
    <col min="12295" max="12295" width="10.7109375" style="31" customWidth="1"/>
    <col min="12296" max="12296" width="11.85546875" style="31" customWidth="1"/>
    <col min="12297" max="12297" width="11.42578125" style="31" customWidth="1"/>
    <col min="12298" max="12298" width="12.28515625" style="31" customWidth="1"/>
    <col min="12299" max="12299" width="11" style="31" customWidth="1"/>
    <col min="12300" max="12300" width="12" style="31" customWidth="1"/>
    <col min="12301" max="12301" width="12.85546875" style="31" bestFit="1" customWidth="1"/>
    <col min="12302" max="12302" width="13.85546875" style="31" customWidth="1"/>
    <col min="12303" max="12303" width="4.85546875" style="31" bestFit="1" customWidth="1"/>
    <col min="12304" max="12304" width="12" style="31" bestFit="1" customWidth="1"/>
    <col min="12305" max="12305" width="10.28515625" style="31" bestFit="1" customWidth="1"/>
    <col min="12306" max="12306" width="12" style="31" bestFit="1" customWidth="1"/>
    <col min="12307" max="12307" width="12.5703125" style="31" bestFit="1" customWidth="1"/>
    <col min="12308" max="12308" width="12" style="31" bestFit="1" customWidth="1"/>
    <col min="12309" max="12310" width="11.7109375" style="31" bestFit="1" customWidth="1"/>
    <col min="12311" max="12311" width="11.140625" style="31" bestFit="1" customWidth="1"/>
    <col min="12312" max="12544" width="9.140625" style="31"/>
    <col min="12545" max="12545" width="10.28515625" style="31" customWidth="1"/>
    <col min="12546" max="12546" width="10.42578125" style="31" customWidth="1"/>
    <col min="12547" max="12547" width="12.7109375" style="31" customWidth="1"/>
    <col min="12548" max="12548" width="11.28515625" style="31" customWidth="1"/>
    <col min="12549" max="12549" width="11.85546875" style="31" customWidth="1"/>
    <col min="12550" max="12550" width="11.7109375" style="31" customWidth="1"/>
    <col min="12551" max="12551" width="10.7109375" style="31" customWidth="1"/>
    <col min="12552" max="12552" width="11.85546875" style="31" customWidth="1"/>
    <col min="12553" max="12553" width="11.42578125" style="31" customWidth="1"/>
    <col min="12554" max="12554" width="12.28515625" style="31" customWidth="1"/>
    <col min="12555" max="12555" width="11" style="31" customWidth="1"/>
    <col min="12556" max="12556" width="12" style="31" customWidth="1"/>
    <col min="12557" max="12557" width="12.85546875" style="31" bestFit="1" customWidth="1"/>
    <col min="12558" max="12558" width="13.85546875" style="31" customWidth="1"/>
    <col min="12559" max="12559" width="4.85546875" style="31" bestFit="1" customWidth="1"/>
    <col min="12560" max="12560" width="12" style="31" bestFit="1" customWidth="1"/>
    <col min="12561" max="12561" width="10.28515625" style="31" bestFit="1" customWidth="1"/>
    <col min="12562" max="12562" width="12" style="31" bestFit="1" customWidth="1"/>
    <col min="12563" max="12563" width="12.5703125" style="31" bestFit="1" customWidth="1"/>
    <col min="12564" max="12564" width="12" style="31" bestFit="1" customWidth="1"/>
    <col min="12565" max="12566" width="11.7109375" style="31" bestFit="1" customWidth="1"/>
    <col min="12567" max="12567" width="11.140625" style="31" bestFit="1" customWidth="1"/>
    <col min="12568" max="12800" width="9.140625" style="31"/>
    <col min="12801" max="12801" width="10.28515625" style="31" customWidth="1"/>
    <col min="12802" max="12802" width="10.42578125" style="31" customWidth="1"/>
    <col min="12803" max="12803" width="12.7109375" style="31" customWidth="1"/>
    <col min="12804" max="12804" width="11.28515625" style="31" customWidth="1"/>
    <col min="12805" max="12805" width="11.85546875" style="31" customWidth="1"/>
    <col min="12806" max="12806" width="11.7109375" style="31" customWidth="1"/>
    <col min="12807" max="12807" width="10.7109375" style="31" customWidth="1"/>
    <col min="12808" max="12808" width="11.85546875" style="31" customWidth="1"/>
    <col min="12809" max="12809" width="11.42578125" style="31" customWidth="1"/>
    <col min="12810" max="12810" width="12.28515625" style="31" customWidth="1"/>
    <col min="12811" max="12811" width="11" style="31" customWidth="1"/>
    <col min="12812" max="12812" width="12" style="31" customWidth="1"/>
    <col min="12813" max="12813" width="12.85546875" style="31" bestFit="1" customWidth="1"/>
    <col min="12814" max="12814" width="13.85546875" style="31" customWidth="1"/>
    <col min="12815" max="12815" width="4.85546875" style="31" bestFit="1" customWidth="1"/>
    <col min="12816" max="12816" width="12" style="31" bestFit="1" customWidth="1"/>
    <col min="12817" max="12817" width="10.28515625" style="31" bestFit="1" customWidth="1"/>
    <col min="12818" max="12818" width="12" style="31" bestFit="1" customWidth="1"/>
    <col min="12819" max="12819" width="12.5703125" style="31" bestFit="1" customWidth="1"/>
    <col min="12820" max="12820" width="12" style="31" bestFit="1" customWidth="1"/>
    <col min="12821" max="12822" width="11.7109375" style="31" bestFit="1" customWidth="1"/>
    <col min="12823" max="12823" width="11.140625" style="31" bestFit="1" customWidth="1"/>
    <col min="12824" max="13056" width="9.140625" style="31"/>
    <col min="13057" max="13057" width="10.28515625" style="31" customWidth="1"/>
    <col min="13058" max="13058" width="10.42578125" style="31" customWidth="1"/>
    <col min="13059" max="13059" width="12.7109375" style="31" customWidth="1"/>
    <col min="13060" max="13060" width="11.28515625" style="31" customWidth="1"/>
    <col min="13061" max="13061" width="11.85546875" style="31" customWidth="1"/>
    <col min="13062" max="13062" width="11.7109375" style="31" customWidth="1"/>
    <col min="13063" max="13063" width="10.7109375" style="31" customWidth="1"/>
    <col min="13064" max="13064" width="11.85546875" style="31" customWidth="1"/>
    <col min="13065" max="13065" width="11.42578125" style="31" customWidth="1"/>
    <col min="13066" max="13066" width="12.28515625" style="31" customWidth="1"/>
    <col min="13067" max="13067" width="11" style="31" customWidth="1"/>
    <col min="13068" max="13068" width="12" style="31" customWidth="1"/>
    <col min="13069" max="13069" width="12.85546875" style="31" bestFit="1" customWidth="1"/>
    <col min="13070" max="13070" width="13.85546875" style="31" customWidth="1"/>
    <col min="13071" max="13071" width="4.85546875" style="31" bestFit="1" customWidth="1"/>
    <col min="13072" max="13072" width="12" style="31" bestFit="1" customWidth="1"/>
    <col min="13073" max="13073" width="10.28515625" style="31" bestFit="1" customWidth="1"/>
    <col min="13074" max="13074" width="12" style="31" bestFit="1" customWidth="1"/>
    <col min="13075" max="13075" width="12.5703125" style="31" bestFit="1" customWidth="1"/>
    <col min="13076" max="13076" width="12" style="31" bestFit="1" customWidth="1"/>
    <col min="13077" max="13078" width="11.7109375" style="31" bestFit="1" customWidth="1"/>
    <col min="13079" max="13079" width="11.140625" style="31" bestFit="1" customWidth="1"/>
    <col min="13080" max="13312" width="9.140625" style="31"/>
    <col min="13313" max="13313" width="10.28515625" style="31" customWidth="1"/>
    <col min="13314" max="13314" width="10.42578125" style="31" customWidth="1"/>
    <col min="13315" max="13315" width="12.7109375" style="31" customWidth="1"/>
    <col min="13316" max="13316" width="11.28515625" style="31" customWidth="1"/>
    <col min="13317" max="13317" width="11.85546875" style="31" customWidth="1"/>
    <col min="13318" max="13318" width="11.7109375" style="31" customWidth="1"/>
    <col min="13319" max="13319" width="10.7109375" style="31" customWidth="1"/>
    <col min="13320" max="13320" width="11.85546875" style="31" customWidth="1"/>
    <col min="13321" max="13321" width="11.42578125" style="31" customWidth="1"/>
    <col min="13322" max="13322" width="12.28515625" style="31" customWidth="1"/>
    <col min="13323" max="13323" width="11" style="31" customWidth="1"/>
    <col min="13324" max="13324" width="12" style="31" customWidth="1"/>
    <col min="13325" max="13325" width="12.85546875" style="31" bestFit="1" customWidth="1"/>
    <col min="13326" max="13326" width="13.85546875" style="31" customWidth="1"/>
    <col min="13327" max="13327" width="4.85546875" style="31" bestFit="1" customWidth="1"/>
    <col min="13328" max="13328" width="12" style="31" bestFit="1" customWidth="1"/>
    <col min="13329" max="13329" width="10.28515625" style="31" bestFit="1" customWidth="1"/>
    <col min="13330" max="13330" width="12" style="31" bestFit="1" customWidth="1"/>
    <col min="13331" max="13331" width="12.5703125" style="31" bestFit="1" customWidth="1"/>
    <col min="13332" max="13332" width="12" style="31" bestFit="1" customWidth="1"/>
    <col min="13333" max="13334" width="11.7109375" style="31" bestFit="1" customWidth="1"/>
    <col min="13335" max="13335" width="11.140625" style="31" bestFit="1" customWidth="1"/>
    <col min="13336" max="13568" width="9.140625" style="31"/>
    <col min="13569" max="13569" width="10.28515625" style="31" customWidth="1"/>
    <col min="13570" max="13570" width="10.42578125" style="31" customWidth="1"/>
    <col min="13571" max="13571" width="12.7109375" style="31" customWidth="1"/>
    <col min="13572" max="13572" width="11.28515625" style="31" customWidth="1"/>
    <col min="13573" max="13573" width="11.85546875" style="31" customWidth="1"/>
    <col min="13574" max="13574" width="11.7109375" style="31" customWidth="1"/>
    <col min="13575" max="13575" width="10.7109375" style="31" customWidth="1"/>
    <col min="13576" max="13576" width="11.85546875" style="31" customWidth="1"/>
    <col min="13577" max="13577" width="11.42578125" style="31" customWidth="1"/>
    <col min="13578" max="13578" width="12.28515625" style="31" customWidth="1"/>
    <col min="13579" max="13579" width="11" style="31" customWidth="1"/>
    <col min="13580" max="13580" width="12" style="31" customWidth="1"/>
    <col min="13581" max="13581" width="12.85546875" style="31" bestFit="1" customWidth="1"/>
    <col min="13582" max="13582" width="13.85546875" style="31" customWidth="1"/>
    <col min="13583" max="13583" width="4.85546875" style="31" bestFit="1" customWidth="1"/>
    <col min="13584" max="13584" width="12" style="31" bestFit="1" customWidth="1"/>
    <col min="13585" max="13585" width="10.28515625" style="31" bestFit="1" customWidth="1"/>
    <col min="13586" max="13586" width="12" style="31" bestFit="1" customWidth="1"/>
    <col min="13587" max="13587" width="12.5703125" style="31" bestFit="1" customWidth="1"/>
    <col min="13588" max="13588" width="12" style="31" bestFit="1" customWidth="1"/>
    <col min="13589" max="13590" width="11.7109375" style="31" bestFit="1" customWidth="1"/>
    <col min="13591" max="13591" width="11.140625" style="31" bestFit="1" customWidth="1"/>
    <col min="13592" max="13824" width="9.140625" style="31"/>
    <col min="13825" max="13825" width="10.28515625" style="31" customWidth="1"/>
    <col min="13826" max="13826" width="10.42578125" style="31" customWidth="1"/>
    <col min="13827" max="13827" width="12.7109375" style="31" customWidth="1"/>
    <col min="13828" max="13828" width="11.28515625" style="31" customWidth="1"/>
    <col min="13829" max="13829" width="11.85546875" style="31" customWidth="1"/>
    <col min="13830" max="13830" width="11.7109375" style="31" customWidth="1"/>
    <col min="13831" max="13831" width="10.7109375" style="31" customWidth="1"/>
    <col min="13832" max="13832" width="11.85546875" style="31" customWidth="1"/>
    <col min="13833" max="13833" width="11.42578125" style="31" customWidth="1"/>
    <col min="13834" max="13834" width="12.28515625" style="31" customWidth="1"/>
    <col min="13835" max="13835" width="11" style="31" customWidth="1"/>
    <col min="13836" max="13836" width="12" style="31" customWidth="1"/>
    <col min="13837" max="13837" width="12.85546875" style="31" bestFit="1" customWidth="1"/>
    <col min="13838" max="13838" width="13.85546875" style="31" customWidth="1"/>
    <col min="13839" max="13839" width="4.85546875" style="31" bestFit="1" customWidth="1"/>
    <col min="13840" max="13840" width="12" style="31" bestFit="1" customWidth="1"/>
    <col min="13841" max="13841" width="10.28515625" style="31" bestFit="1" customWidth="1"/>
    <col min="13842" max="13842" width="12" style="31" bestFit="1" customWidth="1"/>
    <col min="13843" max="13843" width="12.5703125" style="31" bestFit="1" customWidth="1"/>
    <col min="13844" max="13844" width="12" style="31" bestFit="1" customWidth="1"/>
    <col min="13845" max="13846" width="11.7109375" style="31" bestFit="1" customWidth="1"/>
    <col min="13847" max="13847" width="11.140625" style="31" bestFit="1" customWidth="1"/>
    <col min="13848" max="14080" width="9.140625" style="31"/>
    <col min="14081" max="14081" width="10.28515625" style="31" customWidth="1"/>
    <col min="14082" max="14082" width="10.42578125" style="31" customWidth="1"/>
    <col min="14083" max="14083" width="12.7109375" style="31" customWidth="1"/>
    <col min="14084" max="14084" width="11.28515625" style="31" customWidth="1"/>
    <col min="14085" max="14085" width="11.85546875" style="31" customWidth="1"/>
    <col min="14086" max="14086" width="11.7109375" style="31" customWidth="1"/>
    <col min="14087" max="14087" width="10.7109375" style="31" customWidth="1"/>
    <col min="14088" max="14088" width="11.85546875" style="31" customWidth="1"/>
    <col min="14089" max="14089" width="11.42578125" style="31" customWidth="1"/>
    <col min="14090" max="14090" width="12.28515625" style="31" customWidth="1"/>
    <col min="14091" max="14091" width="11" style="31" customWidth="1"/>
    <col min="14092" max="14092" width="12" style="31" customWidth="1"/>
    <col min="14093" max="14093" width="12.85546875" style="31" bestFit="1" customWidth="1"/>
    <col min="14094" max="14094" width="13.85546875" style="31" customWidth="1"/>
    <col min="14095" max="14095" width="4.85546875" style="31" bestFit="1" customWidth="1"/>
    <col min="14096" max="14096" width="12" style="31" bestFit="1" customWidth="1"/>
    <col min="14097" max="14097" width="10.28515625" style="31" bestFit="1" customWidth="1"/>
    <col min="14098" max="14098" width="12" style="31" bestFit="1" customWidth="1"/>
    <col min="14099" max="14099" width="12.5703125" style="31" bestFit="1" customWidth="1"/>
    <col min="14100" max="14100" width="12" style="31" bestFit="1" customWidth="1"/>
    <col min="14101" max="14102" width="11.7109375" style="31" bestFit="1" customWidth="1"/>
    <col min="14103" max="14103" width="11.140625" style="31" bestFit="1" customWidth="1"/>
    <col min="14104" max="14336" width="9.140625" style="31"/>
    <col min="14337" max="14337" width="10.28515625" style="31" customWidth="1"/>
    <col min="14338" max="14338" width="10.42578125" style="31" customWidth="1"/>
    <col min="14339" max="14339" width="12.7109375" style="31" customWidth="1"/>
    <col min="14340" max="14340" width="11.28515625" style="31" customWidth="1"/>
    <col min="14341" max="14341" width="11.85546875" style="31" customWidth="1"/>
    <col min="14342" max="14342" width="11.7109375" style="31" customWidth="1"/>
    <col min="14343" max="14343" width="10.7109375" style="31" customWidth="1"/>
    <col min="14344" max="14344" width="11.85546875" style="31" customWidth="1"/>
    <col min="14345" max="14345" width="11.42578125" style="31" customWidth="1"/>
    <col min="14346" max="14346" width="12.28515625" style="31" customWidth="1"/>
    <col min="14347" max="14347" width="11" style="31" customWidth="1"/>
    <col min="14348" max="14348" width="12" style="31" customWidth="1"/>
    <col min="14349" max="14349" width="12.85546875" style="31" bestFit="1" customWidth="1"/>
    <col min="14350" max="14350" width="13.85546875" style="31" customWidth="1"/>
    <col min="14351" max="14351" width="4.85546875" style="31" bestFit="1" customWidth="1"/>
    <col min="14352" max="14352" width="12" style="31" bestFit="1" customWidth="1"/>
    <col min="14353" max="14353" width="10.28515625" style="31" bestFit="1" customWidth="1"/>
    <col min="14354" max="14354" width="12" style="31" bestFit="1" customWidth="1"/>
    <col min="14355" max="14355" width="12.5703125" style="31" bestFit="1" customWidth="1"/>
    <col min="14356" max="14356" width="12" style="31" bestFit="1" customWidth="1"/>
    <col min="14357" max="14358" width="11.7109375" style="31" bestFit="1" customWidth="1"/>
    <col min="14359" max="14359" width="11.140625" style="31" bestFit="1" customWidth="1"/>
    <col min="14360" max="14592" width="9.140625" style="31"/>
    <col min="14593" max="14593" width="10.28515625" style="31" customWidth="1"/>
    <col min="14594" max="14594" width="10.42578125" style="31" customWidth="1"/>
    <col min="14595" max="14595" width="12.7109375" style="31" customWidth="1"/>
    <col min="14596" max="14596" width="11.28515625" style="31" customWidth="1"/>
    <col min="14597" max="14597" width="11.85546875" style="31" customWidth="1"/>
    <col min="14598" max="14598" width="11.7109375" style="31" customWidth="1"/>
    <col min="14599" max="14599" width="10.7109375" style="31" customWidth="1"/>
    <col min="14600" max="14600" width="11.85546875" style="31" customWidth="1"/>
    <col min="14601" max="14601" width="11.42578125" style="31" customWidth="1"/>
    <col min="14602" max="14602" width="12.28515625" style="31" customWidth="1"/>
    <col min="14603" max="14603" width="11" style="31" customWidth="1"/>
    <col min="14604" max="14604" width="12" style="31" customWidth="1"/>
    <col min="14605" max="14605" width="12.85546875" style="31" bestFit="1" customWidth="1"/>
    <col min="14606" max="14606" width="13.85546875" style="31" customWidth="1"/>
    <col min="14607" max="14607" width="4.85546875" style="31" bestFit="1" customWidth="1"/>
    <col min="14608" max="14608" width="12" style="31" bestFit="1" customWidth="1"/>
    <col min="14609" max="14609" width="10.28515625" style="31" bestFit="1" customWidth="1"/>
    <col min="14610" max="14610" width="12" style="31" bestFit="1" customWidth="1"/>
    <col min="14611" max="14611" width="12.5703125" style="31" bestFit="1" customWidth="1"/>
    <col min="14612" max="14612" width="12" style="31" bestFit="1" customWidth="1"/>
    <col min="14613" max="14614" width="11.7109375" style="31" bestFit="1" customWidth="1"/>
    <col min="14615" max="14615" width="11.140625" style="31" bestFit="1" customWidth="1"/>
    <col min="14616" max="14848" width="9.140625" style="31"/>
    <col min="14849" max="14849" width="10.28515625" style="31" customWidth="1"/>
    <col min="14850" max="14850" width="10.42578125" style="31" customWidth="1"/>
    <col min="14851" max="14851" width="12.7109375" style="31" customWidth="1"/>
    <col min="14852" max="14852" width="11.28515625" style="31" customWidth="1"/>
    <col min="14853" max="14853" width="11.85546875" style="31" customWidth="1"/>
    <col min="14854" max="14854" width="11.7109375" style="31" customWidth="1"/>
    <col min="14855" max="14855" width="10.7109375" style="31" customWidth="1"/>
    <col min="14856" max="14856" width="11.85546875" style="31" customWidth="1"/>
    <col min="14857" max="14857" width="11.42578125" style="31" customWidth="1"/>
    <col min="14858" max="14858" width="12.28515625" style="31" customWidth="1"/>
    <col min="14859" max="14859" width="11" style="31" customWidth="1"/>
    <col min="14860" max="14860" width="12" style="31" customWidth="1"/>
    <col min="14861" max="14861" width="12.85546875" style="31" bestFit="1" customWidth="1"/>
    <col min="14862" max="14862" width="13.85546875" style="31" customWidth="1"/>
    <col min="14863" max="14863" width="4.85546875" style="31" bestFit="1" customWidth="1"/>
    <col min="14864" max="14864" width="12" style="31" bestFit="1" customWidth="1"/>
    <col min="14865" max="14865" width="10.28515625" style="31" bestFit="1" customWidth="1"/>
    <col min="14866" max="14866" width="12" style="31" bestFit="1" customWidth="1"/>
    <col min="14867" max="14867" width="12.5703125" style="31" bestFit="1" customWidth="1"/>
    <col min="14868" max="14868" width="12" style="31" bestFit="1" customWidth="1"/>
    <col min="14869" max="14870" width="11.7109375" style="31" bestFit="1" customWidth="1"/>
    <col min="14871" max="14871" width="11.140625" style="31" bestFit="1" customWidth="1"/>
    <col min="14872" max="15104" width="9.140625" style="31"/>
    <col min="15105" max="15105" width="10.28515625" style="31" customWidth="1"/>
    <col min="15106" max="15106" width="10.42578125" style="31" customWidth="1"/>
    <col min="15107" max="15107" width="12.7109375" style="31" customWidth="1"/>
    <col min="15108" max="15108" width="11.28515625" style="31" customWidth="1"/>
    <col min="15109" max="15109" width="11.85546875" style="31" customWidth="1"/>
    <col min="15110" max="15110" width="11.7109375" style="31" customWidth="1"/>
    <col min="15111" max="15111" width="10.7109375" style="31" customWidth="1"/>
    <col min="15112" max="15112" width="11.85546875" style="31" customWidth="1"/>
    <col min="15113" max="15113" width="11.42578125" style="31" customWidth="1"/>
    <col min="15114" max="15114" width="12.28515625" style="31" customWidth="1"/>
    <col min="15115" max="15115" width="11" style="31" customWidth="1"/>
    <col min="15116" max="15116" width="12" style="31" customWidth="1"/>
    <col min="15117" max="15117" width="12.85546875" style="31" bestFit="1" customWidth="1"/>
    <col min="15118" max="15118" width="13.85546875" style="31" customWidth="1"/>
    <col min="15119" max="15119" width="4.85546875" style="31" bestFit="1" customWidth="1"/>
    <col min="15120" max="15120" width="12" style="31" bestFit="1" customWidth="1"/>
    <col min="15121" max="15121" width="10.28515625" style="31" bestFit="1" customWidth="1"/>
    <col min="15122" max="15122" width="12" style="31" bestFit="1" customWidth="1"/>
    <col min="15123" max="15123" width="12.5703125" style="31" bestFit="1" customWidth="1"/>
    <col min="15124" max="15124" width="12" style="31" bestFit="1" customWidth="1"/>
    <col min="15125" max="15126" width="11.7109375" style="31" bestFit="1" customWidth="1"/>
    <col min="15127" max="15127" width="11.140625" style="31" bestFit="1" customWidth="1"/>
    <col min="15128" max="15360" width="9.140625" style="31"/>
    <col min="15361" max="15361" width="10.28515625" style="31" customWidth="1"/>
    <col min="15362" max="15362" width="10.42578125" style="31" customWidth="1"/>
    <col min="15363" max="15363" width="12.7109375" style="31" customWidth="1"/>
    <col min="15364" max="15364" width="11.28515625" style="31" customWidth="1"/>
    <col min="15365" max="15365" width="11.85546875" style="31" customWidth="1"/>
    <col min="15366" max="15366" width="11.7109375" style="31" customWidth="1"/>
    <col min="15367" max="15367" width="10.7109375" style="31" customWidth="1"/>
    <col min="15368" max="15368" width="11.85546875" style="31" customWidth="1"/>
    <col min="15369" max="15369" width="11.42578125" style="31" customWidth="1"/>
    <col min="15370" max="15370" width="12.28515625" style="31" customWidth="1"/>
    <col min="15371" max="15371" width="11" style="31" customWidth="1"/>
    <col min="15372" max="15372" width="12" style="31" customWidth="1"/>
    <col min="15373" max="15373" width="12.85546875" style="31" bestFit="1" customWidth="1"/>
    <col min="15374" max="15374" width="13.85546875" style="31" customWidth="1"/>
    <col min="15375" max="15375" width="4.85546875" style="31" bestFit="1" customWidth="1"/>
    <col min="15376" max="15376" width="12" style="31" bestFit="1" customWidth="1"/>
    <col min="15377" max="15377" width="10.28515625" style="31" bestFit="1" customWidth="1"/>
    <col min="15378" max="15378" width="12" style="31" bestFit="1" customWidth="1"/>
    <col min="15379" max="15379" width="12.5703125" style="31" bestFit="1" customWidth="1"/>
    <col min="15380" max="15380" width="12" style="31" bestFit="1" customWidth="1"/>
    <col min="15381" max="15382" width="11.7109375" style="31" bestFit="1" customWidth="1"/>
    <col min="15383" max="15383" width="11.140625" style="31" bestFit="1" customWidth="1"/>
    <col min="15384" max="15616" width="9.140625" style="31"/>
    <col min="15617" max="15617" width="10.28515625" style="31" customWidth="1"/>
    <col min="15618" max="15618" width="10.42578125" style="31" customWidth="1"/>
    <col min="15619" max="15619" width="12.7109375" style="31" customWidth="1"/>
    <col min="15620" max="15620" width="11.28515625" style="31" customWidth="1"/>
    <col min="15621" max="15621" width="11.85546875" style="31" customWidth="1"/>
    <col min="15622" max="15622" width="11.7109375" style="31" customWidth="1"/>
    <col min="15623" max="15623" width="10.7109375" style="31" customWidth="1"/>
    <col min="15624" max="15624" width="11.85546875" style="31" customWidth="1"/>
    <col min="15625" max="15625" width="11.42578125" style="31" customWidth="1"/>
    <col min="15626" max="15626" width="12.28515625" style="31" customWidth="1"/>
    <col min="15627" max="15627" width="11" style="31" customWidth="1"/>
    <col min="15628" max="15628" width="12" style="31" customWidth="1"/>
    <col min="15629" max="15629" width="12.85546875" style="31" bestFit="1" customWidth="1"/>
    <col min="15630" max="15630" width="13.85546875" style="31" customWidth="1"/>
    <col min="15631" max="15631" width="4.85546875" style="31" bestFit="1" customWidth="1"/>
    <col min="15632" max="15632" width="12" style="31" bestFit="1" customWidth="1"/>
    <col min="15633" max="15633" width="10.28515625" style="31" bestFit="1" customWidth="1"/>
    <col min="15634" max="15634" width="12" style="31" bestFit="1" customWidth="1"/>
    <col min="15635" max="15635" width="12.5703125" style="31" bestFit="1" customWidth="1"/>
    <col min="15636" max="15636" width="12" style="31" bestFit="1" customWidth="1"/>
    <col min="15637" max="15638" width="11.7109375" style="31" bestFit="1" customWidth="1"/>
    <col min="15639" max="15639" width="11.140625" style="31" bestFit="1" customWidth="1"/>
    <col min="15640" max="15872" width="9.140625" style="31"/>
    <col min="15873" max="15873" width="10.28515625" style="31" customWidth="1"/>
    <col min="15874" max="15874" width="10.42578125" style="31" customWidth="1"/>
    <col min="15875" max="15875" width="12.7109375" style="31" customWidth="1"/>
    <col min="15876" max="15876" width="11.28515625" style="31" customWidth="1"/>
    <col min="15877" max="15877" width="11.85546875" style="31" customWidth="1"/>
    <col min="15878" max="15878" width="11.7109375" style="31" customWidth="1"/>
    <col min="15879" max="15879" width="10.7109375" style="31" customWidth="1"/>
    <col min="15880" max="15880" width="11.85546875" style="31" customWidth="1"/>
    <col min="15881" max="15881" width="11.42578125" style="31" customWidth="1"/>
    <col min="15882" max="15882" width="12.28515625" style="31" customWidth="1"/>
    <col min="15883" max="15883" width="11" style="31" customWidth="1"/>
    <col min="15884" max="15884" width="12" style="31" customWidth="1"/>
    <col min="15885" max="15885" width="12.85546875" style="31" bestFit="1" customWidth="1"/>
    <col min="15886" max="15886" width="13.85546875" style="31" customWidth="1"/>
    <col min="15887" max="15887" width="4.85546875" style="31" bestFit="1" customWidth="1"/>
    <col min="15888" max="15888" width="12" style="31" bestFit="1" customWidth="1"/>
    <col min="15889" max="15889" width="10.28515625" style="31" bestFit="1" customWidth="1"/>
    <col min="15890" max="15890" width="12" style="31" bestFit="1" customWidth="1"/>
    <col min="15891" max="15891" width="12.5703125" style="31" bestFit="1" customWidth="1"/>
    <col min="15892" max="15892" width="12" style="31" bestFit="1" customWidth="1"/>
    <col min="15893" max="15894" width="11.7109375" style="31" bestFit="1" customWidth="1"/>
    <col min="15895" max="15895" width="11.140625" style="31" bestFit="1" customWidth="1"/>
    <col min="15896" max="16128" width="9.140625" style="31"/>
    <col min="16129" max="16129" width="10.28515625" style="31" customWidth="1"/>
    <col min="16130" max="16130" width="10.42578125" style="31" customWidth="1"/>
    <col min="16131" max="16131" width="12.7109375" style="31" customWidth="1"/>
    <col min="16132" max="16132" width="11.28515625" style="31" customWidth="1"/>
    <col min="16133" max="16133" width="11.85546875" style="31" customWidth="1"/>
    <col min="16134" max="16134" width="11.7109375" style="31" customWidth="1"/>
    <col min="16135" max="16135" width="10.7109375" style="31" customWidth="1"/>
    <col min="16136" max="16136" width="11.85546875" style="31" customWidth="1"/>
    <col min="16137" max="16137" width="11.42578125" style="31" customWidth="1"/>
    <col min="16138" max="16138" width="12.28515625" style="31" customWidth="1"/>
    <col min="16139" max="16139" width="11" style="31" customWidth="1"/>
    <col min="16140" max="16140" width="12" style="31" customWidth="1"/>
    <col min="16141" max="16141" width="12.85546875" style="31" bestFit="1" customWidth="1"/>
    <col min="16142" max="16142" width="13.85546875" style="31" customWidth="1"/>
    <col min="16143" max="16143" width="4.85546875" style="31" bestFit="1" customWidth="1"/>
    <col min="16144" max="16144" width="12" style="31" bestFit="1" customWidth="1"/>
    <col min="16145" max="16145" width="10.28515625" style="31" bestFit="1" customWidth="1"/>
    <col min="16146" max="16146" width="12" style="31" bestFit="1" customWidth="1"/>
    <col min="16147" max="16147" width="12.5703125" style="31" bestFit="1" customWidth="1"/>
    <col min="16148" max="16148" width="12" style="31" bestFit="1" customWidth="1"/>
    <col min="16149" max="16150" width="11.7109375" style="31" bestFit="1" customWidth="1"/>
    <col min="16151" max="16151" width="11.140625" style="31" bestFit="1" customWidth="1"/>
    <col min="16152" max="16384" width="9.140625" style="31"/>
  </cols>
  <sheetData>
    <row r="1" spans="1:24" x14ac:dyDescent="0.2">
      <c r="A1" s="274"/>
      <c r="B1" s="105" t="s">
        <v>110</v>
      </c>
    </row>
    <row r="2" spans="1:24" x14ac:dyDescent="0.2">
      <c r="A2" s="133" t="s">
        <v>111</v>
      </c>
      <c r="B2" s="31" t="s">
        <v>1846</v>
      </c>
      <c r="E2" s="31" t="s">
        <v>112</v>
      </c>
    </row>
    <row r="3" spans="1:24" s="33" customFormat="1" ht="8.25" x14ac:dyDescent="0.15">
      <c r="C3" s="35"/>
      <c r="D3" s="35"/>
    </row>
    <row r="4" spans="1:24" x14ac:dyDescent="0.2">
      <c r="A4" s="31" t="s">
        <v>113</v>
      </c>
      <c r="D4" s="106"/>
      <c r="P4" s="33"/>
      <c r="Q4" s="33"/>
      <c r="R4" s="33"/>
      <c r="S4" s="33"/>
      <c r="T4" s="33"/>
      <c r="U4" s="33"/>
      <c r="V4" s="33"/>
      <c r="W4" s="33"/>
      <c r="X4" s="33"/>
    </row>
    <row r="5" spans="1:24" x14ac:dyDescent="0.2">
      <c r="A5" s="31" t="s">
        <v>114</v>
      </c>
      <c r="D5" s="106"/>
      <c r="N5" s="33"/>
      <c r="O5" s="33"/>
      <c r="P5" s="33"/>
      <c r="Q5" s="33"/>
      <c r="R5" s="33"/>
      <c r="S5" s="33"/>
      <c r="T5" s="33"/>
      <c r="U5" s="33"/>
      <c r="V5" s="33"/>
      <c r="W5" s="33"/>
      <c r="X5" s="33"/>
    </row>
    <row r="6" spans="1:24" s="33" customFormat="1" x14ac:dyDescent="0.2">
      <c r="D6" s="35"/>
      <c r="I6" s="34"/>
      <c r="M6" s="31"/>
    </row>
    <row r="7" spans="1:24" ht="12.75" x14ac:dyDescent="0.2">
      <c r="A7" s="651" t="s">
        <v>1146</v>
      </c>
      <c r="B7" s="654" t="s">
        <v>115</v>
      </c>
      <c r="C7" s="108" t="s">
        <v>116</v>
      </c>
      <c r="D7" s="107" t="s">
        <v>117</v>
      </c>
      <c r="E7" s="1217" t="s">
        <v>118</v>
      </c>
      <c r="F7" s="1218"/>
      <c r="G7" s="1217" t="s">
        <v>119</v>
      </c>
      <c r="H7" s="1218"/>
      <c r="I7" s="1219" t="s">
        <v>120</v>
      </c>
      <c r="J7" s="1220"/>
      <c r="K7" s="41" t="s">
        <v>121</v>
      </c>
      <c r="L7" s="108" t="s">
        <v>122</v>
      </c>
      <c r="N7" s="33"/>
      <c r="O7" s="33"/>
      <c r="P7" s="33"/>
      <c r="Q7" s="33"/>
      <c r="R7" s="33"/>
      <c r="S7" s="33"/>
      <c r="T7" s="33"/>
      <c r="U7" s="33"/>
      <c r="V7" s="33"/>
      <c r="W7" s="33"/>
      <c r="X7" s="33"/>
    </row>
    <row r="8" spans="1:24" ht="12.75" x14ac:dyDescent="0.2">
      <c r="A8" s="653" t="s">
        <v>1141</v>
      </c>
      <c r="B8" s="110" t="s">
        <v>124</v>
      </c>
      <c r="C8" s="666">
        <v>3387739.85</v>
      </c>
      <c r="D8" s="662">
        <f>1876271.3</f>
        <v>1876271.3</v>
      </c>
      <c r="E8" s="657">
        <f>D8*0.6</f>
        <v>1125762.78</v>
      </c>
      <c r="F8" s="112">
        <f t="shared" ref="F8:F13" si="0">(((C8*0.6)/12)*6)-E8</f>
        <v>-109440.82500000007</v>
      </c>
      <c r="G8" s="112">
        <f>D8*0.25</f>
        <v>469067.82500000001</v>
      </c>
      <c r="H8" s="112">
        <f t="shared" ref="H8:H13" si="1">(((C8*0.25)/12)*6)-G8</f>
        <v>-45600.34375</v>
      </c>
      <c r="I8" s="113"/>
      <c r="J8" s="114"/>
      <c r="K8" s="115">
        <f>D8*0.15</f>
        <v>281440.69500000001</v>
      </c>
      <c r="L8" s="112">
        <f t="shared" ref="L8:L13" si="2">(((C8*0.25)/12)*6)-K8</f>
        <v>142026.78625</v>
      </c>
      <c r="N8" s="33"/>
      <c r="V8" s="33"/>
      <c r="W8" s="33"/>
      <c r="X8" s="33"/>
    </row>
    <row r="9" spans="1:24" ht="12.75" x14ac:dyDescent="0.2">
      <c r="A9" s="653" t="s">
        <v>1142</v>
      </c>
      <c r="B9" s="110" t="s">
        <v>125</v>
      </c>
      <c r="C9" s="663">
        <v>2375922.52</v>
      </c>
      <c r="D9" s="663">
        <f>1323448.6</f>
        <v>1323448.6000000001</v>
      </c>
      <c r="E9" s="113">
        <f t="shared" ref="E9:E18" si="3">D9*0.6</f>
        <v>794069.16</v>
      </c>
      <c r="F9" s="117">
        <f t="shared" si="0"/>
        <v>-81292.404000000097</v>
      </c>
      <c r="G9" s="117">
        <f>D9*0.25</f>
        <v>330862.15000000002</v>
      </c>
      <c r="H9" s="117">
        <f t="shared" si="1"/>
        <v>-33871.835000000021</v>
      </c>
      <c r="I9" s="113"/>
      <c r="J9" s="114"/>
      <c r="K9" s="115">
        <f t="shared" ref="K9:K18" si="4">D9*0.15</f>
        <v>198517.29</v>
      </c>
      <c r="L9" s="117">
        <f t="shared" si="2"/>
        <v>98473.024999999994</v>
      </c>
      <c r="N9" s="33"/>
      <c r="O9" s="33"/>
      <c r="P9" s="33"/>
      <c r="Q9" s="33"/>
      <c r="R9" s="33"/>
      <c r="S9" s="33"/>
      <c r="T9" s="33"/>
      <c r="U9" s="33"/>
      <c r="V9" s="33"/>
      <c r="W9" s="33"/>
      <c r="X9" s="33"/>
    </row>
    <row r="10" spans="1:24" ht="12.75" x14ac:dyDescent="0.2">
      <c r="A10" s="653" t="s">
        <v>1143</v>
      </c>
      <c r="B10" s="110" t="s">
        <v>123</v>
      </c>
      <c r="C10" s="663">
        <v>5703256.46</v>
      </c>
      <c r="D10" s="664">
        <f>3414015.42</f>
        <v>3414015.42</v>
      </c>
      <c r="E10" s="113">
        <f>D10*0.6</f>
        <v>2048409.2519999999</v>
      </c>
      <c r="F10" s="117">
        <f t="shared" si="0"/>
        <v>-337432.31400000001</v>
      </c>
      <c r="G10" s="117">
        <f>D10*0.25</f>
        <v>853503.85499999998</v>
      </c>
      <c r="H10" s="117">
        <f t="shared" si="1"/>
        <v>-140596.79749999999</v>
      </c>
      <c r="I10" s="113"/>
      <c r="J10" s="114"/>
      <c r="K10" s="115">
        <f t="shared" si="4"/>
        <v>512102.31299999997</v>
      </c>
      <c r="L10" s="117">
        <f t="shared" si="2"/>
        <v>200804.74450000003</v>
      </c>
      <c r="N10" s="33"/>
      <c r="O10" s="33"/>
      <c r="P10" s="33"/>
      <c r="Q10" s="33"/>
      <c r="R10" s="33"/>
      <c r="S10" s="33"/>
      <c r="T10" s="33"/>
      <c r="U10" s="33"/>
      <c r="V10" s="33"/>
      <c r="W10" s="33"/>
      <c r="X10" s="33"/>
    </row>
    <row r="11" spans="1:24" ht="12.75" x14ac:dyDescent="0.2">
      <c r="A11" s="653" t="s">
        <v>1147</v>
      </c>
      <c r="B11" s="110" t="s">
        <v>126</v>
      </c>
      <c r="C11" s="663">
        <v>7166361.3799999999</v>
      </c>
      <c r="D11" s="664">
        <f>4008052.65</f>
        <v>4008052.65</v>
      </c>
      <c r="E11" s="113">
        <f t="shared" si="3"/>
        <v>2404831.59</v>
      </c>
      <c r="F11" s="117">
        <f t="shared" si="0"/>
        <v>-254923.17599999998</v>
      </c>
      <c r="G11" s="118">
        <f>D11*0.25</f>
        <v>1002013.1625</v>
      </c>
      <c r="H11" s="117">
        <f t="shared" si="1"/>
        <v>-106217.99000000011</v>
      </c>
      <c r="I11" s="113"/>
      <c r="J11" s="114"/>
      <c r="K11" s="115">
        <f t="shared" si="4"/>
        <v>601207.89749999996</v>
      </c>
      <c r="L11" s="117">
        <f t="shared" si="2"/>
        <v>294587.27499999991</v>
      </c>
      <c r="N11" s="33"/>
      <c r="O11" s="33"/>
      <c r="P11" s="33"/>
      <c r="Q11" s="33"/>
      <c r="R11" s="33"/>
      <c r="S11" s="33"/>
      <c r="T11" s="33"/>
      <c r="U11" s="33"/>
      <c r="V11" s="33"/>
      <c r="W11" s="33"/>
      <c r="X11" s="33"/>
    </row>
    <row r="12" spans="1:24" ht="12.75" x14ac:dyDescent="0.2">
      <c r="A12" s="7" t="s">
        <v>1148</v>
      </c>
      <c r="B12" s="119" t="s">
        <v>127</v>
      </c>
      <c r="C12" s="663">
        <v>37262913.640000001</v>
      </c>
      <c r="D12" s="387">
        <f>15258195.82+3814548.79</f>
        <v>19072744.609999999</v>
      </c>
      <c r="E12" s="658">
        <f t="shared" si="3"/>
        <v>11443646.765999999</v>
      </c>
      <c r="F12" s="117">
        <f t="shared" si="0"/>
        <v>-264772.67399999872</v>
      </c>
      <c r="G12" s="124">
        <f>(D12*0.05)</f>
        <v>953637.23050000006</v>
      </c>
      <c r="H12" s="118">
        <f t="shared" si="1"/>
        <v>3704226.9745</v>
      </c>
      <c r="I12" s="121">
        <f>-D12*0.2</f>
        <v>-3814548.9220000003</v>
      </c>
      <c r="J12" s="122">
        <f>(((C12*0.2)/12)*6)+I12</f>
        <v>-88257.558000000194</v>
      </c>
      <c r="K12" s="115">
        <f t="shared" si="4"/>
        <v>2860911.6914999997</v>
      </c>
      <c r="L12" s="117">
        <f t="shared" si="2"/>
        <v>1796952.5135000004</v>
      </c>
      <c r="M12" s="123"/>
      <c r="N12" s="34"/>
      <c r="O12" s="136"/>
    </row>
    <row r="13" spans="1:24" ht="12.75" x14ac:dyDescent="0.2">
      <c r="A13" s="7" t="s">
        <v>1149</v>
      </c>
      <c r="B13" s="211" t="s">
        <v>1150</v>
      </c>
      <c r="C13" s="663">
        <v>2515933.79</v>
      </c>
      <c r="D13" s="663"/>
      <c r="E13" s="113">
        <f t="shared" si="3"/>
        <v>0</v>
      </c>
      <c r="F13" s="117">
        <f t="shared" si="0"/>
        <v>754780.13699999999</v>
      </c>
      <c r="G13" s="117">
        <f>D13*0.25</f>
        <v>0</v>
      </c>
      <c r="H13" s="117">
        <f t="shared" si="1"/>
        <v>314491.72375</v>
      </c>
      <c r="I13" s="113"/>
      <c r="J13" s="114"/>
      <c r="K13" s="115">
        <f t="shared" si="4"/>
        <v>0</v>
      </c>
      <c r="L13" s="117">
        <f t="shared" si="2"/>
        <v>314491.72375</v>
      </c>
      <c r="M13" s="123"/>
      <c r="N13" s="90"/>
      <c r="O13" s="33"/>
      <c r="P13" s="33"/>
      <c r="Q13" s="33"/>
      <c r="R13" s="33"/>
      <c r="S13" s="33"/>
      <c r="T13" s="33"/>
      <c r="U13" s="33"/>
      <c r="V13" s="33"/>
      <c r="W13" s="33"/>
      <c r="X13" s="33"/>
    </row>
    <row r="14" spans="1:24" ht="12.75" x14ac:dyDescent="0.2">
      <c r="A14" s="653"/>
      <c r="B14" s="110"/>
      <c r="C14" s="663"/>
      <c r="D14" s="663"/>
      <c r="E14" s="113">
        <f t="shared" si="3"/>
        <v>0</v>
      </c>
      <c r="F14" s="117">
        <f t="shared" ref="F14" si="5">(((C14*0.6)/12)*2)-E14</f>
        <v>0</v>
      </c>
      <c r="G14" s="117">
        <f>D14*0.25</f>
        <v>0</v>
      </c>
      <c r="H14" s="117">
        <f t="shared" ref="H14" si="6">(((C14*0.25)/12)*2)-G14</f>
        <v>0</v>
      </c>
      <c r="I14" s="113"/>
      <c r="J14" s="114"/>
      <c r="K14" s="115">
        <f t="shared" si="4"/>
        <v>0</v>
      </c>
      <c r="L14" s="117">
        <f t="shared" ref="L14" si="7">(((C14*0.25)/12)*2)-K14</f>
        <v>0</v>
      </c>
      <c r="M14" s="123"/>
      <c r="N14" s="90"/>
      <c r="O14" s="33"/>
      <c r="P14" s="33"/>
      <c r="Q14" s="33"/>
      <c r="R14" s="33"/>
      <c r="S14" s="33"/>
      <c r="T14" s="33"/>
      <c r="U14" s="33"/>
      <c r="V14" s="33"/>
      <c r="W14" s="33"/>
      <c r="X14" s="33"/>
    </row>
    <row r="15" spans="1:24" ht="12.75" x14ac:dyDescent="0.2">
      <c r="A15" s="7" t="s">
        <v>1151</v>
      </c>
      <c r="B15" s="119" t="s">
        <v>128</v>
      </c>
      <c r="C15" s="663">
        <v>1209876.17</v>
      </c>
      <c r="D15" s="663">
        <f>41836.46+10459.02</f>
        <v>52295.479999999996</v>
      </c>
      <c r="E15" s="121">
        <f t="shared" si="3"/>
        <v>31377.287999999997</v>
      </c>
      <c r="F15" s="117">
        <f>(((C15*0.6)/12)*6)-E15</f>
        <v>331585.56299999997</v>
      </c>
      <c r="G15" s="120">
        <f>(D15*0.05)</f>
        <v>2614.7739999999999</v>
      </c>
      <c r="H15" s="117">
        <f>(((C15*0.25)/12)*6)-G15</f>
        <v>148619.74724999999</v>
      </c>
      <c r="I15" s="121">
        <f>-D15*0.2</f>
        <v>-10459.096</v>
      </c>
      <c r="J15" s="122">
        <f>(((C15*0.2)/12)*6)+I15</f>
        <v>110528.52099999999</v>
      </c>
      <c r="K15" s="115">
        <f t="shared" si="4"/>
        <v>7844.3219999999992</v>
      </c>
      <c r="L15" s="117">
        <f>(((C15*0.25)/12)*6)-K15</f>
        <v>143390.19925000001</v>
      </c>
      <c r="M15" s="123"/>
      <c r="N15" s="34"/>
      <c r="O15" s="136"/>
      <c r="P15" s="33"/>
      <c r="Q15" s="33"/>
      <c r="R15" s="33"/>
      <c r="S15" s="33"/>
      <c r="T15" s="33"/>
      <c r="U15" s="33"/>
      <c r="V15" s="33"/>
      <c r="W15" s="33"/>
      <c r="X15" s="33"/>
    </row>
    <row r="16" spans="1:24" ht="12.75" x14ac:dyDescent="0.2">
      <c r="A16" s="7" t="s">
        <v>1152</v>
      </c>
      <c r="B16" s="119" t="s">
        <v>129</v>
      </c>
      <c r="C16" s="663">
        <v>36531088.439999998</v>
      </c>
      <c r="D16" s="835">
        <f>12704145.98+3176396.01</f>
        <v>15880541.99</v>
      </c>
      <c r="E16" s="659">
        <f t="shared" si="3"/>
        <v>9528325.1940000001</v>
      </c>
      <c r="F16" s="117">
        <f>(((C16*0.6)/12)*6)-E16</f>
        <v>1431001.3379999995</v>
      </c>
      <c r="G16" s="124">
        <f>(D16*0.05)</f>
        <v>794027.09950000001</v>
      </c>
      <c r="H16" s="117">
        <f>(((C16*0.25)/12)*6)-G16</f>
        <v>3772358.9554999997</v>
      </c>
      <c r="I16" s="125">
        <f>-D16*0.2</f>
        <v>-3176108.398</v>
      </c>
      <c r="J16" s="126">
        <f>(((C16*0.2)/12)*6)+I16</f>
        <v>477000.44600000046</v>
      </c>
      <c r="K16" s="115">
        <f t="shared" si="4"/>
        <v>2382081.2985</v>
      </c>
      <c r="L16" s="117">
        <f>(((C16*0.25)/12)*6)-K16</f>
        <v>2184304.7564999997</v>
      </c>
      <c r="M16" s="123"/>
      <c r="N16" s="34"/>
      <c r="O16" s="136"/>
      <c r="P16" s="33"/>
      <c r="Q16" s="33"/>
      <c r="R16" s="33"/>
      <c r="S16" s="33"/>
      <c r="T16" s="33"/>
      <c r="U16" s="33"/>
      <c r="V16" s="33"/>
      <c r="W16" s="33"/>
      <c r="X16" s="33"/>
    </row>
    <row r="17" spans="1:24" ht="12.75" x14ac:dyDescent="0.2">
      <c r="A17" s="7" t="s">
        <v>1153</v>
      </c>
      <c r="B17" s="119" t="s">
        <v>130</v>
      </c>
      <c r="C17" s="663">
        <v>6998143.4400000004</v>
      </c>
      <c r="D17" s="663">
        <f>2591762.01+647940.64</f>
        <v>3239702.65</v>
      </c>
      <c r="E17" s="121">
        <f t="shared" si="3"/>
        <v>1943821.5899999999</v>
      </c>
      <c r="F17" s="117">
        <f>(((C17*0.6)/12)*6)-E17</f>
        <v>155621.44200000027</v>
      </c>
      <c r="G17" s="120">
        <f>(D17*0.05)</f>
        <v>161985.13250000001</v>
      </c>
      <c r="H17" s="117">
        <f>(((C17*0.25)/12)*6)-G17</f>
        <v>712782.79749999987</v>
      </c>
      <c r="I17" s="121">
        <f>-D17*0.2</f>
        <v>-647940.53</v>
      </c>
      <c r="J17" s="122">
        <f>(((C17*0.2)/12)*6)+I17</f>
        <v>51873.814000000013</v>
      </c>
      <c r="K17" s="115">
        <f t="shared" si="4"/>
        <v>485955.39749999996</v>
      </c>
      <c r="L17" s="117">
        <f>(((C17*0.25)/12)*6)-K17</f>
        <v>388812.53249999997</v>
      </c>
      <c r="M17" s="123"/>
      <c r="N17" s="34"/>
      <c r="O17" s="136"/>
      <c r="P17" s="33"/>
      <c r="Q17" s="33"/>
      <c r="R17" s="33"/>
      <c r="S17" s="33"/>
      <c r="T17" s="33"/>
      <c r="U17" s="33"/>
      <c r="V17" s="33"/>
      <c r="W17" s="33"/>
      <c r="X17" s="33"/>
    </row>
    <row r="18" spans="1:24" ht="12.75" x14ac:dyDescent="0.2">
      <c r="A18" s="7" t="s">
        <v>1144</v>
      </c>
      <c r="B18" s="119" t="s">
        <v>131</v>
      </c>
      <c r="C18" s="663">
        <v>486327.09</v>
      </c>
      <c r="D18" s="663">
        <f>125420.34+31380.11</f>
        <v>156800.45000000001</v>
      </c>
      <c r="E18" s="121">
        <f t="shared" si="3"/>
        <v>94080.27</v>
      </c>
      <c r="F18" s="117">
        <f>(((C18*0.6)/12)*6)-E18</f>
        <v>51817.857000000004</v>
      </c>
      <c r="G18" s="120">
        <f>(D18*0.05)</f>
        <v>7840.0225000000009</v>
      </c>
      <c r="H18" s="117">
        <f>(((C18*0.25)/12)*6)-G18</f>
        <v>52950.863749999997</v>
      </c>
      <c r="I18" s="121">
        <f>-D18*0.2</f>
        <v>-31360.090000000004</v>
      </c>
      <c r="J18" s="122">
        <f>(((C18*0.2)/12)*6)+I18</f>
        <v>17272.618999999999</v>
      </c>
      <c r="K18" s="115">
        <f t="shared" si="4"/>
        <v>23520.067500000001</v>
      </c>
      <c r="L18" s="117">
        <f>(((C18*0.25)/12)*6)-K18</f>
        <v>37270.818749999991</v>
      </c>
      <c r="M18" s="123"/>
      <c r="N18" s="34"/>
      <c r="O18" s="136"/>
      <c r="P18" s="33"/>
      <c r="Q18" s="33"/>
      <c r="R18" s="33"/>
      <c r="S18" s="33"/>
      <c r="T18" s="33"/>
      <c r="U18" s="33"/>
      <c r="V18" s="33"/>
      <c r="W18" s="33"/>
      <c r="X18" s="33"/>
    </row>
    <row r="19" spans="1:24" ht="12.75" x14ac:dyDescent="0.2">
      <c r="A19" s="6" t="s">
        <v>1145</v>
      </c>
      <c r="B19" s="655" t="s">
        <v>132</v>
      </c>
      <c r="C19" s="665">
        <v>36032673.990000002</v>
      </c>
      <c r="D19" s="330">
        <f>13831746.43</f>
        <v>13831746.43</v>
      </c>
      <c r="E19" s="660"/>
      <c r="F19" s="111"/>
      <c r="G19" s="111"/>
      <c r="H19" s="111"/>
      <c r="I19" s="117">
        <f>-SUM(I12+SUM(I15:I18))-7680724.57</f>
        <v>-307.5339999999851</v>
      </c>
      <c r="J19" s="116"/>
      <c r="K19" s="127"/>
      <c r="L19" s="109"/>
      <c r="M19" s="123"/>
      <c r="N19" s="34"/>
      <c r="O19" s="136"/>
    </row>
    <row r="20" spans="1:24" x14ac:dyDescent="0.2">
      <c r="A20" s="652"/>
      <c r="B20" s="128" t="s">
        <v>4</v>
      </c>
      <c r="C20" s="656">
        <f>SUM(C8:C19)</f>
        <v>139670236.77000001</v>
      </c>
      <c r="D20" s="661">
        <f>SUM(D8:D19)</f>
        <v>62855619.579999998</v>
      </c>
      <c r="E20" s="55">
        <f t="shared" ref="E20:L20" si="8">SUM(E8:E19)</f>
        <v>29414323.890000001</v>
      </c>
      <c r="F20" s="55">
        <f t="shared" si="8"/>
        <v>1676944.9440000008</v>
      </c>
      <c r="G20" s="55">
        <f t="shared" si="8"/>
        <v>4575551.2515000002</v>
      </c>
      <c r="H20" s="55">
        <f t="shared" si="8"/>
        <v>8379144.095999999</v>
      </c>
      <c r="I20" s="129">
        <f>SUM(I8:I19)</f>
        <v>-7680724.5700000003</v>
      </c>
      <c r="J20" s="129">
        <f>SUM(J8:J19)</f>
        <v>568417.84200000018</v>
      </c>
      <c r="K20" s="130">
        <f t="shared" si="8"/>
        <v>7353580.9725000001</v>
      </c>
      <c r="L20" s="55">
        <f t="shared" si="8"/>
        <v>5601114.3749999991</v>
      </c>
      <c r="N20" s="34"/>
      <c r="O20" s="33"/>
      <c r="P20" s="33"/>
      <c r="Q20" s="33"/>
      <c r="R20" s="33"/>
      <c r="S20" s="33"/>
      <c r="T20" s="33"/>
      <c r="U20" s="33"/>
      <c r="V20" s="33"/>
      <c r="W20" s="33"/>
      <c r="X20" s="33"/>
    </row>
    <row r="21" spans="1:24" x14ac:dyDescent="0.2">
      <c r="C21" s="56" t="s">
        <v>133</v>
      </c>
      <c r="D21" s="131">
        <f>D20/C20</f>
        <v>0.4500287322023131</v>
      </c>
      <c r="F21" s="132" t="s">
        <v>134</v>
      </c>
      <c r="G21" s="42" t="s">
        <v>135</v>
      </c>
      <c r="I21" s="41" t="s">
        <v>136</v>
      </c>
      <c r="J21" s="42" t="s">
        <v>137</v>
      </c>
      <c r="K21" s="42" t="s">
        <v>138</v>
      </c>
      <c r="L21" s="42" t="s">
        <v>102</v>
      </c>
      <c r="N21" s="34"/>
      <c r="O21" s="33"/>
      <c r="P21" s="33"/>
      <c r="Q21" s="33"/>
      <c r="R21" s="33"/>
      <c r="S21" s="33"/>
      <c r="T21" s="33"/>
      <c r="U21" s="33"/>
      <c r="V21" s="33"/>
      <c r="W21" s="33"/>
      <c r="X21" s="33"/>
    </row>
    <row r="22" spans="1:24" x14ac:dyDescent="0.2">
      <c r="B22" s="123"/>
      <c r="C22" s="133" t="s">
        <v>139</v>
      </c>
      <c r="D22" s="131">
        <f>C26/D19</f>
        <v>1.070157887502569</v>
      </c>
      <c r="F22" s="132" t="s">
        <v>140</v>
      </c>
      <c r="G22" s="26">
        <f>I32+J32</f>
        <v>24682585.32</v>
      </c>
      <c r="H22" s="134"/>
      <c r="I22" s="41" t="s">
        <v>141</v>
      </c>
      <c r="J22" s="135">
        <f>D26</f>
        <v>13430033.26</v>
      </c>
      <c r="K22" s="132"/>
      <c r="L22" s="132">
        <f>SUM(J22:K22)</f>
        <v>13430033.26</v>
      </c>
      <c r="N22" s="33"/>
      <c r="O22" s="33"/>
      <c r="P22" s="33"/>
      <c r="Q22" s="33"/>
      <c r="R22" s="33"/>
      <c r="S22" s="33"/>
      <c r="T22" s="33"/>
      <c r="U22" s="33"/>
      <c r="V22" s="33"/>
      <c r="W22" s="33"/>
      <c r="X22" s="33"/>
    </row>
    <row r="23" spans="1:24" x14ac:dyDescent="0.2">
      <c r="A23" s="136"/>
      <c r="B23" s="35"/>
      <c r="D23" s="123"/>
      <c r="F23" s="137" t="s">
        <v>142</v>
      </c>
      <c r="G23" s="26">
        <f>D19+I20</f>
        <v>6151021.8599999994</v>
      </c>
      <c r="H23" s="136"/>
      <c r="I23" s="138" t="s">
        <v>145</v>
      </c>
      <c r="J23" s="132"/>
      <c r="K23" s="132"/>
      <c r="L23" s="132">
        <f>SUM(J23:K23)</f>
        <v>0</v>
      </c>
      <c r="N23" s="33"/>
    </row>
    <row r="24" spans="1:24" x14ac:dyDescent="0.2">
      <c r="A24" s="138" t="s">
        <v>141</v>
      </c>
      <c r="B24" s="42" t="s">
        <v>1155</v>
      </c>
      <c r="C24" s="42" t="s">
        <v>1154</v>
      </c>
      <c r="D24" s="42" t="s">
        <v>1156</v>
      </c>
      <c r="E24" s="139"/>
      <c r="F24" s="140" t="s">
        <v>144</v>
      </c>
      <c r="G24" s="132">
        <f>B33</f>
        <v>511.51</v>
      </c>
      <c r="H24" s="136"/>
      <c r="I24" s="138" t="s">
        <v>148</v>
      </c>
      <c r="J24" s="132">
        <f>147345.89</f>
        <v>147345.89000000001</v>
      </c>
      <c r="K24" s="41"/>
      <c r="L24" s="132">
        <f>SUM(J24:K24)</f>
        <v>147345.89000000001</v>
      </c>
      <c r="N24" s="35"/>
      <c r="O24" s="33"/>
      <c r="P24" s="33"/>
      <c r="Q24" s="33"/>
      <c r="R24" s="33"/>
      <c r="S24" s="33"/>
      <c r="T24" s="33"/>
      <c r="U24" s="33"/>
      <c r="V24" s="33"/>
      <c r="W24" s="33"/>
      <c r="X24" s="33"/>
    </row>
    <row r="25" spans="1:24" x14ac:dyDescent="0.2">
      <c r="A25" s="138" t="s">
        <v>146</v>
      </c>
      <c r="B25" s="141">
        <v>9880432.7799999993</v>
      </c>
      <c r="C25" s="132">
        <v>14803232.439999999</v>
      </c>
      <c r="D25" s="26">
        <v>16717141.6</v>
      </c>
      <c r="E25" s="142"/>
      <c r="F25" s="143" t="s">
        <v>147</v>
      </c>
      <c r="G25" s="132">
        <f>C33</f>
        <v>72917.62</v>
      </c>
      <c r="I25" s="145" t="s">
        <v>150</v>
      </c>
      <c r="J25" s="132">
        <f>D33</f>
        <v>2913.47</v>
      </c>
      <c r="K25" s="132"/>
      <c r="L25" s="132">
        <f>SUM(J25:K25)</f>
        <v>2913.47</v>
      </c>
      <c r="N25" s="338"/>
      <c r="O25" s="90"/>
      <c r="P25" s="123"/>
      <c r="Q25" s="33"/>
      <c r="R25" s="33"/>
      <c r="S25" s="33"/>
      <c r="T25" s="33"/>
      <c r="U25" s="33"/>
      <c r="V25" s="33"/>
      <c r="W25" s="33"/>
      <c r="X25" s="33"/>
    </row>
    <row r="26" spans="1:24" x14ac:dyDescent="0.2">
      <c r="A26" s="138" t="s">
        <v>149</v>
      </c>
      <c r="B26" s="26">
        <v>9755012.9499999993</v>
      </c>
      <c r="C26" s="54">
        <v>14802152.539999999</v>
      </c>
      <c r="D26" s="135">
        <v>13430033.26</v>
      </c>
      <c r="F26" s="145" t="s">
        <v>427</v>
      </c>
      <c r="G26" s="144">
        <f>SUM(I33:J34)</f>
        <v>261413.66999999998</v>
      </c>
      <c r="I26" s="42" t="s">
        <v>153</v>
      </c>
      <c r="J26" s="144">
        <f>J22-SUM(J23:J25)</f>
        <v>13279773.9</v>
      </c>
      <c r="K26" s="148">
        <f>K22-SUM(K23:K25)</f>
        <v>0</v>
      </c>
      <c r="L26" s="148">
        <f>L22-SUM(L23:L25)</f>
        <v>13279773.9</v>
      </c>
      <c r="M26" s="324"/>
      <c r="N26" s="34"/>
      <c r="O26" s="33"/>
      <c r="P26" s="34"/>
      <c r="Q26" s="33"/>
      <c r="R26" s="33"/>
      <c r="S26" s="33"/>
      <c r="T26" s="33"/>
      <c r="U26" s="33"/>
      <c r="V26" s="33"/>
      <c r="W26" s="33"/>
      <c r="X26" s="33"/>
    </row>
    <row r="27" spans="1:24" x14ac:dyDescent="0.2">
      <c r="A27" s="138" t="s">
        <v>151</v>
      </c>
      <c r="B27" s="137">
        <v>7535555.7400000002</v>
      </c>
      <c r="C27" s="132">
        <v>13479439.51</v>
      </c>
      <c r="D27" s="132">
        <v>10382165.609999999</v>
      </c>
      <c r="E27" s="146"/>
      <c r="F27" s="137" t="s">
        <v>152</v>
      </c>
      <c r="G27" s="144">
        <f>G22-SUM(G23:G26)</f>
        <v>18196720.66</v>
      </c>
      <c r="H27" s="147"/>
      <c r="I27" s="138" t="s">
        <v>156</v>
      </c>
      <c r="J27" s="54">
        <f>(J26/(SUM(D8:D18))*100)</f>
        <v>27.088381734685523</v>
      </c>
      <c r="K27" s="54">
        <f>(K26/(SUM(D8:D18)))*100</f>
        <v>0</v>
      </c>
      <c r="L27" s="153">
        <f>(L26/(SUM(D8:D18)))*100</f>
        <v>27.088381734685523</v>
      </c>
      <c r="N27" s="33"/>
      <c r="P27" s="338"/>
      <c r="Q27" s="34"/>
      <c r="R27" s="33"/>
      <c r="S27" s="33"/>
      <c r="T27" s="33"/>
      <c r="U27" s="33"/>
      <c r="V27" s="33"/>
      <c r="W27" s="33"/>
      <c r="X27" s="33"/>
    </row>
    <row r="28" spans="1:24" x14ac:dyDescent="0.2">
      <c r="A28" s="132" t="s">
        <v>154</v>
      </c>
      <c r="B28" s="149">
        <f>B25/SUM(D8:D18)</f>
        <v>0.20154329197467744</v>
      </c>
      <c r="C28" s="150">
        <f>C25/D19</f>
        <v>1.0702359615191412</v>
      </c>
      <c r="D28" s="150">
        <f>D25/SUM(D8:D18)</f>
        <v>0.34100001745782094</v>
      </c>
      <c r="E28" s="142"/>
      <c r="F28" s="151" t="s">
        <v>155</v>
      </c>
      <c r="G28" s="152">
        <f>G27/(SUM(D8:D18))</f>
        <v>0.37118080418335941</v>
      </c>
      <c r="J28" s="35"/>
      <c r="L28" s="106"/>
      <c r="N28" s="33"/>
      <c r="O28" s="33"/>
      <c r="P28" s="338"/>
      <c r="Q28" s="34"/>
      <c r="R28" s="33"/>
      <c r="S28" s="33"/>
      <c r="T28" s="33"/>
      <c r="U28" s="33"/>
      <c r="V28" s="33"/>
      <c r="W28" s="33"/>
      <c r="X28" s="33"/>
    </row>
    <row r="29" spans="1:24" x14ac:dyDescent="0.2">
      <c r="A29" s="45" t="s">
        <v>157</v>
      </c>
      <c r="B29" s="154">
        <f>(B26-B33)/SUM(D8:D18)</f>
        <v>0.19897451615366707</v>
      </c>
      <c r="C29" s="154">
        <f>(C25-C33)/D19</f>
        <v>1.0649642035116458</v>
      </c>
      <c r="D29" s="154">
        <f>(D26-D33)/SUM(D8:D18)</f>
        <v>0.27388941197927358</v>
      </c>
      <c r="E29" s="110"/>
      <c r="F29" s="145" t="s">
        <v>158</v>
      </c>
      <c r="G29" s="144">
        <f>G27-(SUM(D8:D18)*0.25)</f>
        <v>5940752.3725000005</v>
      </c>
      <c r="H29" s="155" t="str">
        <f>IF(G29&gt;0," = A MAIOR","= A MENOR")</f>
        <v xml:space="preserve"> = A MAIOR</v>
      </c>
      <c r="J29" s="123"/>
      <c r="N29" s="33"/>
      <c r="O29" s="33"/>
      <c r="P29" s="338"/>
      <c r="Q29" s="338"/>
      <c r="R29" s="33"/>
      <c r="S29" s="33"/>
      <c r="T29" s="33"/>
      <c r="U29" s="33"/>
      <c r="V29" s="33"/>
      <c r="W29" s="33"/>
      <c r="X29" s="33"/>
    </row>
    <row r="30" spans="1:24" x14ac:dyDescent="0.2">
      <c r="A30" s="138" t="s">
        <v>159</v>
      </c>
      <c r="B30" s="150">
        <f>B27/SUM(D8:D18)</f>
        <v>0.1537119622707738</v>
      </c>
      <c r="C30" s="150">
        <f>C26/D19</f>
        <v>1.070157887502569</v>
      </c>
      <c r="D30" s="150">
        <f>D26/SUM(D8:D18)</f>
        <v>0.27394884159616834</v>
      </c>
      <c r="E30" s="41" t="s">
        <v>160</v>
      </c>
      <c r="G30" s="90"/>
      <c r="N30" s="33"/>
      <c r="O30" s="33"/>
      <c r="P30" s="136"/>
      <c r="Q30" s="136"/>
      <c r="R30" s="33"/>
      <c r="S30" s="33"/>
      <c r="T30" s="33"/>
      <c r="U30" s="33"/>
      <c r="V30" s="33"/>
      <c r="W30" s="33"/>
      <c r="X30" s="33"/>
    </row>
    <row r="31" spans="1:24" x14ac:dyDescent="0.2">
      <c r="A31" s="138" t="s">
        <v>161</v>
      </c>
      <c r="B31" s="391">
        <f t="shared" ref="B31:D32" si="9">B25-B26</f>
        <v>125419.83000000007</v>
      </c>
      <c r="C31" s="148">
        <f t="shared" si="9"/>
        <v>1079.9000000003725</v>
      </c>
      <c r="D31" s="148">
        <f t="shared" si="9"/>
        <v>3287108.34</v>
      </c>
      <c r="E31" s="132">
        <f>SUM(B31:D31)</f>
        <v>3413608.0700000003</v>
      </c>
      <c r="G31" s="156"/>
      <c r="H31" s="41" t="s">
        <v>136</v>
      </c>
      <c r="I31" s="42" t="s">
        <v>143</v>
      </c>
      <c r="J31" s="42" t="s">
        <v>132</v>
      </c>
      <c r="K31" s="42" t="s">
        <v>138</v>
      </c>
      <c r="L31" s="42" t="s">
        <v>102</v>
      </c>
      <c r="N31" s="33"/>
      <c r="O31" s="33"/>
      <c r="P31" s="34"/>
      <c r="Q31" s="33"/>
      <c r="R31" s="33"/>
      <c r="S31" s="33"/>
      <c r="T31" s="33"/>
      <c r="U31" s="33"/>
      <c r="V31" s="33"/>
      <c r="W31" s="33"/>
      <c r="X31" s="33"/>
    </row>
    <row r="32" spans="1:24" x14ac:dyDescent="0.2">
      <c r="A32" s="138" t="s">
        <v>162</v>
      </c>
      <c r="B32" s="144">
        <f t="shared" si="9"/>
        <v>2219457.209999999</v>
      </c>
      <c r="C32" s="148">
        <f t="shared" si="9"/>
        <v>1322713.0299999993</v>
      </c>
      <c r="D32" s="148">
        <f t="shared" si="9"/>
        <v>3047867.6500000004</v>
      </c>
      <c r="E32" s="132">
        <f>SUM(B32:D32)</f>
        <v>6590037.8899999987</v>
      </c>
      <c r="G32" s="114"/>
      <c r="H32" s="41" t="s">
        <v>141</v>
      </c>
      <c r="I32" s="135">
        <f>B25</f>
        <v>9880432.7799999993</v>
      </c>
      <c r="J32" s="26">
        <f>C26</f>
        <v>14802152.539999999</v>
      </c>
      <c r="K32" s="157">
        <f>438183.7</f>
        <v>438183.7</v>
      </c>
      <c r="L32" s="158">
        <f>SUM(I32:K32)</f>
        <v>25120769.02</v>
      </c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x14ac:dyDescent="0.2">
      <c r="A33" s="138" t="s">
        <v>163</v>
      </c>
      <c r="B33" s="132">
        <f>511.51</f>
        <v>511.51</v>
      </c>
      <c r="C33" s="132">
        <f>72917.62</f>
        <v>72917.62</v>
      </c>
      <c r="D33" s="132">
        <f>2913.47</f>
        <v>2913.47</v>
      </c>
      <c r="E33" s="132">
        <f>SUM(B33:D33)</f>
        <v>76342.599999999991</v>
      </c>
      <c r="F33" s="134"/>
      <c r="G33" s="114"/>
      <c r="H33" s="138" t="s">
        <v>145</v>
      </c>
      <c r="I33" s="132"/>
      <c r="J33" s="159"/>
      <c r="K33" s="132"/>
      <c r="L33" s="158">
        <f>SUM(I33:K33)</f>
        <v>0</v>
      </c>
      <c r="N33" s="33"/>
      <c r="O33" s="33"/>
      <c r="P33" s="34"/>
      <c r="Q33" s="33"/>
      <c r="R33" s="33"/>
      <c r="S33" s="33"/>
      <c r="T33" s="33"/>
      <c r="U33" s="33"/>
      <c r="V33" s="33"/>
      <c r="W33" s="33"/>
      <c r="X33" s="33"/>
    </row>
    <row r="34" spans="1:24" x14ac:dyDescent="0.2">
      <c r="A34" s="31" t="s">
        <v>370</v>
      </c>
      <c r="E34" s="160">
        <f>(J32-(J33+J34+J36))/D19</f>
        <v>1.0532210385525409</v>
      </c>
      <c r="F34" s="134"/>
      <c r="G34" s="114"/>
      <c r="H34" s="138" t="s">
        <v>148</v>
      </c>
      <c r="I34" s="132">
        <f>100065.09</f>
        <v>100065.09</v>
      </c>
      <c r="J34" s="132">
        <f>161348.58</f>
        <v>161348.57999999999</v>
      </c>
      <c r="K34" s="132"/>
      <c r="L34" s="158">
        <f>SUM(I34:K34)</f>
        <v>261413.66999999998</v>
      </c>
      <c r="N34" s="34"/>
      <c r="O34" s="33"/>
      <c r="P34" s="34"/>
      <c r="Q34" s="33"/>
      <c r="R34" s="33"/>
      <c r="S34" s="33"/>
      <c r="T34" s="33"/>
      <c r="U34" s="33"/>
      <c r="V34" s="33"/>
      <c r="W34" s="33"/>
      <c r="X34" s="33"/>
    </row>
    <row r="35" spans="1:24" x14ac:dyDescent="0.2">
      <c r="A35" s="31" t="s">
        <v>376</v>
      </c>
      <c r="B35" s="134"/>
      <c r="C35" s="134"/>
      <c r="D35" s="134"/>
      <c r="E35" s="134"/>
      <c r="F35" s="134"/>
      <c r="G35" s="114"/>
      <c r="H35" s="138" t="s">
        <v>164</v>
      </c>
      <c r="I35" s="138"/>
      <c r="J35" s="26">
        <f>D19+I20</f>
        <v>6151021.8599999994</v>
      </c>
      <c r="K35" s="138"/>
      <c r="L35" s="158">
        <f>SUM(I35:K35)</f>
        <v>6151021.8599999994</v>
      </c>
      <c r="N35" s="33"/>
      <c r="O35" s="33"/>
      <c r="P35" s="338"/>
      <c r="Q35" s="34"/>
      <c r="R35" s="33"/>
      <c r="S35" s="33"/>
      <c r="T35" s="33"/>
      <c r="U35" s="33"/>
      <c r="V35" s="33"/>
      <c r="W35" s="33"/>
      <c r="X35" s="33"/>
    </row>
    <row r="36" spans="1:24" x14ac:dyDescent="0.2">
      <c r="A36" s="31" t="s">
        <v>1847</v>
      </c>
      <c r="B36" s="134"/>
      <c r="C36" s="134"/>
      <c r="D36" s="134"/>
      <c r="E36" s="134"/>
      <c r="F36" s="134"/>
      <c r="H36" s="145" t="s">
        <v>150</v>
      </c>
      <c r="I36" s="132">
        <f>B33</f>
        <v>511.51</v>
      </c>
      <c r="J36" s="132">
        <f>C33</f>
        <v>72917.62</v>
      </c>
      <c r="K36" s="161"/>
      <c r="L36" s="158">
        <f>SUM(I36:K36)</f>
        <v>73429.12999999999</v>
      </c>
      <c r="N36" s="33"/>
      <c r="O36" s="33"/>
      <c r="P36" s="338"/>
      <c r="Q36" s="34"/>
      <c r="R36" s="33"/>
      <c r="S36" s="33"/>
      <c r="T36" s="33"/>
      <c r="U36" s="33"/>
      <c r="V36" s="33"/>
      <c r="W36" s="33"/>
      <c r="X36" s="33"/>
    </row>
    <row r="37" spans="1:24" x14ac:dyDescent="0.2">
      <c r="H37" s="42" t="s">
        <v>153</v>
      </c>
      <c r="I37" s="553">
        <f>I32-SUM(I33:I36)</f>
        <v>9779856.1799999997</v>
      </c>
      <c r="J37" s="162">
        <f>J32-SUM(J33:J36)</f>
        <v>8416864.4800000004</v>
      </c>
      <c r="K37" s="158">
        <f>K32-SUM(K33:K36)</f>
        <v>438183.7</v>
      </c>
      <c r="L37" s="148">
        <f>L32-SUM(L33:L36)</f>
        <v>18634904.359999999</v>
      </c>
      <c r="N37" s="33"/>
      <c r="O37" s="33"/>
      <c r="P37" s="338"/>
      <c r="Q37" s="34"/>
      <c r="R37" s="33"/>
      <c r="S37" s="33"/>
      <c r="T37" s="33"/>
      <c r="U37" s="33"/>
      <c r="V37" s="33"/>
      <c r="W37" s="33"/>
      <c r="X37" s="33"/>
    </row>
    <row r="38" spans="1:24" x14ac:dyDescent="0.2">
      <c r="F38" s="324"/>
      <c r="H38" s="41" t="s">
        <v>165</v>
      </c>
      <c r="I38" s="159">
        <f>(I37/(SUM(D8:D18)))*100</f>
        <v>19.949170784764892</v>
      </c>
      <c r="J38" s="132">
        <f>(J37/(SUM(D8:D18)))*100</f>
        <v>17.168909633571047</v>
      </c>
      <c r="K38" s="132">
        <f>(K37/(SUM(D8:D18))*100)</f>
        <v>0.89381697496498203</v>
      </c>
      <c r="L38" s="54">
        <f>(L37/(SUM(D8:D18)))*100</f>
        <v>38.01189739330092</v>
      </c>
      <c r="N38" s="33"/>
      <c r="O38" s="33"/>
      <c r="P38" s="136"/>
      <c r="Q38" s="33"/>
      <c r="R38" s="33"/>
      <c r="S38" s="33"/>
      <c r="U38" s="33"/>
      <c r="V38" s="33"/>
    </row>
    <row r="39" spans="1:24" x14ac:dyDescent="0.2">
      <c r="H39" s="139"/>
      <c r="I39" s="163">
        <f>I38/L38</f>
        <v>0.52481386494220783</v>
      </c>
      <c r="J39" s="163">
        <f>J38/L38</f>
        <v>0.45167199774133965</v>
      </c>
      <c r="K39" s="163">
        <f>K38/L38</f>
        <v>2.3514137316452535E-2</v>
      </c>
      <c r="L39" s="164"/>
      <c r="P39" s="34"/>
      <c r="Q39" s="33"/>
      <c r="R39" s="33"/>
      <c r="S39" s="33"/>
      <c r="U39" s="33"/>
      <c r="V39" s="33"/>
    </row>
    <row r="40" spans="1:24" x14ac:dyDescent="0.2">
      <c r="H40" s="139"/>
      <c r="I40" s="163"/>
      <c r="J40" s="163"/>
      <c r="K40" s="163"/>
      <c r="L40" s="164"/>
      <c r="P40" s="34"/>
      <c r="Q40" s="33"/>
      <c r="R40" s="33"/>
      <c r="S40" s="33"/>
      <c r="U40" s="33"/>
      <c r="V40" s="33"/>
    </row>
    <row r="41" spans="1:24" x14ac:dyDescent="0.2">
      <c r="H41" s="139"/>
      <c r="I41" s="165"/>
      <c r="K41" s="114"/>
      <c r="L41" s="164"/>
      <c r="N41" s="33"/>
      <c r="O41" s="33"/>
      <c r="P41" s="33"/>
      <c r="Q41" s="33"/>
      <c r="R41" s="33"/>
      <c r="S41" s="33"/>
      <c r="U41" s="33"/>
      <c r="V41" s="33"/>
    </row>
    <row r="42" spans="1:24" x14ac:dyDescent="0.2">
      <c r="A42" s="31" t="s">
        <v>23</v>
      </c>
      <c r="D42" s="31" t="s">
        <v>24</v>
      </c>
      <c r="G42" s="31" t="s">
        <v>25</v>
      </c>
      <c r="I42" s="315"/>
      <c r="J42" s="35"/>
      <c r="N42" s="33"/>
      <c r="O42" s="33"/>
      <c r="P42" s="33"/>
      <c r="Q42" s="33"/>
      <c r="R42" s="33"/>
      <c r="S42" s="33"/>
      <c r="U42" s="33"/>
      <c r="V42" s="33"/>
    </row>
    <row r="43" spans="1:24" x14ac:dyDescent="0.2">
      <c r="A43" s="31" t="s">
        <v>26</v>
      </c>
      <c r="D43" s="31" t="s">
        <v>27</v>
      </c>
      <c r="G43" s="31" t="s">
        <v>28</v>
      </c>
      <c r="L43" s="123"/>
      <c r="N43" s="33"/>
      <c r="O43" s="33"/>
      <c r="P43" s="33"/>
      <c r="Q43" s="33"/>
      <c r="R43" s="33"/>
      <c r="S43" s="33"/>
      <c r="U43" s="33"/>
      <c r="V43" s="33"/>
    </row>
    <row r="44" spans="1:24" x14ac:dyDescent="0.2">
      <c r="J44" s="136"/>
      <c r="P44" s="33"/>
      <c r="Q44" s="33"/>
      <c r="R44" s="33"/>
      <c r="S44" s="33"/>
      <c r="U44" s="33"/>
      <c r="V44" s="33"/>
    </row>
    <row r="45" spans="1:24" x14ac:dyDescent="0.2">
      <c r="B45" s="33"/>
      <c r="N45" s="33"/>
      <c r="O45" s="33"/>
      <c r="P45" s="33"/>
      <c r="Q45" s="33"/>
      <c r="R45" s="33"/>
      <c r="S45" s="33"/>
      <c r="U45" s="33"/>
      <c r="V45" s="33"/>
    </row>
    <row r="46" spans="1:24" s="33" customFormat="1" x14ac:dyDescent="0.2">
      <c r="A46" s="31"/>
      <c r="C46" s="31"/>
      <c r="D46" s="31"/>
      <c r="E46" s="31"/>
      <c r="F46" s="31"/>
      <c r="G46" s="31"/>
      <c r="H46" s="31"/>
      <c r="I46" s="31"/>
      <c r="J46" s="31"/>
      <c r="K46" s="31"/>
      <c r="L46" s="31"/>
      <c r="M46" s="31"/>
      <c r="N46" s="31"/>
    </row>
    <row r="47" spans="1:24" s="58" customFormat="1" x14ac:dyDescent="0.2">
      <c r="A47" s="31"/>
      <c r="B47" s="33"/>
      <c r="C47" s="31"/>
      <c r="D47" s="31"/>
      <c r="E47" s="31"/>
      <c r="F47" s="31"/>
      <c r="G47" s="31"/>
      <c r="H47" s="31"/>
      <c r="I47" s="31"/>
      <c r="J47" s="31"/>
      <c r="K47" s="31"/>
      <c r="L47" s="31"/>
      <c r="M47" s="31"/>
      <c r="N47" s="31"/>
      <c r="O47" s="33"/>
      <c r="P47" s="33"/>
      <c r="Q47" s="33"/>
      <c r="R47" s="33"/>
      <c r="S47" s="33"/>
      <c r="U47" s="33"/>
      <c r="V47" s="33"/>
    </row>
    <row r="48" spans="1:24" s="58" customFormat="1" x14ac:dyDescent="0.2">
      <c r="A48" s="31"/>
      <c r="B48" s="33"/>
      <c r="C48" s="31"/>
      <c r="D48" s="31"/>
      <c r="E48" s="31"/>
      <c r="F48" s="31"/>
      <c r="G48" s="31"/>
      <c r="H48" s="31"/>
      <c r="I48" s="31"/>
      <c r="J48" s="31"/>
      <c r="K48" s="31"/>
      <c r="L48" s="31"/>
      <c r="M48" s="31"/>
      <c r="N48" s="31"/>
      <c r="O48" s="31"/>
      <c r="P48" s="33"/>
      <c r="Q48" s="33"/>
      <c r="R48" s="33"/>
      <c r="S48" s="33"/>
      <c r="U48" s="33"/>
      <c r="V48" s="33"/>
    </row>
    <row r="49" spans="1:22" x14ac:dyDescent="0.2">
      <c r="B49" s="33"/>
      <c r="O49" s="33"/>
      <c r="P49" s="33"/>
      <c r="Q49" s="33"/>
      <c r="R49" s="33"/>
      <c r="S49" s="33"/>
      <c r="U49" s="33"/>
      <c r="V49" s="33"/>
    </row>
    <row r="50" spans="1:22" x14ac:dyDescent="0.2">
      <c r="B50" s="33"/>
      <c r="O50" s="33"/>
      <c r="P50" s="33"/>
      <c r="Q50" s="33"/>
      <c r="R50" s="33"/>
      <c r="S50" s="33"/>
      <c r="U50" s="33"/>
      <c r="V50" s="33"/>
    </row>
    <row r="51" spans="1:22" x14ac:dyDescent="0.2">
      <c r="B51" s="33"/>
      <c r="O51" s="33"/>
      <c r="P51" s="33"/>
      <c r="Q51" s="33"/>
      <c r="R51" s="33"/>
      <c r="S51" s="33"/>
      <c r="U51" s="33"/>
      <c r="V51" s="33"/>
    </row>
    <row r="52" spans="1:22" x14ac:dyDescent="0.2">
      <c r="B52" s="33"/>
      <c r="P52" s="33"/>
      <c r="Q52" s="33"/>
      <c r="R52" s="33"/>
      <c r="S52" s="33"/>
      <c r="U52" s="33"/>
      <c r="V52" s="33"/>
    </row>
    <row r="53" spans="1:22" x14ac:dyDescent="0.2">
      <c r="B53" s="33"/>
    </row>
    <row r="54" spans="1:22" s="105" customFormat="1" x14ac:dyDescent="0.2">
      <c r="A54" s="31"/>
      <c r="B54" s="33"/>
      <c r="C54" s="31"/>
      <c r="D54" s="31"/>
      <c r="E54" s="31"/>
      <c r="F54" s="31"/>
      <c r="G54" s="31"/>
      <c r="H54" s="31"/>
      <c r="I54" s="31"/>
      <c r="J54" s="31"/>
      <c r="K54" s="31"/>
      <c r="L54" s="31"/>
      <c r="M54" s="31"/>
      <c r="N54" s="31"/>
    </row>
    <row r="55" spans="1:22" x14ac:dyDescent="0.2">
      <c r="B55" s="33"/>
    </row>
    <row r="56" spans="1:22" x14ac:dyDescent="0.2">
      <c r="B56" s="33"/>
    </row>
    <row r="57" spans="1:22" x14ac:dyDescent="0.2">
      <c r="B57" s="33"/>
    </row>
    <row r="58" spans="1:22" x14ac:dyDescent="0.2">
      <c r="B58" s="33"/>
      <c r="G58" s="33"/>
      <c r="H58" s="33"/>
    </row>
    <row r="59" spans="1:22" x14ac:dyDescent="0.2">
      <c r="B59" s="33"/>
    </row>
    <row r="60" spans="1:22" x14ac:dyDescent="0.2">
      <c r="B60" s="33"/>
      <c r="G60" s="33"/>
      <c r="H60" s="33"/>
    </row>
    <row r="61" spans="1:22" x14ac:dyDescent="0.2">
      <c r="B61" s="33"/>
    </row>
    <row r="62" spans="1:22" x14ac:dyDescent="0.2">
      <c r="B62" s="33"/>
      <c r="G62" s="33"/>
      <c r="H62" s="33"/>
    </row>
    <row r="63" spans="1:22" x14ac:dyDescent="0.2">
      <c r="B63" s="33"/>
    </row>
    <row r="64" spans="1:22" x14ac:dyDescent="0.2">
      <c r="B64" s="33"/>
      <c r="G64" s="33"/>
      <c r="H64" s="33"/>
    </row>
    <row r="65" spans="1:8" x14ac:dyDescent="0.2">
      <c r="B65" s="33"/>
    </row>
    <row r="66" spans="1:8" x14ac:dyDescent="0.2">
      <c r="A66" s="33"/>
      <c r="B66" s="33"/>
      <c r="G66" s="33"/>
      <c r="H66" s="33"/>
    </row>
    <row r="68" spans="1:8" x14ac:dyDescent="0.2">
      <c r="A68" s="33"/>
      <c r="B68" s="33"/>
      <c r="G68" s="33"/>
      <c r="H68" s="33"/>
    </row>
    <row r="70" spans="1:8" x14ac:dyDescent="0.2">
      <c r="A70" s="33"/>
      <c r="B70" s="33"/>
      <c r="G70" s="33"/>
      <c r="H70" s="33"/>
    </row>
    <row r="72" spans="1:8" x14ac:dyDescent="0.2">
      <c r="A72" s="33"/>
      <c r="B72" s="33"/>
      <c r="G72" s="33"/>
      <c r="H72" s="33"/>
    </row>
    <row r="74" spans="1:8" x14ac:dyDescent="0.2">
      <c r="A74" s="33"/>
      <c r="B74" s="33"/>
      <c r="G74" s="33"/>
      <c r="H74" s="33"/>
    </row>
    <row r="76" spans="1:8" x14ac:dyDescent="0.2">
      <c r="A76" s="33"/>
      <c r="B76" s="33"/>
      <c r="G76" s="33"/>
      <c r="H76" s="33"/>
    </row>
    <row r="78" spans="1:8" x14ac:dyDescent="0.2">
      <c r="A78" s="33"/>
      <c r="B78" s="33"/>
      <c r="G78" s="33"/>
      <c r="H78" s="33"/>
    </row>
    <row r="80" spans="1:8" x14ac:dyDescent="0.2">
      <c r="A80" s="33"/>
      <c r="B80" s="33"/>
      <c r="G80" s="33"/>
      <c r="H80" s="33"/>
    </row>
    <row r="82" spans="1:8" x14ac:dyDescent="0.2">
      <c r="A82" s="33"/>
      <c r="B82" s="33"/>
      <c r="G82" s="33"/>
      <c r="H82" s="33"/>
    </row>
    <row r="84" spans="1:8" x14ac:dyDescent="0.2">
      <c r="A84" s="33"/>
      <c r="B84" s="33"/>
      <c r="C84" s="33"/>
      <c r="D84" s="33"/>
      <c r="E84" s="33"/>
      <c r="F84" s="33"/>
      <c r="G84" s="33"/>
      <c r="H84" s="33"/>
    </row>
    <row r="86" spans="1:8" x14ac:dyDescent="0.2">
      <c r="A86" s="33"/>
      <c r="B86" s="33"/>
      <c r="C86" s="33"/>
      <c r="D86" s="33"/>
      <c r="E86" s="33"/>
      <c r="F86" s="33"/>
      <c r="G86" s="33"/>
      <c r="H86" s="33"/>
    </row>
  </sheetData>
  <mergeCells count="3">
    <mergeCell ref="E7:F7"/>
    <mergeCell ref="G7:H7"/>
    <mergeCell ref="I7:J7"/>
  </mergeCells>
  <pageMargins left="0.511811024" right="0.511811024" top="0.78740157499999996" bottom="0.78740157499999996" header="0.31496062000000002" footer="0.31496062000000002"/>
  <pageSetup paperSize="9" orientation="landscape" horizontalDpi="0" verticalDpi="0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Y103"/>
  <sheetViews>
    <sheetView topLeftCell="A13" zoomScale="172" zoomScaleNormal="172" workbookViewId="0">
      <selection activeCell="A52" sqref="A52"/>
    </sheetView>
  </sheetViews>
  <sheetFormatPr defaultRowHeight="8.25" x14ac:dyDescent="0.15"/>
  <cols>
    <col min="1" max="1" width="11" style="33" customWidth="1"/>
    <col min="2" max="2" width="9.42578125" style="33" customWidth="1"/>
    <col min="3" max="3" width="11.140625" style="33" customWidth="1"/>
    <col min="4" max="5" width="10.85546875" style="33" customWidth="1"/>
    <col min="6" max="6" width="10.85546875" style="33" bestFit="1" customWidth="1"/>
    <col min="7" max="7" width="11.28515625" style="33" bestFit="1" customWidth="1"/>
    <col min="8" max="8" width="9.140625" style="33" bestFit="1" customWidth="1"/>
    <col min="9" max="9" width="11" style="33" customWidth="1"/>
    <col min="10" max="10" width="10.85546875" style="33" customWidth="1"/>
    <col min="11" max="12" width="9.140625" style="33"/>
    <col min="13" max="13" width="10.140625" style="33" customWidth="1"/>
    <col min="14" max="16" width="10" style="33" bestFit="1" customWidth="1"/>
    <col min="17" max="256" width="9.140625" style="33"/>
    <col min="257" max="257" width="11" style="33" customWidth="1"/>
    <col min="258" max="258" width="8.42578125" style="33" customWidth="1"/>
    <col min="259" max="259" width="11.140625" style="33" customWidth="1"/>
    <col min="260" max="260" width="10.140625" style="33" customWidth="1"/>
    <col min="261" max="261" width="10.28515625" style="33" customWidth="1"/>
    <col min="262" max="262" width="10.85546875" style="33" bestFit="1" customWidth="1"/>
    <col min="263" max="263" width="11.28515625" style="33" bestFit="1" customWidth="1"/>
    <col min="264" max="264" width="9.140625" style="33" bestFit="1" customWidth="1"/>
    <col min="265" max="265" width="11" style="33" customWidth="1"/>
    <col min="266" max="266" width="10.28515625" style="33" customWidth="1"/>
    <col min="267" max="268" width="9.140625" style="33"/>
    <col min="269" max="269" width="10.140625" style="33" customWidth="1"/>
    <col min="270" max="272" width="10" style="33" bestFit="1" customWidth="1"/>
    <col min="273" max="512" width="9.140625" style="33"/>
    <col min="513" max="513" width="11" style="33" customWidth="1"/>
    <col min="514" max="514" width="8.42578125" style="33" customWidth="1"/>
    <col min="515" max="515" width="11.140625" style="33" customWidth="1"/>
    <col min="516" max="516" width="10.140625" style="33" customWidth="1"/>
    <col min="517" max="517" width="10.28515625" style="33" customWidth="1"/>
    <col min="518" max="518" width="10.85546875" style="33" bestFit="1" customWidth="1"/>
    <col min="519" max="519" width="11.28515625" style="33" bestFit="1" customWidth="1"/>
    <col min="520" max="520" width="9.140625" style="33" bestFit="1" customWidth="1"/>
    <col min="521" max="521" width="11" style="33" customWidth="1"/>
    <col min="522" max="522" width="10.28515625" style="33" customWidth="1"/>
    <col min="523" max="524" width="9.140625" style="33"/>
    <col min="525" max="525" width="10.140625" style="33" customWidth="1"/>
    <col min="526" max="528" width="10" style="33" bestFit="1" customWidth="1"/>
    <col min="529" max="768" width="9.140625" style="33"/>
    <col min="769" max="769" width="11" style="33" customWidth="1"/>
    <col min="770" max="770" width="8.42578125" style="33" customWidth="1"/>
    <col min="771" max="771" width="11.140625" style="33" customWidth="1"/>
    <col min="772" max="772" width="10.140625" style="33" customWidth="1"/>
    <col min="773" max="773" width="10.28515625" style="33" customWidth="1"/>
    <col min="774" max="774" width="10.85546875" style="33" bestFit="1" customWidth="1"/>
    <col min="775" max="775" width="11.28515625" style="33" bestFit="1" customWidth="1"/>
    <col min="776" max="776" width="9.140625" style="33" bestFit="1" customWidth="1"/>
    <col min="777" max="777" width="11" style="33" customWidth="1"/>
    <col min="778" max="778" width="10.28515625" style="33" customWidth="1"/>
    <col min="779" max="780" width="9.140625" style="33"/>
    <col min="781" max="781" width="10.140625" style="33" customWidth="1"/>
    <col min="782" max="784" width="10" style="33" bestFit="1" customWidth="1"/>
    <col min="785" max="1024" width="9.140625" style="33"/>
    <col min="1025" max="1025" width="11" style="33" customWidth="1"/>
    <col min="1026" max="1026" width="8.42578125" style="33" customWidth="1"/>
    <col min="1027" max="1027" width="11.140625" style="33" customWidth="1"/>
    <col min="1028" max="1028" width="10.140625" style="33" customWidth="1"/>
    <col min="1029" max="1029" width="10.28515625" style="33" customWidth="1"/>
    <col min="1030" max="1030" width="10.85546875" style="33" bestFit="1" customWidth="1"/>
    <col min="1031" max="1031" width="11.28515625" style="33" bestFit="1" customWidth="1"/>
    <col min="1032" max="1032" width="9.140625" style="33" bestFit="1" customWidth="1"/>
    <col min="1033" max="1033" width="11" style="33" customWidth="1"/>
    <col min="1034" max="1034" width="10.28515625" style="33" customWidth="1"/>
    <col min="1035" max="1036" width="9.140625" style="33"/>
    <col min="1037" max="1037" width="10.140625" style="33" customWidth="1"/>
    <col min="1038" max="1040" width="10" style="33" bestFit="1" customWidth="1"/>
    <col min="1041" max="1280" width="9.140625" style="33"/>
    <col min="1281" max="1281" width="11" style="33" customWidth="1"/>
    <col min="1282" max="1282" width="8.42578125" style="33" customWidth="1"/>
    <col min="1283" max="1283" width="11.140625" style="33" customWidth="1"/>
    <col min="1284" max="1284" width="10.140625" style="33" customWidth="1"/>
    <col min="1285" max="1285" width="10.28515625" style="33" customWidth="1"/>
    <col min="1286" max="1286" width="10.85546875" style="33" bestFit="1" customWidth="1"/>
    <col min="1287" max="1287" width="11.28515625" style="33" bestFit="1" customWidth="1"/>
    <col min="1288" max="1288" width="9.140625" style="33" bestFit="1" customWidth="1"/>
    <col min="1289" max="1289" width="11" style="33" customWidth="1"/>
    <col min="1290" max="1290" width="10.28515625" style="33" customWidth="1"/>
    <col min="1291" max="1292" width="9.140625" style="33"/>
    <col min="1293" max="1293" width="10.140625" style="33" customWidth="1"/>
    <col min="1294" max="1296" width="10" style="33" bestFit="1" customWidth="1"/>
    <col min="1297" max="1536" width="9.140625" style="33"/>
    <col min="1537" max="1537" width="11" style="33" customWidth="1"/>
    <col min="1538" max="1538" width="8.42578125" style="33" customWidth="1"/>
    <col min="1539" max="1539" width="11.140625" style="33" customWidth="1"/>
    <col min="1540" max="1540" width="10.140625" style="33" customWidth="1"/>
    <col min="1541" max="1541" width="10.28515625" style="33" customWidth="1"/>
    <col min="1542" max="1542" width="10.85546875" style="33" bestFit="1" customWidth="1"/>
    <col min="1543" max="1543" width="11.28515625" style="33" bestFit="1" customWidth="1"/>
    <col min="1544" max="1544" width="9.140625" style="33" bestFit="1" customWidth="1"/>
    <col min="1545" max="1545" width="11" style="33" customWidth="1"/>
    <col min="1546" max="1546" width="10.28515625" style="33" customWidth="1"/>
    <col min="1547" max="1548" width="9.140625" style="33"/>
    <col min="1549" max="1549" width="10.140625" style="33" customWidth="1"/>
    <col min="1550" max="1552" width="10" style="33" bestFit="1" customWidth="1"/>
    <col min="1553" max="1792" width="9.140625" style="33"/>
    <col min="1793" max="1793" width="11" style="33" customWidth="1"/>
    <col min="1794" max="1794" width="8.42578125" style="33" customWidth="1"/>
    <col min="1795" max="1795" width="11.140625" style="33" customWidth="1"/>
    <col min="1796" max="1796" width="10.140625" style="33" customWidth="1"/>
    <col min="1797" max="1797" width="10.28515625" style="33" customWidth="1"/>
    <col min="1798" max="1798" width="10.85546875" style="33" bestFit="1" customWidth="1"/>
    <col min="1799" max="1799" width="11.28515625" style="33" bestFit="1" customWidth="1"/>
    <col min="1800" max="1800" width="9.140625" style="33" bestFit="1" customWidth="1"/>
    <col min="1801" max="1801" width="11" style="33" customWidth="1"/>
    <col min="1802" max="1802" width="10.28515625" style="33" customWidth="1"/>
    <col min="1803" max="1804" width="9.140625" style="33"/>
    <col min="1805" max="1805" width="10.140625" style="33" customWidth="1"/>
    <col min="1806" max="1808" width="10" style="33" bestFit="1" customWidth="1"/>
    <col min="1809" max="2048" width="9.140625" style="33"/>
    <col min="2049" max="2049" width="11" style="33" customWidth="1"/>
    <col min="2050" max="2050" width="8.42578125" style="33" customWidth="1"/>
    <col min="2051" max="2051" width="11.140625" style="33" customWidth="1"/>
    <col min="2052" max="2052" width="10.140625" style="33" customWidth="1"/>
    <col min="2053" max="2053" width="10.28515625" style="33" customWidth="1"/>
    <col min="2054" max="2054" width="10.85546875" style="33" bestFit="1" customWidth="1"/>
    <col min="2055" max="2055" width="11.28515625" style="33" bestFit="1" customWidth="1"/>
    <col min="2056" max="2056" width="9.140625" style="33" bestFit="1" customWidth="1"/>
    <col min="2057" max="2057" width="11" style="33" customWidth="1"/>
    <col min="2058" max="2058" width="10.28515625" style="33" customWidth="1"/>
    <col min="2059" max="2060" width="9.140625" style="33"/>
    <col min="2061" max="2061" width="10.140625" style="33" customWidth="1"/>
    <col min="2062" max="2064" width="10" style="33" bestFit="1" customWidth="1"/>
    <col min="2065" max="2304" width="9.140625" style="33"/>
    <col min="2305" max="2305" width="11" style="33" customWidth="1"/>
    <col min="2306" max="2306" width="8.42578125" style="33" customWidth="1"/>
    <col min="2307" max="2307" width="11.140625" style="33" customWidth="1"/>
    <col min="2308" max="2308" width="10.140625" style="33" customWidth="1"/>
    <col min="2309" max="2309" width="10.28515625" style="33" customWidth="1"/>
    <col min="2310" max="2310" width="10.85546875" style="33" bestFit="1" customWidth="1"/>
    <col min="2311" max="2311" width="11.28515625" style="33" bestFit="1" customWidth="1"/>
    <col min="2312" max="2312" width="9.140625" style="33" bestFit="1" customWidth="1"/>
    <col min="2313" max="2313" width="11" style="33" customWidth="1"/>
    <col min="2314" max="2314" width="10.28515625" style="33" customWidth="1"/>
    <col min="2315" max="2316" width="9.140625" style="33"/>
    <col min="2317" max="2317" width="10.140625" style="33" customWidth="1"/>
    <col min="2318" max="2320" width="10" style="33" bestFit="1" customWidth="1"/>
    <col min="2321" max="2560" width="9.140625" style="33"/>
    <col min="2561" max="2561" width="11" style="33" customWidth="1"/>
    <col min="2562" max="2562" width="8.42578125" style="33" customWidth="1"/>
    <col min="2563" max="2563" width="11.140625" style="33" customWidth="1"/>
    <col min="2564" max="2564" width="10.140625" style="33" customWidth="1"/>
    <col min="2565" max="2565" width="10.28515625" style="33" customWidth="1"/>
    <col min="2566" max="2566" width="10.85546875" style="33" bestFit="1" customWidth="1"/>
    <col min="2567" max="2567" width="11.28515625" style="33" bestFit="1" customWidth="1"/>
    <col min="2568" max="2568" width="9.140625" style="33" bestFit="1" customWidth="1"/>
    <col min="2569" max="2569" width="11" style="33" customWidth="1"/>
    <col min="2570" max="2570" width="10.28515625" style="33" customWidth="1"/>
    <col min="2571" max="2572" width="9.140625" style="33"/>
    <col min="2573" max="2573" width="10.140625" style="33" customWidth="1"/>
    <col min="2574" max="2576" width="10" style="33" bestFit="1" customWidth="1"/>
    <col min="2577" max="2816" width="9.140625" style="33"/>
    <col min="2817" max="2817" width="11" style="33" customWidth="1"/>
    <col min="2818" max="2818" width="8.42578125" style="33" customWidth="1"/>
    <col min="2819" max="2819" width="11.140625" style="33" customWidth="1"/>
    <col min="2820" max="2820" width="10.140625" style="33" customWidth="1"/>
    <col min="2821" max="2821" width="10.28515625" style="33" customWidth="1"/>
    <col min="2822" max="2822" width="10.85546875" style="33" bestFit="1" customWidth="1"/>
    <col min="2823" max="2823" width="11.28515625" style="33" bestFit="1" customWidth="1"/>
    <col min="2824" max="2824" width="9.140625" style="33" bestFit="1" customWidth="1"/>
    <col min="2825" max="2825" width="11" style="33" customWidth="1"/>
    <col min="2826" max="2826" width="10.28515625" style="33" customWidth="1"/>
    <col min="2827" max="2828" width="9.140625" style="33"/>
    <col min="2829" max="2829" width="10.140625" style="33" customWidth="1"/>
    <col min="2830" max="2832" width="10" style="33" bestFit="1" customWidth="1"/>
    <col min="2833" max="3072" width="9.140625" style="33"/>
    <col min="3073" max="3073" width="11" style="33" customWidth="1"/>
    <col min="3074" max="3074" width="8.42578125" style="33" customWidth="1"/>
    <col min="3075" max="3075" width="11.140625" style="33" customWidth="1"/>
    <col min="3076" max="3076" width="10.140625" style="33" customWidth="1"/>
    <col min="3077" max="3077" width="10.28515625" style="33" customWidth="1"/>
    <col min="3078" max="3078" width="10.85546875" style="33" bestFit="1" customWidth="1"/>
    <col min="3079" max="3079" width="11.28515625" style="33" bestFit="1" customWidth="1"/>
    <col min="3080" max="3080" width="9.140625" style="33" bestFit="1" customWidth="1"/>
    <col min="3081" max="3081" width="11" style="33" customWidth="1"/>
    <col min="3082" max="3082" width="10.28515625" style="33" customWidth="1"/>
    <col min="3083" max="3084" width="9.140625" style="33"/>
    <col min="3085" max="3085" width="10.140625" style="33" customWidth="1"/>
    <col min="3086" max="3088" width="10" style="33" bestFit="1" customWidth="1"/>
    <col min="3089" max="3328" width="9.140625" style="33"/>
    <col min="3329" max="3329" width="11" style="33" customWidth="1"/>
    <col min="3330" max="3330" width="8.42578125" style="33" customWidth="1"/>
    <col min="3331" max="3331" width="11.140625" style="33" customWidth="1"/>
    <col min="3332" max="3332" width="10.140625" style="33" customWidth="1"/>
    <col min="3333" max="3333" width="10.28515625" style="33" customWidth="1"/>
    <col min="3334" max="3334" width="10.85546875" style="33" bestFit="1" customWidth="1"/>
    <col min="3335" max="3335" width="11.28515625" style="33" bestFit="1" customWidth="1"/>
    <col min="3336" max="3336" width="9.140625" style="33" bestFit="1" customWidth="1"/>
    <col min="3337" max="3337" width="11" style="33" customWidth="1"/>
    <col min="3338" max="3338" width="10.28515625" style="33" customWidth="1"/>
    <col min="3339" max="3340" width="9.140625" style="33"/>
    <col min="3341" max="3341" width="10.140625" style="33" customWidth="1"/>
    <col min="3342" max="3344" width="10" style="33" bestFit="1" customWidth="1"/>
    <col min="3345" max="3584" width="9.140625" style="33"/>
    <col min="3585" max="3585" width="11" style="33" customWidth="1"/>
    <col min="3586" max="3586" width="8.42578125" style="33" customWidth="1"/>
    <col min="3587" max="3587" width="11.140625" style="33" customWidth="1"/>
    <col min="3588" max="3588" width="10.140625" style="33" customWidth="1"/>
    <col min="3589" max="3589" width="10.28515625" style="33" customWidth="1"/>
    <col min="3590" max="3590" width="10.85546875" style="33" bestFit="1" customWidth="1"/>
    <col min="3591" max="3591" width="11.28515625" style="33" bestFit="1" customWidth="1"/>
    <col min="3592" max="3592" width="9.140625" style="33" bestFit="1" customWidth="1"/>
    <col min="3593" max="3593" width="11" style="33" customWidth="1"/>
    <col min="3594" max="3594" width="10.28515625" style="33" customWidth="1"/>
    <col min="3595" max="3596" width="9.140625" style="33"/>
    <col min="3597" max="3597" width="10.140625" style="33" customWidth="1"/>
    <col min="3598" max="3600" width="10" style="33" bestFit="1" customWidth="1"/>
    <col min="3601" max="3840" width="9.140625" style="33"/>
    <col min="3841" max="3841" width="11" style="33" customWidth="1"/>
    <col min="3842" max="3842" width="8.42578125" style="33" customWidth="1"/>
    <col min="3843" max="3843" width="11.140625" style="33" customWidth="1"/>
    <col min="3844" max="3844" width="10.140625" style="33" customWidth="1"/>
    <col min="3845" max="3845" width="10.28515625" style="33" customWidth="1"/>
    <col min="3846" max="3846" width="10.85546875" style="33" bestFit="1" customWidth="1"/>
    <col min="3847" max="3847" width="11.28515625" style="33" bestFit="1" customWidth="1"/>
    <col min="3848" max="3848" width="9.140625" style="33" bestFit="1" customWidth="1"/>
    <col min="3849" max="3849" width="11" style="33" customWidth="1"/>
    <col min="3850" max="3850" width="10.28515625" style="33" customWidth="1"/>
    <col min="3851" max="3852" width="9.140625" style="33"/>
    <col min="3853" max="3853" width="10.140625" style="33" customWidth="1"/>
    <col min="3854" max="3856" width="10" style="33" bestFit="1" customWidth="1"/>
    <col min="3857" max="4096" width="9.140625" style="33"/>
    <col min="4097" max="4097" width="11" style="33" customWidth="1"/>
    <col min="4098" max="4098" width="8.42578125" style="33" customWidth="1"/>
    <col min="4099" max="4099" width="11.140625" style="33" customWidth="1"/>
    <col min="4100" max="4100" width="10.140625" style="33" customWidth="1"/>
    <col min="4101" max="4101" width="10.28515625" style="33" customWidth="1"/>
    <col min="4102" max="4102" width="10.85546875" style="33" bestFit="1" customWidth="1"/>
    <col min="4103" max="4103" width="11.28515625" style="33" bestFit="1" customWidth="1"/>
    <col min="4104" max="4104" width="9.140625" style="33" bestFit="1" customWidth="1"/>
    <col min="4105" max="4105" width="11" style="33" customWidth="1"/>
    <col min="4106" max="4106" width="10.28515625" style="33" customWidth="1"/>
    <col min="4107" max="4108" width="9.140625" style="33"/>
    <col min="4109" max="4109" width="10.140625" style="33" customWidth="1"/>
    <col min="4110" max="4112" width="10" style="33" bestFit="1" customWidth="1"/>
    <col min="4113" max="4352" width="9.140625" style="33"/>
    <col min="4353" max="4353" width="11" style="33" customWidth="1"/>
    <col min="4354" max="4354" width="8.42578125" style="33" customWidth="1"/>
    <col min="4355" max="4355" width="11.140625" style="33" customWidth="1"/>
    <col min="4356" max="4356" width="10.140625" style="33" customWidth="1"/>
    <col min="4357" max="4357" width="10.28515625" style="33" customWidth="1"/>
    <col min="4358" max="4358" width="10.85546875" style="33" bestFit="1" customWidth="1"/>
    <col min="4359" max="4359" width="11.28515625" style="33" bestFit="1" customWidth="1"/>
    <col min="4360" max="4360" width="9.140625" style="33" bestFit="1" customWidth="1"/>
    <col min="4361" max="4361" width="11" style="33" customWidth="1"/>
    <col min="4362" max="4362" width="10.28515625" style="33" customWidth="1"/>
    <col min="4363" max="4364" width="9.140625" style="33"/>
    <col min="4365" max="4365" width="10.140625" style="33" customWidth="1"/>
    <col min="4366" max="4368" width="10" style="33" bestFit="1" customWidth="1"/>
    <col min="4369" max="4608" width="9.140625" style="33"/>
    <col min="4609" max="4609" width="11" style="33" customWidth="1"/>
    <col min="4610" max="4610" width="8.42578125" style="33" customWidth="1"/>
    <col min="4611" max="4611" width="11.140625" style="33" customWidth="1"/>
    <col min="4612" max="4612" width="10.140625" style="33" customWidth="1"/>
    <col min="4613" max="4613" width="10.28515625" style="33" customWidth="1"/>
    <col min="4614" max="4614" width="10.85546875" style="33" bestFit="1" customWidth="1"/>
    <col min="4615" max="4615" width="11.28515625" style="33" bestFit="1" customWidth="1"/>
    <col min="4616" max="4616" width="9.140625" style="33" bestFit="1" customWidth="1"/>
    <col min="4617" max="4617" width="11" style="33" customWidth="1"/>
    <col min="4618" max="4618" width="10.28515625" style="33" customWidth="1"/>
    <col min="4619" max="4620" width="9.140625" style="33"/>
    <col min="4621" max="4621" width="10.140625" style="33" customWidth="1"/>
    <col min="4622" max="4624" width="10" style="33" bestFit="1" customWidth="1"/>
    <col min="4625" max="4864" width="9.140625" style="33"/>
    <col min="4865" max="4865" width="11" style="33" customWidth="1"/>
    <col min="4866" max="4866" width="8.42578125" style="33" customWidth="1"/>
    <col min="4867" max="4867" width="11.140625" style="33" customWidth="1"/>
    <col min="4868" max="4868" width="10.140625" style="33" customWidth="1"/>
    <col min="4869" max="4869" width="10.28515625" style="33" customWidth="1"/>
    <col min="4870" max="4870" width="10.85546875" style="33" bestFit="1" customWidth="1"/>
    <col min="4871" max="4871" width="11.28515625" style="33" bestFit="1" customWidth="1"/>
    <col min="4872" max="4872" width="9.140625" style="33" bestFit="1" customWidth="1"/>
    <col min="4873" max="4873" width="11" style="33" customWidth="1"/>
    <col min="4874" max="4874" width="10.28515625" style="33" customWidth="1"/>
    <col min="4875" max="4876" width="9.140625" style="33"/>
    <col min="4877" max="4877" width="10.140625" style="33" customWidth="1"/>
    <col min="4878" max="4880" width="10" style="33" bestFit="1" customWidth="1"/>
    <col min="4881" max="5120" width="9.140625" style="33"/>
    <col min="5121" max="5121" width="11" style="33" customWidth="1"/>
    <col min="5122" max="5122" width="8.42578125" style="33" customWidth="1"/>
    <col min="5123" max="5123" width="11.140625" style="33" customWidth="1"/>
    <col min="5124" max="5124" width="10.140625" style="33" customWidth="1"/>
    <col min="5125" max="5125" width="10.28515625" style="33" customWidth="1"/>
    <col min="5126" max="5126" width="10.85546875" style="33" bestFit="1" customWidth="1"/>
    <col min="5127" max="5127" width="11.28515625" style="33" bestFit="1" customWidth="1"/>
    <col min="5128" max="5128" width="9.140625" style="33" bestFit="1" customWidth="1"/>
    <col min="5129" max="5129" width="11" style="33" customWidth="1"/>
    <col min="5130" max="5130" width="10.28515625" style="33" customWidth="1"/>
    <col min="5131" max="5132" width="9.140625" style="33"/>
    <col min="5133" max="5133" width="10.140625" style="33" customWidth="1"/>
    <col min="5134" max="5136" width="10" style="33" bestFit="1" customWidth="1"/>
    <col min="5137" max="5376" width="9.140625" style="33"/>
    <col min="5377" max="5377" width="11" style="33" customWidth="1"/>
    <col min="5378" max="5378" width="8.42578125" style="33" customWidth="1"/>
    <col min="5379" max="5379" width="11.140625" style="33" customWidth="1"/>
    <col min="5380" max="5380" width="10.140625" style="33" customWidth="1"/>
    <col min="5381" max="5381" width="10.28515625" style="33" customWidth="1"/>
    <col min="5382" max="5382" width="10.85546875" style="33" bestFit="1" customWidth="1"/>
    <col min="5383" max="5383" width="11.28515625" style="33" bestFit="1" customWidth="1"/>
    <col min="5384" max="5384" width="9.140625" style="33" bestFit="1" customWidth="1"/>
    <col min="5385" max="5385" width="11" style="33" customWidth="1"/>
    <col min="5386" max="5386" width="10.28515625" style="33" customWidth="1"/>
    <col min="5387" max="5388" width="9.140625" style="33"/>
    <col min="5389" max="5389" width="10.140625" style="33" customWidth="1"/>
    <col min="5390" max="5392" width="10" style="33" bestFit="1" customWidth="1"/>
    <col min="5393" max="5632" width="9.140625" style="33"/>
    <col min="5633" max="5633" width="11" style="33" customWidth="1"/>
    <col min="5634" max="5634" width="8.42578125" style="33" customWidth="1"/>
    <col min="5635" max="5635" width="11.140625" style="33" customWidth="1"/>
    <col min="5636" max="5636" width="10.140625" style="33" customWidth="1"/>
    <col min="5637" max="5637" width="10.28515625" style="33" customWidth="1"/>
    <col min="5638" max="5638" width="10.85546875" style="33" bestFit="1" customWidth="1"/>
    <col min="5639" max="5639" width="11.28515625" style="33" bestFit="1" customWidth="1"/>
    <col min="5640" max="5640" width="9.140625" style="33" bestFit="1" customWidth="1"/>
    <col min="5641" max="5641" width="11" style="33" customWidth="1"/>
    <col min="5642" max="5642" width="10.28515625" style="33" customWidth="1"/>
    <col min="5643" max="5644" width="9.140625" style="33"/>
    <col min="5645" max="5645" width="10.140625" style="33" customWidth="1"/>
    <col min="5646" max="5648" width="10" style="33" bestFit="1" customWidth="1"/>
    <col min="5649" max="5888" width="9.140625" style="33"/>
    <col min="5889" max="5889" width="11" style="33" customWidth="1"/>
    <col min="5890" max="5890" width="8.42578125" style="33" customWidth="1"/>
    <col min="5891" max="5891" width="11.140625" style="33" customWidth="1"/>
    <col min="5892" max="5892" width="10.140625" style="33" customWidth="1"/>
    <col min="5893" max="5893" width="10.28515625" style="33" customWidth="1"/>
    <col min="5894" max="5894" width="10.85546875" style="33" bestFit="1" customWidth="1"/>
    <col min="5895" max="5895" width="11.28515625" style="33" bestFit="1" customWidth="1"/>
    <col min="5896" max="5896" width="9.140625" style="33" bestFit="1" customWidth="1"/>
    <col min="5897" max="5897" width="11" style="33" customWidth="1"/>
    <col min="5898" max="5898" width="10.28515625" style="33" customWidth="1"/>
    <col min="5899" max="5900" width="9.140625" style="33"/>
    <col min="5901" max="5901" width="10.140625" style="33" customWidth="1"/>
    <col min="5902" max="5904" width="10" style="33" bestFit="1" customWidth="1"/>
    <col min="5905" max="6144" width="9.140625" style="33"/>
    <col min="6145" max="6145" width="11" style="33" customWidth="1"/>
    <col min="6146" max="6146" width="8.42578125" style="33" customWidth="1"/>
    <col min="6147" max="6147" width="11.140625" style="33" customWidth="1"/>
    <col min="6148" max="6148" width="10.140625" style="33" customWidth="1"/>
    <col min="6149" max="6149" width="10.28515625" style="33" customWidth="1"/>
    <col min="6150" max="6150" width="10.85546875" style="33" bestFit="1" customWidth="1"/>
    <col min="6151" max="6151" width="11.28515625" style="33" bestFit="1" customWidth="1"/>
    <col min="6152" max="6152" width="9.140625" style="33" bestFit="1" customWidth="1"/>
    <col min="6153" max="6153" width="11" style="33" customWidth="1"/>
    <col min="6154" max="6154" width="10.28515625" style="33" customWidth="1"/>
    <col min="6155" max="6156" width="9.140625" style="33"/>
    <col min="6157" max="6157" width="10.140625" style="33" customWidth="1"/>
    <col min="6158" max="6160" width="10" style="33" bestFit="1" customWidth="1"/>
    <col min="6161" max="6400" width="9.140625" style="33"/>
    <col min="6401" max="6401" width="11" style="33" customWidth="1"/>
    <col min="6402" max="6402" width="8.42578125" style="33" customWidth="1"/>
    <col min="6403" max="6403" width="11.140625" style="33" customWidth="1"/>
    <col min="6404" max="6404" width="10.140625" style="33" customWidth="1"/>
    <col min="6405" max="6405" width="10.28515625" style="33" customWidth="1"/>
    <col min="6406" max="6406" width="10.85546875" style="33" bestFit="1" customWidth="1"/>
    <col min="6407" max="6407" width="11.28515625" style="33" bestFit="1" customWidth="1"/>
    <col min="6408" max="6408" width="9.140625" style="33" bestFit="1" customWidth="1"/>
    <col min="6409" max="6409" width="11" style="33" customWidth="1"/>
    <col min="6410" max="6410" width="10.28515625" style="33" customWidth="1"/>
    <col min="6411" max="6412" width="9.140625" style="33"/>
    <col min="6413" max="6413" width="10.140625" style="33" customWidth="1"/>
    <col min="6414" max="6416" width="10" style="33" bestFit="1" customWidth="1"/>
    <col min="6417" max="6656" width="9.140625" style="33"/>
    <col min="6657" max="6657" width="11" style="33" customWidth="1"/>
    <col min="6658" max="6658" width="8.42578125" style="33" customWidth="1"/>
    <col min="6659" max="6659" width="11.140625" style="33" customWidth="1"/>
    <col min="6660" max="6660" width="10.140625" style="33" customWidth="1"/>
    <col min="6661" max="6661" width="10.28515625" style="33" customWidth="1"/>
    <col min="6662" max="6662" width="10.85546875" style="33" bestFit="1" customWidth="1"/>
    <col min="6663" max="6663" width="11.28515625" style="33" bestFit="1" customWidth="1"/>
    <col min="6664" max="6664" width="9.140625" style="33" bestFit="1" customWidth="1"/>
    <col min="6665" max="6665" width="11" style="33" customWidth="1"/>
    <col min="6666" max="6666" width="10.28515625" style="33" customWidth="1"/>
    <col min="6667" max="6668" width="9.140625" style="33"/>
    <col min="6669" max="6669" width="10.140625" style="33" customWidth="1"/>
    <col min="6670" max="6672" width="10" style="33" bestFit="1" customWidth="1"/>
    <col min="6673" max="6912" width="9.140625" style="33"/>
    <col min="6913" max="6913" width="11" style="33" customWidth="1"/>
    <col min="6914" max="6914" width="8.42578125" style="33" customWidth="1"/>
    <col min="6915" max="6915" width="11.140625" style="33" customWidth="1"/>
    <col min="6916" max="6916" width="10.140625" style="33" customWidth="1"/>
    <col min="6917" max="6917" width="10.28515625" style="33" customWidth="1"/>
    <col min="6918" max="6918" width="10.85546875" style="33" bestFit="1" customWidth="1"/>
    <col min="6919" max="6919" width="11.28515625" style="33" bestFit="1" customWidth="1"/>
    <col min="6920" max="6920" width="9.140625" style="33" bestFit="1" customWidth="1"/>
    <col min="6921" max="6921" width="11" style="33" customWidth="1"/>
    <col min="6922" max="6922" width="10.28515625" style="33" customWidth="1"/>
    <col min="6923" max="6924" width="9.140625" style="33"/>
    <col min="6925" max="6925" width="10.140625" style="33" customWidth="1"/>
    <col min="6926" max="6928" width="10" style="33" bestFit="1" customWidth="1"/>
    <col min="6929" max="7168" width="9.140625" style="33"/>
    <col min="7169" max="7169" width="11" style="33" customWidth="1"/>
    <col min="7170" max="7170" width="8.42578125" style="33" customWidth="1"/>
    <col min="7171" max="7171" width="11.140625" style="33" customWidth="1"/>
    <col min="7172" max="7172" width="10.140625" style="33" customWidth="1"/>
    <col min="7173" max="7173" width="10.28515625" style="33" customWidth="1"/>
    <col min="7174" max="7174" width="10.85546875" style="33" bestFit="1" customWidth="1"/>
    <col min="7175" max="7175" width="11.28515625" style="33" bestFit="1" customWidth="1"/>
    <col min="7176" max="7176" width="9.140625" style="33" bestFit="1" customWidth="1"/>
    <col min="7177" max="7177" width="11" style="33" customWidth="1"/>
    <col min="7178" max="7178" width="10.28515625" style="33" customWidth="1"/>
    <col min="7179" max="7180" width="9.140625" style="33"/>
    <col min="7181" max="7181" width="10.140625" style="33" customWidth="1"/>
    <col min="7182" max="7184" width="10" style="33" bestFit="1" customWidth="1"/>
    <col min="7185" max="7424" width="9.140625" style="33"/>
    <col min="7425" max="7425" width="11" style="33" customWidth="1"/>
    <col min="7426" max="7426" width="8.42578125" style="33" customWidth="1"/>
    <col min="7427" max="7427" width="11.140625" style="33" customWidth="1"/>
    <col min="7428" max="7428" width="10.140625" style="33" customWidth="1"/>
    <col min="7429" max="7429" width="10.28515625" style="33" customWidth="1"/>
    <col min="7430" max="7430" width="10.85546875" style="33" bestFit="1" customWidth="1"/>
    <col min="7431" max="7431" width="11.28515625" style="33" bestFit="1" customWidth="1"/>
    <col min="7432" max="7432" width="9.140625" style="33" bestFit="1" customWidth="1"/>
    <col min="7433" max="7433" width="11" style="33" customWidth="1"/>
    <col min="7434" max="7434" width="10.28515625" style="33" customWidth="1"/>
    <col min="7435" max="7436" width="9.140625" style="33"/>
    <col min="7437" max="7437" width="10.140625" style="33" customWidth="1"/>
    <col min="7438" max="7440" width="10" style="33" bestFit="1" customWidth="1"/>
    <col min="7441" max="7680" width="9.140625" style="33"/>
    <col min="7681" max="7681" width="11" style="33" customWidth="1"/>
    <col min="7682" max="7682" width="8.42578125" style="33" customWidth="1"/>
    <col min="7683" max="7683" width="11.140625" style="33" customWidth="1"/>
    <col min="7684" max="7684" width="10.140625" style="33" customWidth="1"/>
    <col min="7685" max="7685" width="10.28515625" style="33" customWidth="1"/>
    <col min="7686" max="7686" width="10.85546875" style="33" bestFit="1" customWidth="1"/>
    <col min="7687" max="7687" width="11.28515625" style="33" bestFit="1" customWidth="1"/>
    <col min="7688" max="7688" width="9.140625" style="33" bestFit="1" customWidth="1"/>
    <col min="7689" max="7689" width="11" style="33" customWidth="1"/>
    <col min="7690" max="7690" width="10.28515625" style="33" customWidth="1"/>
    <col min="7691" max="7692" width="9.140625" style="33"/>
    <col min="7693" max="7693" width="10.140625" style="33" customWidth="1"/>
    <col min="7694" max="7696" width="10" style="33" bestFit="1" customWidth="1"/>
    <col min="7697" max="7936" width="9.140625" style="33"/>
    <col min="7937" max="7937" width="11" style="33" customWidth="1"/>
    <col min="7938" max="7938" width="8.42578125" style="33" customWidth="1"/>
    <col min="7939" max="7939" width="11.140625" style="33" customWidth="1"/>
    <col min="7940" max="7940" width="10.140625" style="33" customWidth="1"/>
    <col min="7941" max="7941" width="10.28515625" style="33" customWidth="1"/>
    <col min="7942" max="7942" width="10.85546875" style="33" bestFit="1" customWidth="1"/>
    <col min="7943" max="7943" width="11.28515625" style="33" bestFit="1" customWidth="1"/>
    <col min="7944" max="7944" width="9.140625" style="33" bestFit="1" customWidth="1"/>
    <col min="7945" max="7945" width="11" style="33" customWidth="1"/>
    <col min="7946" max="7946" width="10.28515625" style="33" customWidth="1"/>
    <col min="7947" max="7948" width="9.140625" style="33"/>
    <col min="7949" max="7949" width="10.140625" style="33" customWidth="1"/>
    <col min="7950" max="7952" width="10" style="33" bestFit="1" customWidth="1"/>
    <col min="7953" max="8192" width="9.140625" style="33"/>
    <col min="8193" max="8193" width="11" style="33" customWidth="1"/>
    <col min="8194" max="8194" width="8.42578125" style="33" customWidth="1"/>
    <col min="8195" max="8195" width="11.140625" style="33" customWidth="1"/>
    <col min="8196" max="8196" width="10.140625" style="33" customWidth="1"/>
    <col min="8197" max="8197" width="10.28515625" style="33" customWidth="1"/>
    <col min="8198" max="8198" width="10.85546875" style="33" bestFit="1" customWidth="1"/>
    <col min="8199" max="8199" width="11.28515625" style="33" bestFit="1" customWidth="1"/>
    <col min="8200" max="8200" width="9.140625" style="33" bestFit="1" customWidth="1"/>
    <col min="8201" max="8201" width="11" style="33" customWidth="1"/>
    <col min="8202" max="8202" width="10.28515625" style="33" customWidth="1"/>
    <col min="8203" max="8204" width="9.140625" style="33"/>
    <col min="8205" max="8205" width="10.140625" style="33" customWidth="1"/>
    <col min="8206" max="8208" width="10" style="33" bestFit="1" customWidth="1"/>
    <col min="8209" max="8448" width="9.140625" style="33"/>
    <col min="8449" max="8449" width="11" style="33" customWidth="1"/>
    <col min="8450" max="8450" width="8.42578125" style="33" customWidth="1"/>
    <col min="8451" max="8451" width="11.140625" style="33" customWidth="1"/>
    <col min="8452" max="8452" width="10.140625" style="33" customWidth="1"/>
    <col min="8453" max="8453" width="10.28515625" style="33" customWidth="1"/>
    <col min="8454" max="8454" width="10.85546875" style="33" bestFit="1" customWidth="1"/>
    <col min="8455" max="8455" width="11.28515625" style="33" bestFit="1" customWidth="1"/>
    <col min="8456" max="8456" width="9.140625" style="33" bestFit="1" customWidth="1"/>
    <col min="8457" max="8457" width="11" style="33" customWidth="1"/>
    <col min="8458" max="8458" width="10.28515625" style="33" customWidth="1"/>
    <col min="8459" max="8460" width="9.140625" style="33"/>
    <col min="8461" max="8461" width="10.140625" style="33" customWidth="1"/>
    <col min="8462" max="8464" width="10" style="33" bestFit="1" customWidth="1"/>
    <col min="8465" max="8704" width="9.140625" style="33"/>
    <col min="8705" max="8705" width="11" style="33" customWidth="1"/>
    <col min="8706" max="8706" width="8.42578125" style="33" customWidth="1"/>
    <col min="8707" max="8707" width="11.140625" style="33" customWidth="1"/>
    <col min="8708" max="8708" width="10.140625" style="33" customWidth="1"/>
    <col min="8709" max="8709" width="10.28515625" style="33" customWidth="1"/>
    <col min="8710" max="8710" width="10.85546875" style="33" bestFit="1" customWidth="1"/>
    <col min="8711" max="8711" width="11.28515625" style="33" bestFit="1" customWidth="1"/>
    <col min="8712" max="8712" width="9.140625" style="33" bestFit="1" customWidth="1"/>
    <col min="8713" max="8713" width="11" style="33" customWidth="1"/>
    <col min="8714" max="8714" width="10.28515625" style="33" customWidth="1"/>
    <col min="8715" max="8716" width="9.140625" style="33"/>
    <col min="8717" max="8717" width="10.140625" style="33" customWidth="1"/>
    <col min="8718" max="8720" width="10" style="33" bestFit="1" customWidth="1"/>
    <col min="8721" max="8960" width="9.140625" style="33"/>
    <col min="8961" max="8961" width="11" style="33" customWidth="1"/>
    <col min="8962" max="8962" width="8.42578125" style="33" customWidth="1"/>
    <col min="8963" max="8963" width="11.140625" style="33" customWidth="1"/>
    <col min="8964" max="8964" width="10.140625" style="33" customWidth="1"/>
    <col min="8965" max="8965" width="10.28515625" style="33" customWidth="1"/>
    <col min="8966" max="8966" width="10.85546875" style="33" bestFit="1" customWidth="1"/>
    <col min="8967" max="8967" width="11.28515625" style="33" bestFit="1" customWidth="1"/>
    <col min="8968" max="8968" width="9.140625" style="33" bestFit="1" customWidth="1"/>
    <col min="8969" max="8969" width="11" style="33" customWidth="1"/>
    <col min="8970" max="8970" width="10.28515625" style="33" customWidth="1"/>
    <col min="8971" max="8972" width="9.140625" style="33"/>
    <col min="8973" max="8973" width="10.140625" style="33" customWidth="1"/>
    <col min="8974" max="8976" width="10" style="33" bestFit="1" customWidth="1"/>
    <col min="8977" max="9216" width="9.140625" style="33"/>
    <col min="9217" max="9217" width="11" style="33" customWidth="1"/>
    <col min="9218" max="9218" width="8.42578125" style="33" customWidth="1"/>
    <col min="9219" max="9219" width="11.140625" style="33" customWidth="1"/>
    <col min="9220" max="9220" width="10.140625" style="33" customWidth="1"/>
    <col min="9221" max="9221" width="10.28515625" style="33" customWidth="1"/>
    <col min="9222" max="9222" width="10.85546875" style="33" bestFit="1" customWidth="1"/>
    <col min="9223" max="9223" width="11.28515625" style="33" bestFit="1" customWidth="1"/>
    <col min="9224" max="9224" width="9.140625" style="33" bestFit="1" customWidth="1"/>
    <col min="9225" max="9225" width="11" style="33" customWidth="1"/>
    <col min="9226" max="9226" width="10.28515625" style="33" customWidth="1"/>
    <col min="9227" max="9228" width="9.140625" style="33"/>
    <col min="9229" max="9229" width="10.140625" style="33" customWidth="1"/>
    <col min="9230" max="9232" width="10" style="33" bestFit="1" customWidth="1"/>
    <col min="9233" max="9472" width="9.140625" style="33"/>
    <col min="9473" max="9473" width="11" style="33" customWidth="1"/>
    <col min="9474" max="9474" width="8.42578125" style="33" customWidth="1"/>
    <col min="9475" max="9475" width="11.140625" style="33" customWidth="1"/>
    <col min="9476" max="9476" width="10.140625" style="33" customWidth="1"/>
    <col min="9477" max="9477" width="10.28515625" style="33" customWidth="1"/>
    <col min="9478" max="9478" width="10.85546875" style="33" bestFit="1" customWidth="1"/>
    <col min="9479" max="9479" width="11.28515625" style="33" bestFit="1" customWidth="1"/>
    <col min="9480" max="9480" width="9.140625" style="33" bestFit="1" customWidth="1"/>
    <col min="9481" max="9481" width="11" style="33" customWidth="1"/>
    <col min="9482" max="9482" width="10.28515625" style="33" customWidth="1"/>
    <col min="9483" max="9484" width="9.140625" style="33"/>
    <col min="9485" max="9485" width="10.140625" style="33" customWidth="1"/>
    <col min="9486" max="9488" width="10" style="33" bestFit="1" customWidth="1"/>
    <col min="9489" max="9728" width="9.140625" style="33"/>
    <col min="9729" max="9729" width="11" style="33" customWidth="1"/>
    <col min="9730" max="9730" width="8.42578125" style="33" customWidth="1"/>
    <col min="9731" max="9731" width="11.140625" style="33" customWidth="1"/>
    <col min="9732" max="9732" width="10.140625" style="33" customWidth="1"/>
    <col min="9733" max="9733" width="10.28515625" style="33" customWidth="1"/>
    <col min="9734" max="9734" width="10.85546875" style="33" bestFit="1" customWidth="1"/>
    <col min="9735" max="9735" width="11.28515625" style="33" bestFit="1" customWidth="1"/>
    <col min="9736" max="9736" width="9.140625" style="33" bestFit="1" customWidth="1"/>
    <col min="9737" max="9737" width="11" style="33" customWidth="1"/>
    <col min="9738" max="9738" width="10.28515625" style="33" customWidth="1"/>
    <col min="9739" max="9740" width="9.140625" style="33"/>
    <col min="9741" max="9741" width="10.140625" style="33" customWidth="1"/>
    <col min="9742" max="9744" width="10" style="33" bestFit="1" customWidth="1"/>
    <col min="9745" max="9984" width="9.140625" style="33"/>
    <col min="9985" max="9985" width="11" style="33" customWidth="1"/>
    <col min="9986" max="9986" width="8.42578125" style="33" customWidth="1"/>
    <col min="9987" max="9987" width="11.140625" style="33" customWidth="1"/>
    <col min="9988" max="9988" width="10.140625" style="33" customWidth="1"/>
    <col min="9989" max="9989" width="10.28515625" style="33" customWidth="1"/>
    <col min="9990" max="9990" width="10.85546875" style="33" bestFit="1" customWidth="1"/>
    <col min="9991" max="9991" width="11.28515625" style="33" bestFit="1" customWidth="1"/>
    <col min="9992" max="9992" width="9.140625" style="33" bestFit="1" customWidth="1"/>
    <col min="9993" max="9993" width="11" style="33" customWidth="1"/>
    <col min="9994" max="9994" width="10.28515625" style="33" customWidth="1"/>
    <col min="9995" max="9996" width="9.140625" style="33"/>
    <col min="9997" max="9997" width="10.140625" style="33" customWidth="1"/>
    <col min="9998" max="10000" width="10" style="33" bestFit="1" customWidth="1"/>
    <col min="10001" max="10240" width="9.140625" style="33"/>
    <col min="10241" max="10241" width="11" style="33" customWidth="1"/>
    <col min="10242" max="10242" width="8.42578125" style="33" customWidth="1"/>
    <col min="10243" max="10243" width="11.140625" style="33" customWidth="1"/>
    <col min="10244" max="10244" width="10.140625" style="33" customWidth="1"/>
    <col min="10245" max="10245" width="10.28515625" style="33" customWidth="1"/>
    <col min="10246" max="10246" width="10.85546875" style="33" bestFit="1" customWidth="1"/>
    <col min="10247" max="10247" width="11.28515625" style="33" bestFit="1" customWidth="1"/>
    <col min="10248" max="10248" width="9.140625" style="33" bestFit="1" customWidth="1"/>
    <col min="10249" max="10249" width="11" style="33" customWidth="1"/>
    <col min="10250" max="10250" width="10.28515625" style="33" customWidth="1"/>
    <col min="10251" max="10252" width="9.140625" style="33"/>
    <col min="10253" max="10253" width="10.140625" style="33" customWidth="1"/>
    <col min="10254" max="10256" width="10" style="33" bestFit="1" customWidth="1"/>
    <col min="10257" max="10496" width="9.140625" style="33"/>
    <col min="10497" max="10497" width="11" style="33" customWidth="1"/>
    <col min="10498" max="10498" width="8.42578125" style="33" customWidth="1"/>
    <col min="10499" max="10499" width="11.140625" style="33" customWidth="1"/>
    <col min="10500" max="10500" width="10.140625" style="33" customWidth="1"/>
    <col min="10501" max="10501" width="10.28515625" style="33" customWidth="1"/>
    <col min="10502" max="10502" width="10.85546875" style="33" bestFit="1" customWidth="1"/>
    <col min="10503" max="10503" width="11.28515625" style="33" bestFit="1" customWidth="1"/>
    <col min="10504" max="10504" width="9.140625" style="33" bestFit="1" customWidth="1"/>
    <col min="10505" max="10505" width="11" style="33" customWidth="1"/>
    <col min="10506" max="10506" width="10.28515625" style="33" customWidth="1"/>
    <col min="10507" max="10508" width="9.140625" style="33"/>
    <col min="10509" max="10509" width="10.140625" style="33" customWidth="1"/>
    <col min="10510" max="10512" width="10" style="33" bestFit="1" customWidth="1"/>
    <col min="10513" max="10752" width="9.140625" style="33"/>
    <col min="10753" max="10753" width="11" style="33" customWidth="1"/>
    <col min="10754" max="10754" width="8.42578125" style="33" customWidth="1"/>
    <col min="10755" max="10755" width="11.140625" style="33" customWidth="1"/>
    <col min="10756" max="10756" width="10.140625" style="33" customWidth="1"/>
    <col min="10757" max="10757" width="10.28515625" style="33" customWidth="1"/>
    <col min="10758" max="10758" width="10.85546875" style="33" bestFit="1" customWidth="1"/>
    <col min="10759" max="10759" width="11.28515625" style="33" bestFit="1" customWidth="1"/>
    <col min="10760" max="10760" width="9.140625" style="33" bestFit="1" customWidth="1"/>
    <col min="10761" max="10761" width="11" style="33" customWidth="1"/>
    <col min="10762" max="10762" width="10.28515625" style="33" customWidth="1"/>
    <col min="10763" max="10764" width="9.140625" style="33"/>
    <col min="10765" max="10765" width="10.140625" style="33" customWidth="1"/>
    <col min="10766" max="10768" width="10" style="33" bestFit="1" customWidth="1"/>
    <col min="10769" max="11008" width="9.140625" style="33"/>
    <col min="11009" max="11009" width="11" style="33" customWidth="1"/>
    <col min="11010" max="11010" width="8.42578125" style="33" customWidth="1"/>
    <col min="11011" max="11011" width="11.140625" style="33" customWidth="1"/>
    <col min="11012" max="11012" width="10.140625" style="33" customWidth="1"/>
    <col min="11013" max="11013" width="10.28515625" style="33" customWidth="1"/>
    <col min="11014" max="11014" width="10.85546875" style="33" bestFit="1" customWidth="1"/>
    <col min="11015" max="11015" width="11.28515625" style="33" bestFit="1" customWidth="1"/>
    <col min="11016" max="11016" width="9.140625" style="33" bestFit="1" customWidth="1"/>
    <col min="11017" max="11017" width="11" style="33" customWidth="1"/>
    <col min="11018" max="11018" width="10.28515625" style="33" customWidth="1"/>
    <col min="11019" max="11020" width="9.140625" style="33"/>
    <col min="11021" max="11021" width="10.140625" style="33" customWidth="1"/>
    <col min="11022" max="11024" width="10" style="33" bestFit="1" customWidth="1"/>
    <col min="11025" max="11264" width="9.140625" style="33"/>
    <col min="11265" max="11265" width="11" style="33" customWidth="1"/>
    <col min="11266" max="11266" width="8.42578125" style="33" customWidth="1"/>
    <col min="11267" max="11267" width="11.140625" style="33" customWidth="1"/>
    <col min="11268" max="11268" width="10.140625" style="33" customWidth="1"/>
    <col min="11269" max="11269" width="10.28515625" style="33" customWidth="1"/>
    <col min="11270" max="11270" width="10.85546875" style="33" bestFit="1" customWidth="1"/>
    <col min="11271" max="11271" width="11.28515625" style="33" bestFit="1" customWidth="1"/>
    <col min="11272" max="11272" width="9.140625" style="33" bestFit="1" customWidth="1"/>
    <col min="11273" max="11273" width="11" style="33" customWidth="1"/>
    <col min="11274" max="11274" width="10.28515625" style="33" customWidth="1"/>
    <col min="11275" max="11276" width="9.140625" style="33"/>
    <col min="11277" max="11277" width="10.140625" style="33" customWidth="1"/>
    <col min="11278" max="11280" width="10" style="33" bestFit="1" customWidth="1"/>
    <col min="11281" max="11520" width="9.140625" style="33"/>
    <col min="11521" max="11521" width="11" style="33" customWidth="1"/>
    <col min="11522" max="11522" width="8.42578125" style="33" customWidth="1"/>
    <col min="11523" max="11523" width="11.140625" style="33" customWidth="1"/>
    <col min="11524" max="11524" width="10.140625" style="33" customWidth="1"/>
    <col min="11525" max="11525" width="10.28515625" style="33" customWidth="1"/>
    <col min="11526" max="11526" width="10.85546875" style="33" bestFit="1" customWidth="1"/>
    <col min="11527" max="11527" width="11.28515625" style="33" bestFit="1" customWidth="1"/>
    <col min="11528" max="11528" width="9.140625" style="33" bestFit="1" customWidth="1"/>
    <col min="11529" max="11529" width="11" style="33" customWidth="1"/>
    <col min="11530" max="11530" width="10.28515625" style="33" customWidth="1"/>
    <col min="11531" max="11532" width="9.140625" style="33"/>
    <col min="11533" max="11533" width="10.140625" style="33" customWidth="1"/>
    <col min="11534" max="11536" width="10" style="33" bestFit="1" customWidth="1"/>
    <col min="11537" max="11776" width="9.140625" style="33"/>
    <col min="11777" max="11777" width="11" style="33" customWidth="1"/>
    <col min="11778" max="11778" width="8.42578125" style="33" customWidth="1"/>
    <col min="11779" max="11779" width="11.140625" style="33" customWidth="1"/>
    <col min="11780" max="11780" width="10.140625" style="33" customWidth="1"/>
    <col min="11781" max="11781" width="10.28515625" style="33" customWidth="1"/>
    <col min="11782" max="11782" width="10.85546875" style="33" bestFit="1" customWidth="1"/>
    <col min="11783" max="11783" width="11.28515625" style="33" bestFit="1" customWidth="1"/>
    <col min="11784" max="11784" width="9.140625" style="33" bestFit="1" customWidth="1"/>
    <col min="11785" max="11785" width="11" style="33" customWidth="1"/>
    <col min="11786" max="11786" width="10.28515625" style="33" customWidth="1"/>
    <col min="11787" max="11788" width="9.140625" style="33"/>
    <col min="11789" max="11789" width="10.140625" style="33" customWidth="1"/>
    <col min="11790" max="11792" width="10" style="33" bestFit="1" customWidth="1"/>
    <col min="11793" max="12032" width="9.140625" style="33"/>
    <col min="12033" max="12033" width="11" style="33" customWidth="1"/>
    <col min="12034" max="12034" width="8.42578125" style="33" customWidth="1"/>
    <col min="12035" max="12035" width="11.140625" style="33" customWidth="1"/>
    <col min="12036" max="12036" width="10.140625" style="33" customWidth="1"/>
    <col min="12037" max="12037" width="10.28515625" style="33" customWidth="1"/>
    <col min="12038" max="12038" width="10.85546875" style="33" bestFit="1" customWidth="1"/>
    <col min="12039" max="12039" width="11.28515625" style="33" bestFit="1" customWidth="1"/>
    <col min="12040" max="12040" width="9.140625" style="33" bestFit="1" customWidth="1"/>
    <col min="12041" max="12041" width="11" style="33" customWidth="1"/>
    <col min="12042" max="12042" width="10.28515625" style="33" customWidth="1"/>
    <col min="12043" max="12044" width="9.140625" style="33"/>
    <col min="12045" max="12045" width="10.140625" style="33" customWidth="1"/>
    <col min="12046" max="12048" width="10" style="33" bestFit="1" customWidth="1"/>
    <col min="12049" max="12288" width="9.140625" style="33"/>
    <col min="12289" max="12289" width="11" style="33" customWidth="1"/>
    <col min="12290" max="12290" width="8.42578125" style="33" customWidth="1"/>
    <col min="12291" max="12291" width="11.140625" style="33" customWidth="1"/>
    <col min="12292" max="12292" width="10.140625" style="33" customWidth="1"/>
    <col min="12293" max="12293" width="10.28515625" style="33" customWidth="1"/>
    <col min="12294" max="12294" width="10.85546875" style="33" bestFit="1" customWidth="1"/>
    <col min="12295" max="12295" width="11.28515625" style="33" bestFit="1" customWidth="1"/>
    <col min="12296" max="12296" width="9.140625" style="33" bestFit="1" customWidth="1"/>
    <col min="12297" max="12297" width="11" style="33" customWidth="1"/>
    <col min="12298" max="12298" width="10.28515625" style="33" customWidth="1"/>
    <col min="12299" max="12300" width="9.140625" style="33"/>
    <col min="12301" max="12301" width="10.140625" style="33" customWidth="1"/>
    <col min="12302" max="12304" width="10" style="33" bestFit="1" customWidth="1"/>
    <col min="12305" max="12544" width="9.140625" style="33"/>
    <col min="12545" max="12545" width="11" style="33" customWidth="1"/>
    <col min="12546" max="12546" width="8.42578125" style="33" customWidth="1"/>
    <col min="12547" max="12547" width="11.140625" style="33" customWidth="1"/>
    <col min="12548" max="12548" width="10.140625" style="33" customWidth="1"/>
    <col min="12549" max="12549" width="10.28515625" style="33" customWidth="1"/>
    <col min="12550" max="12550" width="10.85546875" style="33" bestFit="1" customWidth="1"/>
    <col min="12551" max="12551" width="11.28515625" style="33" bestFit="1" customWidth="1"/>
    <col min="12552" max="12552" width="9.140625" style="33" bestFit="1" customWidth="1"/>
    <col min="12553" max="12553" width="11" style="33" customWidth="1"/>
    <col min="12554" max="12554" width="10.28515625" style="33" customWidth="1"/>
    <col min="12555" max="12556" width="9.140625" style="33"/>
    <col min="12557" max="12557" width="10.140625" style="33" customWidth="1"/>
    <col min="12558" max="12560" width="10" style="33" bestFit="1" customWidth="1"/>
    <col min="12561" max="12800" width="9.140625" style="33"/>
    <col min="12801" max="12801" width="11" style="33" customWidth="1"/>
    <col min="12802" max="12802" width="8.42578125" style="33" customWidth="1"/>
    <col min="12803" max="12803" width="11.140625" style="33" customWidth="1"/>
    <col min="12804" max="12804" width="10.140625" style="33" customWidth="1"/>
    <col min="12805" max="12805" width="10.28515625" style="33" customWidth="1"/>
    <col min="12806" max="12806" width="10.85546875" style="33" bestFit="1" customWidth="1"/>
    <col min="12807" max="12807" width="11.28515625" style="33" bestFit="1" customWidth="1"/>
    <col min="12808" max="12808" width="9.140625" style="33" bestFit="1" customWidth="1"/>
    <col min="12809" max="12809" width="11" style="33" customWidth="1"/>
    <col min="12810" max="12810" width="10.28515625" style="33" customWidth="1"/>
    <col min="12811" max="12812" width="9.140625" style="33"/>
    <col min="12813" max="12813" width="10.140625" style="33" customWidth="1"/>
    <col min="12814" max="12816" width="10" style="33" bestFit="1" customWidth="1"/>
    <col min="12817" max="13056" width="9.140625" style="33"/>
    <col min="13057" max="13057" width="11" style="33" customWidth="1"/>
    <col min="13058" max="13058" width="8.42578125" style="33" customWidth="1"/>
    <col min="13059" max="13059" width="11.140625" style="33" customWidth="1"/>
    <col min="13060" max="13060" width="10.140625" style="33" customWidth="1"/>
    <col min="13061" max="13061" width="10.28515625" style="33" customWidth="1"/>
    <col min="13062" max="13062" width="10.85546875" style="33" bestFit="1" customWidth="1"/>
    <col min="13063" max="13063" width="11.28515625" style="33" bestFit="1" customWidth="1"/>
    <col min="13064" max="13064" width="9.140625" style="33" bestFit="1" customWidth="1"/>
    <col min="13065" max="13065" width="11" style="33" customWidth="1"/>
    <col min="13066" max="13066" width="10.28515625" style="33" customWidth="1"/>
    <col min="13067" max="13068" width="9.140625" style="33"/>
    <col min="13069" max="13069" width="10.140625" style="33" customWidth="1"/>
    <col min="13070" max="13072" width="10" style="33" bestFit="1" customWidth="1"/>
    <col min="13073" max="13312" width="9.140625" style="33"/>
    <col min="13313" max="13313" width="11" style="33" customWidth="1"/>
    <col min="13314" max="13314" width="8.42578125" style="33" customWidth="1"/>
    <col min="13315" max="13315" width="11.140625" style="33" customWidth="1"/>
    <col min="13316" max="13316" width="10.140625" style="33" customWidth="1"/>
    <col min="13317" max="13317" width="10.28515625" style="33" customWidth="1"/>
    <col min="13318" max="13318" width="10.85546875" style="33" bestFit="1" customWidth="1"/>
    <col min="13319" max="13319" width="11.28515625" style="33" bestFit="1" customWidth="1"/>
    <col min="13320" max="13320" width="9.140625" style="33" bestFit="1" customWidth="1"/>
    <col min="13321" max="13321" width="11" style="33" customWidth="1"/>
    <col min="13322" max="13322" width="10.28515625" style="33" customWidth="1"/>
    <col min="13323" max="13324" width="9.140625" style="33"/>
    <col min="13325" max="13325" width="10.140625" style="33" customWidth="1"/>
    <col min="13326" max="13328" width="10" style="33" bestFit="1" customWidth="1"/>
    <col min="13329" max="13568" width="9.140625" style="33"/>
    <col min="13569" max="13569" width="11" style="33" customWidth="1"/>
    <col min="13570" max="13570" width="8.42578125" style="33" customWidth="1"/>
    <col min="13571" max="13571" width="11.140625" style="33" customWidth="1"/>
    <col min="13572" max="13572" width="10.140625" style="33" customWidth="1"/>
    <col min="13573" max="13573" width="10.28515625" style="33" customWidth="1"/>
    <col min="13574" max="13574" width="10.85546875" style="33" bestFit="1" customWidth="1"/>
    <col min="13575" max="13575" width="11.28515625" style="33" bestFit="1" customWidth="1"/>
    <col min="13576" max="13576" width="9.140625" style="33" bestFit="1" customWidth="1"/>
    <col min="13577" max="13577" width="11" style="33" customWidth="1"/>
    <col min="13578" max="13578" width="10.28515625" style="33" customWidth="1"/>
    <col min="13579" max="13580" width="9.140625" style="33"/>
    <col min="13581" max="13581" width="10.140625" style="33" customWidth="1"/>
    <col min="13582" max="13584" width="10" style="33" bestFit="1" customWidth="1"/>
    <col min="13585" max="13824" width="9.140625" style="33"/>
    <col min="13825" max="13825" width="11" style="33" customWidth="1"/>
    <col min="13826" max="13826" width="8.42578125" style="33" customWidth="1"/>
    <col min="13827" max="13827" width="11.140625" style="33" customWidth="1"/>
    <col min="13828" max="13828" width="10.140625" style="33" customWidth="1"/>
    <col min="13829" max="13829" width="10.28515625" style="33" customWidth="1"/>
    <col min="13830" max="13830" width="10.85546875" style="33" bestFit="1" customWidth="1"/>
    <col min="13831" max="13831" width="11.28515625" style="33" bestFit="1" customWidth="1"/>
    <col min="13832" max="13832" width="9.140625" style="33" bestFit="1" customWidth="1"/>
    <col min="13833" max="13833" width="11" style="33" customWidth="1"/>
    <col min="13834" max="13834" width="10.28515625" style="33" customWidth="1"/>
    <col min="13835" max="13836" width="9.140625" style="33"/>
    <col min="13837" max="13837" width="10.140625" style="33" customWidth="1"/>
    <col min="13838" max="13840" width="10" style="33" bestFit="1" customWidth="1"/>
    <col min="13841" max="14080" width="9.140625" style="33"/>
    <col min="14081" max="14081" width="11" style="33" customWidth="1"/>
    <col min="14082" max="14082" width="8.42578125" style="33" customWidth="1"/>
    <col min="14083" max="14083" width="11.140625" style="33" customWidth="1"/>
    <col min="14084" max="14084" width="10.140625" style="33" customWidth="1"/>
    <col min="14085" max="14085" width="10.28515625" style="33" customWidth="1"/>
    <col min="14086" max="14086" width="10.85546875" style="33" bestFit="1" customWidth="1"/>
    <col min="14087" max="14087" width="11.28515625" style="33" bestFit="1" customWidth="1"/>
    <col min="14088" max="14088" width="9.140625" style="33" bestFit="1" customWidth="1"/>
    <col min="14089" max="14089" width="11" style="33" customWidth="1"/>
    <col min="14090" max="14090" width="10.28515625" style="33" customWidth="1"/>
    <col min="14091" max="14092" width="9.140625" style="33"/>
    <col min="14093" max="14093" width="10.140625" style="33" customWidth="1"/>
    <col min="14094" max="14096" width="10" style="33" bestFit="1" customWidth="1"/>
    <col min="14097" max="14336" width="9.140625" style="33"/>
    <col min="14337" max="14337" width="11" style="33" customWidth="1"/>
    <col min="14338" max="14338" width="8.42578125" style="33" customWidth="1"/>
    <col min="14339" max="14339" width="11.140625" style="33" customWidth="1"/>
    <col min="14340" max="14340" width="10.140625" style="33" customWidth="1"/>
    <col min="14341" max="14341" width="10.28515625" style="33" customWidth="1"/>
    <col min="14342" max="14342" width="10.85546875" style="33" bestFit="1" customWidth="1"/>
    <col min="14343" max="14343" width="11.28515625" style="33" bestFit="1" customWidth="1"/>
    <col min="14344" max="14344" width="9.140625" style="33" bestFit="1" customWidth="1"/>
    <col min="14345" max="14345" width="11" style="33" customWidth="1"/>
    <col min="14346" max="14346" width="10.28515625" style="33" customWidth="1"/>
    <col min="14347" max="14348" width="9.140625" style="33"/>
    <col min="14349" max="14349" width="10.140625" style="33" customWidth="1"/>
    <col min="14350" max="14352" width="10" style="33" bestFit="1" customWidth="1"/>
    <col min="14353" max="14592" width="9.140625" style="33"/>
    <col min="14593" max="14593" width="11" style="33" customWidth="1"/>
    <col min="14594" max="14594" width="8.42578125" style="33" customWidth="1"/>
    <col min="14595" max="14595" width="11.140625" style="33" customWidth="1"/>
    <col min="14596" max="14596" width="10.140625" style="33" customWidth="1"/>
    <col min="14597" max="14597" width="10.28515625" style="33" customWidth="1"/>
    <col min="14598" max="14598" width="10.85546875" style="33" bestFit="1" customWidth="1"/>
    <col min="14599" max="14599" width="11.28515625" style="33" bestFit="1" customWidth="1"/>
    <col min="14600" max="14600" width="9.140625" style="33" bestFit="1" customWidth="1"/>
    <col min="14601" max="14601" width="11" style="33" customWidth="1"/>
    <col min="14602" max="14602" width="10.28515625" style="33" customWidth="1"/>
    <col min="14603" max="14604" width="9.140625" style="33"/>
    <col min="14605" max="14605" width="10.140625" style="33" customWidth="1"/>
    <col min="14606" max="14608" width="10" style="33" bestFit="1" customWidth="1"/>
    <col min="14609" max="14848" width="9.140625" style="33"/>
    <col min="14849" max="14849" width="11" style="33" customWidth="1"/>
    <col min="14850" max="14850" width="8.42578125" style="33" customWidth="1"/>
    <col min="14851" max="14851" width="11.140625" style="33" customWidth="1"/>
    <col min="14852" max="14852" width="10.140625" style="33" customWidth="1"/>
    <col min="14853" max="14853" width="10.28515625" style="33" customWidth="1"/>
    <col min="14854" max="14854" width="10.85546875" style="33" bestFit="1" customWidth="1"/>
    <col min="14855" max="14855" width="11.28515625" style="33" bestFit="1" customWidth="1"/>
    <col min="14856" max="14856" width="9.140625" style="33" bestFit="1" customWidth="1"/>
    <col min="14857" max="14857" width="11" style="33" customWidth="1"/>
    <col min="14858" max="14858" width="10.28515625" style="33" customWidth="1"/>
    <col min="14859" max="14860" width="9.140625" style="33"/>
    <col min="14861" max="14861" width="10.140625" style="33" customWidth="1"/>
    <col min="14862" max="14864" width="10" style="33" bestFit="1" customWidth="1"/>
    <col min="14865" max="15104" width="9.140625" style="33"/>
    <col min="15105" max="15105" width="11" style="33" customWidth="1"/>
    <col min="15106" max="15106" width="8.42578125" style="33" customWidth="1"/>
    <col min="15107" max="15107" width="11.140625" style="33" customWidth="1"/>
    <col min="15108" max="15108" width="10.140625" style="33" customWidth="1"/>
    <col min="15109" max="15109" width="10.28515625" style="33" customWidth="1"/>
    <col min="15110" max="15110" width="10.85546875" style="33" bestFit="1" customWidth="1"/>
    <col min="15111" max="15111" width="11.28515625" style="33" bestFit="1" customWidth="1"/>
    <col min="15112" max="15112" width="9.140625" style="33" bestFit="1" customWidth="1"/>
    <col min="15113" max="15113" width="11" style="33" customWidth="1"/>
    <col min="15114" max="15114" width="10.28515625" style="33" customWidth="1"/>
    <col min="15115" max="15116" width="9.140625" style="33"/>
    <col min="15117" max="15117" width="10.140625" style="33" customWidth="1"/>
    <col min="15118" max="15120" width="10" style="33" bestFit="1" customWidth="1"/>
    <col min="15121" max="15360" width="9.140625" style="33"/>
    <col min="15361" max="15361" width="11" style="33" customWidth="1"/>
    <col min="15362" max="15362" width="8.42578125" style="33" customWidth="1"/>
    <col min="15363" max="15363" width="11.140625" style="33" customWidth="1"/>
    <col min="15364" max="15364" width="10.140625" style="33" customWidth="1"/>
    <col min="15365" max="15365" width="10.28515625" style="33" customWidth="1"/>
    <col min="15366" max="15366" width="10.85546875" style="33" bestFit="1" customWidth="1"/>
    <col min="15367" max="15367" width="11.28515625" style="33" bestFit="1" customWidth="1"/>
    <col min="15368" max="15368" width="9.140625" style="33" bestFit="1" customWidth="1"/>
    <col min="15369" max="15369" width="11" style="33" customWidth="1"/>
    <col min="15370" max="15370" width="10.28515625" style="33" customWidth="1"/>
    <col min="15371" max="15372" width="9.140625" style="33"/>
    <col min="15373" max="15373" width="10.140625" style="33" customWidth="1"/>
    <col min="15374" max="15376" width="10" style="33" bestFit="1" customWidth="1"/>
    <col min="15377" max="15616" width="9.140625" style="33"/>
    <col min="15617" max="15617" width="11" style="33" customWidth="1"/>
    <col min="15618" max="15618" width="8.42578125" style="33" customWidth="1"/>
    <col min="15619" max="15619" width="11.140625" style="33" customWidth="1"/>
    <col min="15620" max="15620" width="10.140625" style="33" customWidth="1"/>
    <col min="15621" max="15621" width="10.28515625" style="33" customWidth="1"/>
    <col min="15622" max="15622" width="10.85546875" style="33" bestFit="1" customWidth="1"/>
    <col min="15623" max="15623" width="11.28515625" style="33" bestFit="1" customWidth="1"/>
    <col min="15624" max="15624" width="9.140625" style="33" bestFit="1" customWidth="1"/>
    <col min="15625" max="15625" width="11" style="33" customWidth="1"/>
    <col min="15626" max="15626" width="10.28515625" style="33" customWidth="1"/>
    <col min="15627" max="15628" width="9.140625" style="33"/>
    <col min="15629" max="15629" width="10.140625" style="33" customWidth="1"/>
    <col min="15630" max="15632" width="10" style="33" bestFit="1" customWidth="1"/>
    <col min="15633" max="15872" width="9.140625" style="33"/>
    <col min="15873" max="15873" width="11" style="33" customWidth="1"/>
    <col min="15874" max="15874" width="8.42578125" style="33" customWidth="1"/>
    <col min="15875" max="15875" width="11.140625" style="33" customWidth="1"/>
    <col min="15876" max="15876" width="10.140625" style="33" customWidth="1"/>
    <col min="15877" max="15877" width="10.28515625" style="33" customWidth="1"/>
    <col min="15878" max="15878" width="10.85546875" style="33" bestFit="1" customWidth="1"/>
    <col min="15879" max="15879" width="11.28515625" style="33" bestFit="1" customWidth="1"/>
    <col min="15880" max="15880" width="9.140625" style="33" bestFit="1" customWidth="1"/>
    <col min="15881" max="15881" width="11" style="33" customWidth="1"/>
    <col min="15882" max="15882" width="10.28515625" style="33" customWidth="1"/>
    <col min="15883" max="15884" width="9.140625" style="33"/>
    <col min="15885" max="15885" width="10.140625" style="33" customWidth="1"/>
    <col min="15886" max="15888" width="10" style="33" bestFit="1" customWidth="1"/>
    <col min="15889" max="16128" width="9.140625" style="33"/>
    <col min="16129" max="16129" width="11" style="33" customWidth="1"/>
    <col min="16130" max="16130" width="8.42578125" style="33" customWidth="1"/>
    <col min="16131" max="16131" width="11.140625" style="33" customWidth="1"/>
    <col min="16132" max="16132" width="10.140625" style="33" customWidth="1"/>
    <col min="16133" max="16133" width="10.28515625" style="33" customWidth="1"/>
    <col min="16134" max="16134" width="10.85546875" style="33" bestFit="1" customWidth="1"/>
    <col min="16135" max="16135" width="11.28515625" style="33" bestFit="1" customWidth="1"/>
    <col min="16136" max="16136" width="9.140625" style="33" bestFit="1" customWidth="1"/>
    <col min="16137" max="16137" width="11" style="33" customWidth="1"/>
    <col min="16138" max="16138" width="10.28515625" style="33" customWidth="1"/>
    <col min="16139" max="16140" width="9.140625" style="33"/>
    <col min="16141" max="16141" width="10.140625" style="33" customWidth="1"/>
    <col min="16142" max="16144" width="10" style="33" bestFit="1" customWidth="1"/>
    <col min="16145" max="16384" width="9.140625" style="33"/>
  </cols>
  <sheetData>
    <row r="3" spans="1:25" x14ac:dyDescent="0.15">
      <c r="A3" s="56" t="s">
        <v>72</v>
      </c>
      <c r="B3" s="449" t="str">
        <f>Míni!B2</f>
        <v>1º de Janeiro a 30 de Junho de 2023</v>
      </c>
    </row>
    <row r="4" spans="1:25" x14ac:dyDescent="0.15">
      <c r="B4" s="33" t="s">
        <v>73</v>
      </c>
    </row>
    <row r="5" spans="1:25" x14ac:dyDescent="0.15">
      <c r="B5" s="33" t="s">
        <v>74</v>
      </c>
      <c r="D5" s="33" t="s">
        <v>75</v>
      </c>
      <c r="F5" s="33" t="s">
        <v>76</v>
      </c>
      <c r="H5" s="33" t="s">
        <v>77</v>
      </c>
      <c r="K5" s="57" t="s">
        <v>78</v>
      </c>
    </row>
    <row r="6" spans="1:25" s="58" customFormat="1" x14ac:dyDescent="0.15">
      <c r="C6" s="59"/>
      <c r="H6" s="58" t="s">
        <v>79</v>
      </c>
      <c r="P6" s="60"/>
      <c r="R6" s="33"/>
      <c r="S6" s="33"/>
      <c r="T6" s="33"/>
      <c r="U6" s="33"/>
      <c r="V6" s="33"/>
      <c r="W6" s="33"/>
      <c r="X6" s="33"/>
      <c r="Y6" s="33"/>
    </row>
    <row r="7" spans="1:25" x14ac:dyDescent="0.15">
      <c r="A7" s="59"/>
      <c r="B7" s="59"/>
      <c r="D7" s="61"/>
      <c r="J7" s="62"/>
    </row>
    <row r="8" spans="1:25" s="58" customFormat="1" x14ac:dyDescent="0.15">
      <c r="C8" s="59"/>
      <c r="D8" s="59"/>
      <c r="E8" s="59"/>
      <c r="F8" s="59"/>
      <c r="G8" s="59"/>
      <c r="H8" s="59"/>
      <c r="N8" s="59"/>
      <c r="O8" s="59"/>
      <c r="P8" s="63"/>
      <c r="R8" s="33"/>
      <c r="S8" s="33"/>
      <c r="T8" s="33"/>
      <c r="U8" s="33"/>
      <c r="V8" s="33"/>
      <c r="W8" s="33"/>
      <c r="X8" s="33"/>
      <c r="Y8" s="33"/>
    </row>
    <row r="9" spans="1:25" x14ac:dyDescent="0.15">
      <c r="A9" s="64" t="s">
        <v>80</v>
      </c>
      <c r="B9" s="65" t="s">
        <v>52</v>
      </c>
      <c r="C9" s="66" t="s">
        <v>81</v>
      </c>
      <c r="D9" s="66" t="s">
        <v>82</v>
      </c>
      <c r="E9" s="66" t="s">
        <v>83</v>
      </c>
      <c r="F9" s="66" t="s">
        <v>84</v>
      </c>
      <c r="G9" s="64" t="s">
        <v>80</v>
      </c>
      <c r="H9" s="67" t="s">
        <v>52</v>
      </c>
      <c r="I9" s="68" t="s">
        <v>81</v>
      </c>
      <c r="J9" s="68" t="s">
        <v>82</v>
      </c>
      <c r="K9" s="68" t="s">
        <v>83</v>
      </c>
      <c r="L9" s="66" t="s">
        <v>84</v>
      </c>
    </row>
    <row r="10" spans="1:25" x14ac:dyDescent="0.15">
      <c r="A10" s="64" t="s">
        <v>422</v>
      </c>
      <c r="B10" s="435">
        <v>25351934.43</v>
      </c>
      <c r="C10" s="69">
        <v>10600061.18</v>
      </c>
      <c r="D10" s="69">
        <v>10598981.279999999</v>
      </c>
      <c r="E10" s="70">
        <v>9745880.4900000002</v>
      </c>
      <c r="F10" s="70">
        <f>B10-C10</f>
        <v>14751873.25</v>
      </c>
      <c r="G10" s="64" t="s">
        <v>417</v>
      </c>
      <c r="H10" s="606">
        <v>633205.86</v>
      </c>
      <c r="I10" s="26">
        <v>554880.69999999995</v>
      </c>
      <c r="J10" s="26">
        <v>554880.69999999995</v>
      </c>
      <c r="K10" s="71">
        <v>335019.84999999998</v>
      </c>
      <c r="L10" s="70">
        <f>H10-I10</f>
        <v>78325.160000000033</v>
      </c>
    </row>
    <row r="11" spans="1:25" x14ac:dyDescent="0.15">
      <c r="A11" s="64" t="s">
        <v>423</v>
      </c>
      <c r="B11" s="435">
        <v>4007837.41</v>
      </c>
      <c r="C11" s="69">
        <v>897541.49</v>
      </c>
      <c r="D11" s="69">
        <v>897541.49</v>
      </c>
      <c r="E11" s="69">
        <v>835147.85</v>
      </c>
      <c r="F11" s="70">
        <f>B11-C11</f>
        <v>3110295.92</v>
      </c>
      <c r="G11" s="64" t="s">
        <v>418</v>
      </c>
      <c r="H11" s="68">
        <v>337866.49</v>
      </c>
      <c r="I11" s="26"/>
      <c r="J11" s="26"/>
      <c r="K11" s="71"/>
      <c r="L11" s="70">
        <f>H11-I11</f>
        <v>337866.49</v>
      </c>
    </row>
    <row r="12" spans="1:25" x14ac:dyDescent="0.15">
      <c r="A12" s="66" t="s">
        <v>424</v>
      </c>
      <c r="B12" s="435">
        <v>3201312.01</v>
      </c>
      <c r="C12" s="69">
        <v>1876400.13</v>
      </c>
      <c r="D12" s="69">
        <v>1876400.13</v>
      </c>
      <c r="E12" s="70">
        <v>1753580.24</v>
      </c>
      <c r="F12" s="70">
        <f>B12-C12</f>
        <v>1324911.8799999999</v>
      </c>
      <c r="G12" s="66" t="s">
        <v>419</v>
      </c>
      <c r="H12" s="68">
        <v>136570.65</v>
      </c>
      <c r="I12" s="26"/>
      <c r="J12" s="26"/>
      <c r="K12" s="71"/>
      <c r="L12" s="70">
        <f>H12-I12</f>
        <v>136570.65</v>
      </c>
    </row>
    <row r="13" spans="1:25" x14ac:dyDescent="0.15">
      <c r="A13" s="66" t="s">
        <v>425</v>
      </c>
      <c r="B13" s="435">
        <v>1826925.99</v>
      </c>
      <c r="C13" s="69">
        <v>615206.01</v>
      </c>
      <c r="D13" s="69">
        <v>615206.01</v>
      </c>
      <c r="E13" s="69">
        <v>568072.18999999994</v>
      </c>
      <c r="F13" s="70">
        <f>B13-C13</f>
        <v>1211719.98</v>
      </c>
      <c r="G13" s="66" t="s">
        <v>420</v>
      </c>
      <c r="H13" s="69">
        <v>17613.759999999998</v>
      </c>
      <c r="I13" s="69"/>
      <c r="J13" s="69"/>
      <c r="K13" s="69"/>
      <c r="L13" s="70">
        <f>H13-I13</f>
        <v>17613.759999999998</v>
      </c>
    </row>
    <row r="14" spans="1:25" x14ac:dyDescent="0.15">
      <c r="A14" s="66" t="s">
        <v>426</v>
      </c>
      <c r="B14" s="435">
        <v>502235.82</v>
      </c>
      <c r="C14" s="69">
        <v>259142.93</v>
      </c>
      <c r="D14" s="69">
        <v>259142.93</v>
      </c>
      <c r="E14" s="70">
        <v>241738.89</v>
      </c>
      <c r="F14" s="70">
        <f>B14-C14</f>
        <v>243092.89</v>
      </c>
      <c r="G14" s="88" t="s">
        <v>461</v>
      </c>
      <c r="H14" s="68">
        <v>26041</v>
      </c>
      <c r="I14" s="26"/>
      <c r="J14" s="26"/>
      <c r="K14" s="71"/>
      <c r="L14" s="70">
        <f>H14-I14</f>
        <v>26041</v>
      </c>
    </row>
    <row r="15" spans="1:25" s="78" customFormat="1" x14ac:dyDescent="0.15">
      <c r="A15" s="73" t="s">
        <v>85</v>
      </c>
      <c r="B15" s="667">
        <f>SUM(B10:B14)</f>
        <v>34890245.660000004</v>
      </c>
      <c r="C15" s="75">
        <f>SUM(C10:C14)</f>
        <v>14248351.74</v>
      </c>
      <c r="D15" s="75">
        <f>SUM(D10:D14)</f>
        <v>14247271.839999998</v>
      </c>
      <c r="E15" s="76">
        <f>SUM(E10:E14)</f>
        <v>13144419.66</v>
      </c>
      <c r="F15" s="74">
        <f>SUM(F10:F14)</f>
        <v>20641893.920000002</v>
      </c>
      <c r="G15" s="73" t="s">
        <v>86</v>
      </c>
      <c r="H15" s="74">
        <f>SUM(H10:H14)</f>
        <v>1151297.76</v>
      </c>
      <c r="I15" s="75">
        <f>SUM(I10:I14)</f>
        <v>554880.69999999995</v>
      </c>
      <c r="J15" s="75">
        <f>SUM(J10:J14)</f>
        <v>554880.69999999995</v>
      </c>
      <c r="K15" s="77">
        <f>SUM(K10:K14)</f>
        <v>335019.84999999998</v>
      </c>
      <c r="L15" s="74">
        <f>SUM(L10:L14)</f>
        <v>596417.06000000006</v>
      </c>
    </row>
    <row r="16" spans="1:25" s="78" customFormat="1" x14ac:dyDescent="0.15">
      <c r="A16" s="79"/>
      <c r="B16" s="80"/>
      <c r="C16" s="81"/>
      <c r="D16" s="81"/>
      <c r="E16" s="82"/>
      <c r="F16" s="80"/>
      <c r="G16" s="79"/>
      <c r="H16" s="80"/>
      <c r="I16" s="81"/>
      <c r="J16" s="81"/>
      <c r="K16" s="82"/>
      <c r="L16" s="80"/>
      <c r="M16" s="56"/>
      <c r="N16" s="83"/>
      <c r="O16" s="83"/>
      <c r="P16" s="83"/>
    </row>
    <row r="17" spans="1:16" s="78" customFormat="1" x14ac:dyDescent="0.15">
      <c r="A17" s="79"/>
      <c r="C17" s="80" t="s">
        <v>87</v>
      </c>
      <c r="D17" s="81">
        <f>D15</f>
        <v>14247271.839999998</v>
      </c>
      <c r="E17" s="84">
        <f>D17/E37</f>
        <v>0.96251351291641263</v>
      </c>
      <c r="F17" s="80"/>
      <c r="G17" s="79"/>
      <c r="H17" s="80"/>
      <c r="I17" s="81" t="s">
        <v>88</v>
      </c>
      <c r="J17" s="81">
        <f>J15</f>
        <v>554880.69999999995</v>
      </c>
      <c r="K17" s="84">
        <f>J17/E37</f>
        <v>3.7486487083587372E-2</v>
      </c>
      <c r="L17" s="80"/>
      <c r="M17" s="56"/>
      <c r="N17" s="83"/>
      <c r="O17" s="83"/>
      <c r="P17" s="83"/>
    </row>
    <row r="18" spans="1:16" s="78" customFormat="1" x14ac:dyDescent="0.15">
      <c r="A18" s="79"/>
      <c r="B18" s="80"/>
      <c r="C18" s="81"/>
      <c r="D18" s="81"/>
      <c r="E18" s="82"/>
      <c r="F18" s="80"/>
      <c r="G18" s="79"/>
      <c r="H18" s="80"/>
      <c r="I18" s="81"/>
      <c r="J18" s="81"/>
      <c r="K18" s="82"/>
      <c r="L18" s="80"/>
      <c r="M18" s="56"/>
      <c r="N18" s="83"/>
      <c r="O18" s="83"/>
      <c r="P18" s="83"/>
    </row>
    <row r="19" spans="1:16" x14ac:dyDescent="0.15">
      <c r="A19" s="724" t="s">
        <v>422</v>
      </c>
      <c r="B19" s="435">
        <v>2937848.07</v>
      </c>
      <c r="C19" s="69">
        <v>2633251.7400000002</v>
      </c>
      <c r="D19" s="69">
        <v>2633251.7400000002</v>
      </c>
      <c r="E19" s="69">
        <v>2122954.25</v>
      </c>
      <c r="F19" s="70">
        <f t="shared" ref="F19:F24" si="0">B19-C19</f>
        <v>304596.32999999961</v>
      </c>
      <c r="G19" s="64" t="s">
        <v>417</v>
      </c>
      <c r="H19" s="68">
        <v>6321993.9800000004</v>
      </c>
      <c r="I19" s="26">
        <v>3099307.24</v>
      </c>
      <c r="J19" s="26">
        <v>3099307.24</v>
      </c>
      <c r="K19" s="71">
        <v>2292070.3199999998</v>
      </c>
      <c r="L19" s="70">
        <f t="shared" ref="L19:L24" si="1">H19-I19</f>
        <v>3222686.74</v>
      </c>
    </row>
    <row r="20" spans="1:16" x14ac:dyDescent="0.15">
      <c r="A20" s="725" t="s">
        <v>423</v>
      </c>
      <c r="B20" s="435">
        <v>280001</v>
      </c>
      <c r="C20" s="69">
        <v>19127.88</v>
      </c>
      <c r="D20" s="69">
        <v>19127.88</v>
      </c>
      <c r="E20" s="69">
        <v>18569.580000000002</v>
      </c>
      <c r="F20" s="70">
        <f t="shared" si="0"/>
        <v>260873.12</v>
      </c>
      <c r="G20" s="64" t="s">
        <v>418</v>
      </c>
      <c r="H20" s="68">
        <v>3975753.58</v>
      </c>
      <c r="I20" s="26">
        <v>411348.07</v>
      </c>
      <c r="J20" s="26">
        <v>411348.07</v>
      </c>
      <c r="K20" s="71">
        <v>321385.25</v>
      </c>
      <c r="L20" s="70">
        <f t="shared" si="1"/>
        <v>3564405.5100000002</v>
      </c>
    </row>
    <row r="21" spans="1:16" x14ac:dyDescent="0.15">
      <c r="A21" s="726" t="s">
        <v>424</v>
      </c>
      <c r="B21" s="435">
        <v>411601</v>
      </c>
      <c r="C21" s="69">
        <v>249425.88</v>
      </c>
      <c r="D21" s="69">
        <v>249425.88</v>
      </c>
      <c r="E21" s="69">
        <v>147513.57</v>
      </c>
      <c r="F21" s="70">
        <f t="shared" si="0"/>
        <v>162175.12</v>
      </c>
      <c r="G21" s="66" t="s">
        <v>419</v>
      </c>
      <c r="H21" s="68">
        <v>1694037.53</v>
      </c>
      <c r="I21" s="26">
        <v>1628903.58</v>
      </c>
      <c r="J21" s="26">
        <v>1628903.58</v>
      </c>
      <c r="K21" s="71">
        <v>1273604.1599999999</v>
      </c>
      <c r="L21" s="70">
        <f t="shared" si="1"/>
        <v>65133.949999999953</v>
      </c>
    </row>
    <row r="22" spans="1:16" x14ac:dyDescent="0.15">
      <c r="A22" s="726" t="s">
        <v>426</v>
      </c>
      <c r="B22" s="435">
        <v>94201</v>
      </c>
      <c r="C22" s="69"/>
      <c r="D22" s="69"/>
      <c r="E22" s="69"/>
      <c r="F22" s="70">
        <f t="shared" si="0"/>
        <v>94201</v>
      </c>
      <c r="G22" s="64" t="s">
        <v>421</v>
      </c>
      <c r="H22" s="68">
        <v>146230.84</v>
      </c>
      <c r="I22" s="26">
        <v>94458.05</v>
      </c>
      <c r="J22" s="26">
        <v>94458.05</v>
      </c>
      <c r="K22" s="71">
        <v>74228.95</v>
      </c>
      <c r="L22" s="70">
        <f t="shared" si="1"/>
        <v>51772.789999999994</v>
      </c>
    </row>
    <row r="23" spans="1:16" x14ac:dyDescent="0.15">
      <c r="A23" s="24" t="s">
        <v>374</v>
      </c>
      <c r="B23" s="436">
        <v>233001</v>
      </c>
      <c r="C23" s="218">
        <v>225527.14</v>
      </c>
      <c r="D23" s="218">
        <v>225527.14</v>
      </c>
      <c r="E23" s="218">
        <v>205028.76</v>
      </c>
      <c r="F23" s="70">
        <f t="shared" si="0"/>
        <v>7473.859999999986</v>
      </c>
      <c r="G23" s="64" t="s">
        <v>437</v>
      </c>
      <c r="H23" s="68">
        <v>185111.75</v>
      </c>
      <c r="I23" s="26">
        <v>85279.65</v>
      </c>
      <c r="J23" s="26">
        <v>85279.65</v>
      </c>
      <c r="K23" s="71">
        <v>67997.570000000007</v>
      </c>
      <c r="L23" s="70">
        <f t="shared" si="1"/>
        <v>99832.1</v>
      </c>
    </row>
    <row r="24" spans="1:16" x14ac:dyDescent="0.15">
      <c r="A24" s="66" t="s">
        <v>375</v>
      </c>
      <c r="B24" s="341">
        <f>50000</f>
        <v>50000</v>
      </c>
      <c r="C24" s="194"/>
      <c r="D24" s="194"/>
      <c r="E24" s="194"/>
      <c r="F24" s="70">
        <f t="shared" si="0"/>
        <v>50000</v>
      </c>
      <c r="G24" s="66" t="s">
        <v>449</v>
      </c>
      <c r="H24" s="69">
        <v>463207.62</v>
      </c>
      <c r="I24" s="69">
        <v>216441.63</v>
      </c>
      <c r="J24" s="69">
        <v>216441.63</v>
      </c>
      <c r="K24" s="69">
        <v>166662.35999999999</v>
      </c>
      <c r="L24" s="70">
        <f t="shared" si="1"/>
        <v>246765.99</v>
      </c>
    </row>
    <row r="25" spans="1:16" x14ac:dyDescent="0.15">
      <c r="A25" s="88" t="s">
        <v>450</v>
      </c>
      <c r="B25" s="341"/>
      <c r="C25" s="34"/>
      <c r="D25" s="34"/>
      <c r="E25" s="34"/>
      <c r="F25" s="70">
        <f>B25-C25</f>
        <v>0</v>
      </c>
      <c r="G25" s="88" t="s">
        <v>451</v>
      </c>
      <c r="H25" s="69">
        <v>2177873.13</v>
      </c>
      <c r="I25" s="69">
        <v>996551.5</v>
      </c>
      <c r="J25" s="69">
        <v>995936.07</v>
      </c>
      <c r="K25" s="69">
        <v>773951.97</v>
      </c>
      <c r="L25" s="70">
        <f>H25-I25</f>
        <v>1181321.6299999999</v>
      </c>
    </row>
    <row r="26" spans="1:16" x14ac:dyDescent="0.15">
      <c r="A26" s="85" t="s">
        <v>89</v>
      </c>
      <c r="B26" s="437">
        <f>SUM(B19:B25)</f>
        <v>4006652.07</v>
      </c>
      <c r="C26" s="74">
        <f t="shared" ref="C26:F26" si="2">SUM(C19:C25)</f>
        <v>3127332.64</v>
      </c>
      <c r="D26" s="74">
        <f>SUM(D19:D25)</f>
        <v>3127332.64</v>
      </c>
      <c r="E26" s="74">
        <f t="shared" si="2"/>
        <v>2494066.16</v>
      </c>
      <c r="F26" s="74">
        <f t="shared" si="2"/>
        <v>879319.42999999959</v>
      </c>
      <c r="G26" s="85" t="s">
        <v>90</v>
      </c>
      <c r="H26" s="74">
        <f>SUM(H19:H25)</f>
        <v>14964208.43</v>
      </c>
      <c r="I26" s="75">
        <f>SUM(I19:I25)</f>
        <v>6532289.7200000007</v>
      </c>
      <c r="J26" s="75">
        <f>SUM(J19:J25)</f>
        <v>6531674.290000001</v>
      </c>
      <c r="K26" s="74">
        <f>SUM(K19:K25)</f>
        <v>4969900.5799999991</v>
      </c>
      <c r="L26" s="74">
        <f>SUM(L19:L25)</f>
        <v>8431918.7100000009</v>
      </c>
    </row>
    <row r="27" spans="1:16" x14ac:dyDescent="0.15">
      <c r="C27" s="86"/>
      <c r="D27" s="86"/>
      <c r="E27" s="86"/>
      <c r="F27" s="86"/>
      <c r="G27" s="397"/>
      <c r="H27" s="87"/>
      <c r="I27" s="86"/>
      <c r="J27" s="86"/>
      <c r="K27" s="86"/>
      <c r="L27" s="86"/>
    </row>
    <row r="28" spans="1:16" x14ac:dyDescent="0.15">
      <c r="B28" s="34"/>
      <c r="C28" s="57" t="s">
        <v>373</v>
      </c>
      <c r="D28" s="86">
        <f>D26</f>
        <v>3127332.64</v>
      </c>
      <c r="G28" s="88"/>
      <c r="H28" s="34"/>
      <c r="I28" s="34"/>
    </row>
    <row r="31" spans="1:16" x14ac:dyDescent="0.15">
      <c r="A31" s="33" t="s">
        <v>91</v>
      </c>
      <c r="B31" s="58" t="s">
        <v>92</v>
      </c>
      <c r="C31" s="33" t="s">
        <v>93</v>
      </c>
      <c r="D31" s="33" t="s">
        <v>94</v>
      </c>
      <c r="E31" s="33" t="s">
        <v>95</v>
      </c>
      <c r="F31" s="33" t="s">
        <v>96</v>
      </c>
      <c r="H31" s="66" t="s">
        <v>91</v>
      </c>
      <c r="I31" s="66" t="s">
        <v>81</v>
      </c>
      <c r="J31" s="66" t="s">
        <v>82</v>
      </c>
      <c r="K31" s="66" t="s">
        <v>83</v>
      </c>
    </row>
    <row r="32" spans="1:16" x14ac:dyDescent="0.15">
      <c r="A32" s="33" t="s">
        <v>97</v>
      </c>
      <c r="B32" s="33">
        <v>2221</v>
      </c>
      <c r="C32" s="89">
        <f>B32/B37</f>
        <v>0.58217562254259503</v>
      </c>
      <c r="D32" s="35">
        <f>C32*J34</f>
        <v>14240690.742560944</v>
      </c>
      <c r="E32" s="34">
        <f>D10+J10</f>
        <v>11153861.979999999</v>
      </c>
      <c r="F32" s="90">
        <f>D32-E32</f>
        <v>3086828.762560945</v>
      </c>
      <c r="H32" s="66" t="s">
        <v>98</v>
      </c>
      <c r="I32" s="69">
        <f>C15+I15</f>
        <v>14803232.439999999</v>
      </c>
      <c r="J32" s="69">
        <f>D15+J15</f>
        <v>14802152.539999997</v>
      </c>
      <c r="K32" s="69">
        <f>E15+K15</f>
        <v>13479439.51</v>
      </c>
      <c r="N32" s="34"/>
    </row>
    <row r="33" spans="1:14" x14ac:dyDescent="0.15">
      <c r="A33" s="33" t="s">
        <v>99</v>
      </c>
      <c r="B33" s="33">
        <v>648</v>
      </c>
      <c r="C33" s="89">
        <f>B33/B37</f>
        <v>0.16985583224115333</v>
      </c>
      <c r="D33" s="35">
        <f>C33*J34</f>
        <v>4154870.599360419</v>
      </c>
      <c r="E33" s="34">
        <f>D11+J11</f>
        <v>897541.49</v>
      </c>
      <c r="F33" s="90">
        <f>D33-E33</f>
        <v>3257329.1093604192</v>
      </c>
      <c r="H33" s="66" t="s">
        <v>100</v>
      </c>
      <c r="I33" s="69">
        <f>C26+I26</f>
        <v>9659622.3600000013</v>
      </c>
      <c r="J33" s="69">
        <f>D26+J26</f>
        <v>9659006.9300000016</v>
      </c>
      <c r="K33" s="69">
        <f>E26+K26</f>
        <v>7463966.7399999993</v>
      </c>
      <c r="N33" s="35"/>
    </row>
    <row r="34" spans="1:14" x14ac:dyDescent="0.15">
      <c r="A34" s="33" t="s">
        <v>101</v>
      </c>
      <c r="B34" s="33">
        <v>480</v>
      </c>
      <c r="C34" s="89">
        <f>B34/B37</f>
        <v>0.12581913499344691</v>
      </c>
      <c r="D34" s="35">
        <f>C34*J34</f>
        <v>3077681.925452162</v>
      </c>
      <c r="E34" s="34">
        <f>D12+J12</f>
        <v>1876400.13</v>
      </c>
      <c r="F34" s="90">
        <f>D34-E34</f>
        <v>1201281.7954521622</v>
      </c>
      <c r="H34" s="91" t="s">
        <v>102</v>
      </c>
      <c r="I34" s="92">
        <f>I32+I33</f>
        <v>24462854.800000001</v>
      </c>
      <c r="J34" s="92">
        <f>J32+J33</f>
        <v>24461159.469999999</v>
      </c>
      <c r="K34" s="69">
        <f>K32+K33</f>
        <v>20943406.25</v>
      </c>
    </row>
    <row r="35" spans="1:14" x14ac:dyDescent="0.15">
      <c r="A35" s="33" t="s">
        <v>103</v>
      </c>
      <c r="B35" s="33">
        <v>143</v>
      </c>
      <c r="C35" s="89">
        <f>B35/B37</f>
        <v>3.7483617300131063E-2</v>
      </c>
      <c r="D35" s="35">
        <f>C35*J34</f>
        <v>916892.74029095669</v>
      </c>
      <c r="E35" s="34">
        <f>D13+J13</f>
        <v>615206.01</v>
      </c>
      <c r="F35" s="90">
        <f>D35-E35</f>
        <v>301686.73029095668</v>
      </c>
      <c r="J35" s="90"/>
    </row>
    <row r="36" spans="1:14" x14ac:dyDescent="0.15">
      <c r="A36" s="33" t="s">
        <v>104</v>
      </c>
      <c r="B36" s="33">
        <v>323</v>
      </c>
      <c r="C36" s="89">
        <f>B36/B37</f>
        <v>8.4665792922673663E-2</v>
      </c>
      <c r="D36" s="35">
        <f>C36*J34</f>
        <v>2071023.4623355179</v>
      </c>
      <c r="E36" s="34">
        <f>D14+J14</f>
        <v>259142.93</v>
      </c>
      <c r="F36" s="90">
        <f>D36-E36</f>
        <v>1811880.5323355179</v>
      </c>
    </row>
    <row r="37" spans="1:14" x14ac:dyDescent="0.15">
      <c r="A37" s="93" t="s">
        <v>105</v>
      </c>
      <c r="B37" s="94">
        <f>SUM(B32:B36)</f>
        <v>3815</v>
      </c>
      <c r="C37" s="95">
        <f>SUM(C32:C36)</f>
        <v>0.99999999999999989</v>
      </c>
      <c r="D37" s="96">
        <f>SUM(D32:D36)</f>
        <v>24461159.470000003</v>
      </c>
      <c r="E37" s="97">
        <f>SUM(E32:E36)</f>
        <v>14802152.539999997</v>
      </c>
      <c r="F37" s="97">
        <f>SUM(F32:F36)</f>
        <v>9659006.9300000016</v>
      </c>
      <c r="G37" s="90"/>
      <c r="K37" s="34"/>
    </row>
    <row r="38" spans="1:14" x14ac:dyDescent="0.15">
      <c r="D38" s="98">
        <f>SUM(E38:F38)</f>
        <v>0.99999999999999978</v>
      </c>
      <c r="E38" s="99">
        <f>E37/D37</f>
        <v>0.60512881894064996</v>
      </c>
      <c r="F38" s="99">
        <f>F37/D37</f>
        <v>0.39487118105934987</v>
      </c>
      <c r="G38" s="90"/>
      <c r="H38" s="90"/>
    </row>
    <row r="39" spans="1:14" x14ac:dyDescent="0.15">
      <c r="G39" s="33" t="s">
        <v>106</v>
      </c>
      <c r="H39" s="33" t="s">
        <v>107</v>
      </c>
      <c r="K39" s="34"/>
    </row>
    <row r="40" spans="1:14" x14ac:dyDescent="0.15">
      <c r="A40" s="33" t="s">
        <v>108</v>
      </c>
      <c r="B40" s="35">
        <f>Míni!D19</f>
        <v>13831746.43</v>
      </c>
      <c r="C40" s="99">
        <f>D17/B40</f>
        <v>1.0300414276753047</v>
      </c>
      <c r="D40" s="33" t="s">
        <v>369</v>
      </c>
      <c r="G40" s="34">
        <f>D17</f>
        <v>14247271.839999998</v>
      </c>
      <c r="H40" s="100">
        <f>E17</f>
        <v>0.96251351291641263</v>
      </c>
    </row>
    <row r="41" spans="1:14" x14ac:dyDescent="0.15">
      <c r="B41" s="34"/>
      <c r="C41" s="99">
        <f>J17/B40</f>
        <v>4.0116459827264195E-2</v>
      </c>
      <c r="D41" s="33" t="s">
        <v>395</v>
      </c>
      <c r="G41" s="34">
        <f>J17</f>
        <v>554880.69999999995</v>
      </c>
      <c r="H41" s="100">
        <f>K17</f>
        <v>3.7486487083587372E-2</v>
      </c>
      <c r="K41" s="36"/>
      <c r="L41" s="36"/>
    </row>
    <row r="42" spans="1:14" x14ac:dyDescent="0.15">
      <c r="B42" s="101"/>
      <c r="C42" s="104">
        <f>SUM(C40:C41)</f>
        <v>1.0701578875025688</v>
      </c>
      <c r="D42" s="102"/>
      <c r="E42" s="102"/>
      <c r="F42" s="103" t="s">
        <v>109</v>
      </c>
      <c r="G42" s="102">
        <f>SUM(G40:G41)</f>
        <v>14802152.539999997</v>
      </c>
      <c r="H42" s="104">
        <f>SUM(H40:H41)</f>
        <v>1</v>
      </c>
      <c r="K42" s="36"/>
      <c r="L42" s="36"/>
    </row>
    <row r="43" spans="1:14" x14ac:dyDescent="0.15">
      <c r="B43" s="56"/>
      <c r="C43" s="83"/>
      <c r="D43" s="83"/>
      <c r="E43" s="83"/>
      <c r="K43" s="36"/>
      <c r="L43" s="36"/>
    </row>
    <row r="44" spans="1:14" x14ac:dyDescent="0.15">
      <c r="B44" s="56"/>
      <c r="C44" s="83"/>
      <c r="D44" s="83"/>
      <c r="E44" s="83"/>
      <c r="K44" s="36"/>
      <c r="L44" s="36"/>
    </row>
    <row r="45" spans="1:14" x14ac:dyDescent="0.15">
      <c r="B45" s="56"/>
      <c r="C45" s="83"/>
      <c r="D45" s="83"/>
      <c r="E45" s="83"/>
      <c r="K45" s="36"/>
      <c r="L45" s="36"/>
    </row>
    <row r="46" spans="1:14" x14ac:dyDescent="0.15">
      <c r="B46" s="56"/>
      <c r="C46" s="83"/>
      <c r="D46" s="83"/>
      <c r="E46" s="83"/>
      <c r="K46" s="36"/>
      <c r="L46" s="36"/>
    </row>
    <row r="47" spans="1:14" x14ac:dyDescent="0.15">
      <c r="B47" s="56"/>
      <c r="C47" s="83"/>
      <c r="D47" s="83"/>
      <c r="E47" s="83"/>
      <c r="K47" s="36"/>
      <c r="L47" s="36"/>
    </row>
    <row r="48" spans="1:14" x14ac:dyDescent="0.15">
      <c r="B48" s="56"/>
      <c r="C48" s="83"/>
      <c r="D48" s="83"/>
      <c r="E48" s="83"/>
      <c r="K48" s="36"/>
      <c r="L48" s="36"/>
    </row>
    <row r="49" spans="1:10" x14ac:dyDescent="0.15">
      <c r="A49" s="33" t="s">
        <v>23</v>
      </c>
      <c r="E49" s="33" t="s">
        <v>24</v>
      </c>
      <c r="J49" s="33" t="s">
        <v>25</v>
      </c>
    </row>
    <row r="50" spans="1:10" x14ac:dyDescent="0.15">
      <c r="A50" s="33" t="s">
        <v>26</v>
      </c>
      <c r="E50" s="33" t="s">
        <v>27</v>
      </c>
      <c r="J50" s="33" t="s">
        <v>28</v>
      </c>
    </row>
    <row r="55" spans="1:10" ht="11.25" x14ac:dyDescent="0.2">
      <c r="A55" s="2"/>
    </row>
    <row r="56" spans="1:10" ht="11.25" x14ac:dyDescent="0.2">
      <c r="A56" s="394"/>
    </row>
    <row r="57" spans="1:10" ht="11.25" x14ac:dyDescent="0.2">
      <c r="A57" s="394"/>
    </row>
    <row r="58" spans="1:10" ht="11.25" x14ac:dyDescent="0.2">
      <c r="A58" s="394"/>
    </row>
    <row r="59" spans="1:10" ht="11.25" x14ac:dyDescent="0.2">
      <c r="A59" s="394"/>
    </row>
    <row r="60" spans="1:10" ht="11.25" x14ac:dyDescent="0.2">
      <c r="A60" s="394"/>
    </row>
    <row r="61" spans="1:10" ht="11.25" x14ac:dyDescent="0.2">
      <c r="A61" s="394"/>
    </row>
    <row r="62" spans="1:10" ht="11.25" x14ac:dyDescent="0.2">
      <c r="A62" s="394"/>
    </row>
    <row r="63" spans="1:10" ht="11.25" x14ac:dyDescent="0.2">
      <c r="A63" s="394"/>
    </row>
    <row r="64" spans="1:10" ht="11.25" x14ac:dyDescent="0.2">
      <c r="A64" s="394"/>
    </row>
    <row r="65" spans="1:1" ht="11.25" x14ac:dyDescent="0.2">
      <c r="A65" s="394"/>
    </row>
    <row r="66" spans="1:1" ht="11.25" x14ac:dyDescent="0.2">
      <c r="A66" s="394"/>
    </row>
    <row r="67" spans="1:1" ht="11.25" x14ac:dyDescent="0.2">
      <c r="A67" s="394"/>
    </row>
    <row r="68" spans="1:1" ht="11.25" x14ac:dyDescent="0.2">
      <c r="A68" s="394"/>
    </row>
    <row r="69" spans="1:1" ht="11.25" x14ac:dyDescent="0.2">
      <c r="A69" s="394"/>
    </row>
    <row r="70" spans="1:1" ht="11.25" x14ac:dyDescent="0.2">
      <c r="A70" s="394"/>
    </row>
    <row r="71" spans="1:1" ht="11.25" x14ac:dyDescent="0.2">
      <c r="A71" s="2"/>
    </row>
    <row r="72" spans="1:1" ht="11.25" x14ac:dyDescent="0.2">
      <c r="A72" s="394"/>
    </row>
    <row r="73" spans="1:1" ht="11.25" x14ac:dyDescent="0.2">
      <c r="A73" s="394"/>
    </row>
    <row r="74" spans="1:1" ht="11.25" x14ac:dyDescent="0.2">
      <c r="A74" s="394"/>
    </row>
    <row r="75" spans="1:1" ht="11.25" x14ac:dyDescent="0.2">
      <c r="A75" s="394"/>
    </row>
    <row r="76" spans="1:1" ht="11.25" x14ac:dyDescent="0.2">
      <c r="A76" s="394"/>
    </row>
    <row r="77" spans="1:1" ht="11.25" x14ac:dyDescent="0.2">
      <c r="A77" s="394"/>
    </row>
    <row r="78" spans="1:1" ht="11.25" x14ac:dyDescent="0.2">
      <c r="A78" s="394"/>
    </row>
    <row r="79" spans="1:1" ht="11.25" x14ac:dyDescent="0.2">
      <c r="A79" s="2"/>
    </row>
    <row r="80" spans="1:1" ht="11.25" x14ac:dyDescent="0.2">
      <c r="A80" s="394"/>
    </row>
    <row r="81" spans="1:1" ht="11.25" x14ac:dyDescent="0.2">
      <c r="A81" s="394"/>
    </row>
    <row r="82" spans="1:1" ht="11.25" x14ac:dyDescent="0.2">
      <c r="A82" s="394"/>
    </row>
    <row r="83" spans="1:1" ht="11.25" x14ac:dyDescent="0.2">
      <c r="A83" s="394"/>
    </row>
    <row r="84" spans="1:1" ht="11.25" x14ac:dyDescent="0.2">
      <c r="A84" s="394"/>
    </row>
    <row r="85" spans="1:1" ht="11.25" x14ac:dyDescent="0.2">
      <c r="A85" s="394"/>
    </row>
    <row r="86" spans="1:1" ht="11.25" x14ac:dyDescent="0.2">
      <c r="A86" s="2"/>
    </row>
    <row r="87" spans="1:1" ht="11.25" x14ac:dyDescent="0.2">
      <c r="A87" s="394"/>
    </row>
    <row r="88" spans="1:1" ht="11.25" x14ac:dyDescent="0.2">
      <c r="A88" s="394"/>
    </row>
    <row r="89" spans="1:1" ht="11.25" x14ac:dyDescent="0.2">
      <c r="A89" s="394"/>
    </row>
    <row r="90" spans="1:1" ht="11.25" x14ac:dyDescent="0.2">
      <c r="A90" s="394"/>
    </row>
    <row r="91" spans="1:1" ht="11.25" x14ac:dyDescent="0.2">
      <c r="A91" s="394"/>
    </row>
    <row r="92" spans="1:1" ht="11.25" x14ac:dyDescent="0.2">
      <c r="A92" s="2"/>
    </row>
    <row r="93" spans="1:1" ht="11.25" x14ac:dyDescent="0.2">
      <c r="A93" s="394"/>
    </row>
    <row r="94" spans="1:1" ht="11.25" x14ac:dyDescent="0.2">
      <c r="A94" s="394"/>
    </row>
    <row r="95" spans="1:1" ht="11.25" x14ac:dyDescent="0.2">
      <c r="A95" s="2"/>
    </row>
    <row r="96" spans="1:1" ht="11.25" x14ac:dyDescent="0.2">
      <c r="A96" s="394"/>
    </row>
    <row r="97" spans="1:1" ht="11.25" x14ac:dyDescent="0.2">
      <c r="A97" s="394"/>
    </row>
    <row r="98" spans="1:1" ht="11.25" x14ac:dyDescent="0.2">
      <c r="A98" s="394"/>
    </row>
    <row r="99" spans="1:1" ht="11.25" x14ac:dyDescent="0.2">
      <c r="A99" s="394"/>
    </row>
    <row r="100" spans="1:1" ht="11.25" x14ac:dyDescent="0.2">
      <c r="A100" s="2"/>
    </row>
    <row r="101" spans="1:1" ht="11.25" x14ac:dyDescent="0.2">
      <c r="A101" s="394"/>
    </row>
    <row r="102" spans="1:1" ht="11.25" x14ac:dyDescent="0.2">
      <c r="A102" s="394"/>
    </row>
    <row r="103" spans="1:1" ht="11.25" x14ac:dyDescent="0.2">
      <c r="A103" s="394"/>
    </row>
  </sheetData>
  <pageMargins left="0.511811024" right="0.511811024" top="0.78740157499999996" bottom="0.78740157499999996" header="0.31496062000000002" footer="0.31496062000000002"/>
  <pageSetup paperSize="9" orientation="landscape" horizontalDpi="0" verticalDpi="0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8"/>
  <sheetViews>
    <sheetView workbookViewId="0">
      <selection activeCell="L42" sqref="L42"/>
    </sheetView>
  </sheetViews>
  <sheetFormatPr defaultColWidth="11.5703125" defaultRowHeight="8.25" x14ac:dyDescent="0.15"/>
  <cols>
    <col min="1" max="1" width="3.42578125" style="3" customWidth="1"/>
    <col min="2" max="3" width="11.5703125" style="3"/>
    <col min="4" max="5" width="12.42578125" style="329" customWidth="1"/>
    <col min="6" max="6" width="9.28515625" style="329" customWidth="1"/>
    <col min="7" max="8" width="12.42578125" style="329" customWidth="1"/>
    <col min="9" max="9" width="9.42578125" style="329" bestFit="1" customWidth="1"/>
    <col min="10" max="10" width="14.7109375" style="329" bestFit="1" customWidth="1"/>
    <col min="11" max="11" width="10.42578125" style="329" customWidth="1"/>
    <col min="12" max="12" width="13.42578125" style="329" customWidth="1"/>
    <col min="13" max="16384" width="11.5703125" style="3"/>
  </cols>
  <sheetData>
    <row r="1" spans="1:12" ht="11.45" customHeight="1" x14ac:dyDescent="0.15">
      <c r="A1" s="432" t="s">
        <v>377</v>
      </c>
    </row>
    <row r="2" spans="1:12" ht="11.45" customHeight="1" x14ac:dyDescent="0.15">
      <c r="A2" s="432" t="s">
        <v>2617</v>
      </c>
    </row>
    <row r="4" spans="1:12" ht="11.45" customHeight="1" x14ac:dyDescent="0.15">
      <c r="A4" s="432" t="s">
        <v>378</v>
      </c>
      <c r="C4" s="439" t="s">
        <v>379</v>
      </c>
    </row>
    <row r="6" spans="1:12" ht="25.5" customHeight="1" x14ac:dyDescent="0.15">
      <c r="D6" s="723" t="s">
        <v>380</v>
      </c>
      <c r="E6" s="605" t="s">
        <v>381</v>
      </c>
      <c r="F6" s="723" t="s">
        <v>382</v>
      </c>
      <c r="G6" s="723" t="s">
        <v>383</v>
      </c>
      <c r="H6" s="723" t="s">
        <v>428</v>
      </c>
      <c r="I6" s="723" t="s">
        <v>1157</v>
      </c>
      <c r="J6" s="605" t="s">
        <v>429</v>
      </c>
      <c r="K6" s="605" t="s">
        <v>387</v>
      </c>
      <c r="L6" s="605" t="s">
        <v>388</v>
      </c>
    </row>
    <row r="7" spans="1:12" ht="11.45" customHeight="1" x14ac:dyDescent="0.15">
      <c r="A7" s="439" t="s">
        <v>389</v>
      </c>
      <c r="B7" s="439"/>
      <c r="C7" s="439"/>
      <c r="D7" s="433"/>
      <c r="E7" s="433"/>
      <c r="F7" s="433"/>
      <c r="G7" s="433"/>
      <c r="H7" s="433"/>
      <c r="I7" s="433"/>
      <c r="J7" s="433"/>
      <c r="K7" s="433"/>
      <c r="L7" s="433"/>
    </row>
    <row r="8" spans="1:12" ht="11.45" customHeight="1" x14ac:dyDescent="0.15">
      <c r="A8" s="57">
        <v>1500</v>
      </c>
      <c r="B8" s="439" t="s">
        <v>1158</v>
      </c>
      <c r="C8" s="439"/>
      <c r="D8" s="433">
        <v>1332640.32</v>
      </c>
      <c r="E8" s="433">
        <v>41583341.439999998</v>
      </c>
      <c r="F8" s="433">
        <v>2803562.1</v>
      </c>
      <c r="G8" s="433">
        <v>45719543.859999999</v>
      </c>
      <c r="H8" s="433">
        <v>59075473.43</v>
      </c>
      <c r="I8" s="433">
        <v>24616861.59</v>
      </c>
      <c r="J8" s="433">
        <v>83692335.019999996</v>
      </c>
      <c r="K8" s="433">
        <v>2803562.1</v>
      </c>
      <c r="L8" s="433">
        <v>-40776353.259999998</v>
      </c>
    </row>
    <row r="9" spans="1:12" ht="11.45" customHeight="1" x14ac:dyDescent="0.15">
      <c r="A9" s="57">
        <v>1501</v>
      </c>
      <c r="B9" s="439" t="s">
        <v>1159</v>
      </c>
      <c r="C9" s="439"/>
      <c r="D9" s="433">
        <v>0</v>
      </c>
      <c r="E9" s="433">
        <v>3608256.15</v>
      </c>
      <c r="F9" s="433">
        <v>0</v>
      </c>
      <c r="G9" s="433">
        <v>3608256.15</v>
      </c>
      <c r="H9" s="433">
        <v>0</v>
      </c>
      <c r="I9" s="433">
        <v>0</v>
      </c>
      <c r="J9" s="433">
        <v>0</v>
      </c>
      <c r="K9" s="433">
        <v>0</v>
      </c>
      <c r="L9" s="433">
        <v>3608256.15</v>
      </c>
    </row>
    <row r="10" spans="1:12" ht="11.45" customHeight="1" x14ac:dyDescent="0.15">
      <c r="A10" s="57">
        <v>1540</v>
      </c>
      <c r="B10" s="439" t="s">
        <v>1160</v>
      </c>
      <c r="C10" s="439"/>
      <c r="D10" s="433">
        <v>836132.57</v>
      </c>
      <c r="E10" s="433">
        <v>13904664.050000001</v>
      </c>
      <c r="F10" s="433">
        <v>0</v>
      </c>
      <c r="G10" s="433">
        <v>14740796.619999999</v>
      </c>
      <c r="H10" s="433">
        <v>14803232.439999999</v>
      </c>
      <c r="I10" s="433">
        <v>720040.6</v>
      </c>
      <c r="J10" s="433">
        <v>15523273.039999999</v>
      </c>
      <c r="K10" s="433">
        <v>0</v>
      </c>
      <c r="L10" s="433">
        <v>-782476.42</v>
      </c>
    </row>
    <row r="11" spans="1:12" ht="11.45" customHeight="1" x14ac:dyDescent="0.15">
      <c r="A11" s="57">
        <v>1543</v>
      </c>
      <c r="B11" s="439" t="s">
        <v>1161</v>
      </c>
      <c r="C11" s="439"/>
      <c r="D11" s="433">
        <v>0</v>
      </c>
      <c r="E11" s="433">
        <v>210122.83</v>
      </c>
      <c r="F11" s="433">
        <v>0</v>
      </c>
      <c r="G11" s="433">
        <v>210122.83</v>
      </c>
      <c r="H11" s="433">
        <v>6977</v>
      </c>
      <c r="I11" s="433">
        <v>0</v>
      </c>
      <c r="J11" s="433">
        <v>6977</v>
      </c>
      <c r="K11" s="433">
        <v>0</v>
      </c>
      <c r="L11" s="433">
        <v>203145.83</v>
      </c>
    </row>
    <row r="12" spans="1:12" ht="11.45" customHeight="1" x14ac:dyDescent="0.15">
      <c r="A12" s="57">
        <v>1550</v>
      </c>
      <c r="B12" s="439" t="s">
        <v>1162</v>
      </c>
      <c r="C12" s="439"/>
      <c r="D12" s="433">
        <v>1021184.47</v>
      </c>
      <c r="E12" s="433">
        <v>1167375.82</v>
      </c>
      <c r="F12" s="433">
        <v>0</v>
      </c>
      <c r="G12" s="433">
        <v>2188560.29</v>
      </c>
      <c r="H12" s="433">
        <v>1397337.96</v>
      </c>
      <c r="I12" s="433">
        <v>500999.92</v>
      </c>
      <c r="J12" s="433">
        <v>1898337.88</v>
      </c>
      <c r="K12" s="433">
        <v>0</v>
      </c>
      <c r="L12" s="433">
        <v>290222.40999999997</v>
      </c>
    </row>
    <row r="13" spans="1:12" ht="11.45" customHeight="1" x14ac:dyDescent="0.15">
      <c r="A13" s="57">
        <v>1551</v>
      </c>
      <c r="B13" s="439" t="s">
        <v>1163</v>
      </c>
      <c r="C13" s="439"/>
      <c r="D13" s="433">
        <v>2263.29</v>
      </c>
      <c r="E13" s="433">
        <v>124.43</v>
      </c>
      <c r="F13" s="433">
        <v>0</v>
      </c>
      <c r="G13" s="433">
        <v>2387.7199999999998</v>
      </c>
      <c r="H13" s="433">
        <v>0</v>
      </c>
      <c r="I13" s="433">
        <v>0</v>
      </c>
      <c r="J13" s="433">
        <v>0</v>
      </c>
      <c r="K13" s="433">
        <v>0</v>
      </c>
      <c r="L13" s="433">
        <v>2387.7199999999998</v>
      </c>
    </row>
    <row r="14" spans="1:12" ht="11.45" customHeight="1" x14ac:dyDescent="0.15">
      <c r="A14" s="57">
        <v>1552</v>
      </c>
      <c r="B14" s="439" t="s">
        <v>1164</v>
      </c>
      <c r="C14" s="439"/>
      <c r="D14" s="433">
        <v>4948.6099999999997</v>
      </c>
      <c r="E14" s="433">
        <v>280222.34000000003</v>
      </c>
      <c r="F14" s="433">
        <v>0</v>
      </c>
      <c r="G14" s="433">
        <v>285170.95</v>
      </c>
      <c r="H14" s="433">
        <v>119080</v>
      </c>
      <c r="I14" s="433">
        <v>0</v>
      </c>
      <c r="J14" s="433">
        <v>119080</v>
      </c>
      <c r="K14" s="433">
        <v>0</v>
      </c>
      <c r="L14" s="433">
        <v>166090.95000000001</v>
      </c>
    </row>
    <row r="15" spans="1:12" ht="11.45" customHeight="1" x14ac:dyDescent="0.15">
      <c r="A15" s="57">
        <v>1553</v>
      </c>
      <c r="B15" s="439" t="s">
        <v>1165</v>
      </c>
      <c r="C15" s="439"/>
      <c r="D15" s="433">
        <v>91835.88</v>
      </c>
      <c r="E15" s="433">
        <v>77965.73</v>
      </c>
      <c r="F15" s="433">
        <v>0</v>
      </c>
      <c r="G15" s="433">
        <v>169801.61</v>
      </c>
      <c r="H15" s="433">
        <v>113161.02</v>
      </c>
      <c r="I15" s="433">
        <v>90512.15</v>
      </c>
      <c r="J15" s="433">
        <v>203673.17</v>
      </c>
      <c r="K15" s="433">
        <v>0</v>
      </c>
      <c r="L15" s="433">
        <v>-33871.56</v>
      </c>
    </row>
    <row r="16" spans="1:12" ht="11.45" customHeight="1" x14ac:dyDescent="0.15">
      <c r="A16" s="57">
        <v>1569</v>
      </c>
      <c r="B16" s="439" t="s">
        <v>1166</v>
      </c>
      <c r="C16" s="439"/>
      <c r="D16" s="433">
        <v>2902.39</v>
      </c>
      <c r="E16" s="433">
        <v>126.18</v>
      </c>
      <c r="F16" s="433">
        <v>0</v>
      </c>
      <c r="G16" s="433">
        <v>3028.57</v>
      </c>
      <c r="H16" s="433">
        <v>2748.9</v>
      </c>
      <c r="I16" s="433">
        <v>0</v>
      </c>
      <c r="J16" s="433">
        <v>2748.9</v>
      </c>
      <c r="K16" s="433">
        <v>0</v>
      </c>
      <c r="L16" s="433">
        <v>279.67</v>
      </c>
    </row>
    <row r="17" spans="1:12" ht="11.45" customHeight="1" x14ac:dyDescent="0.15">
      <c r="A17" s="57">
        <v>1570</v>
      </c>
      <c r="B17" s="439" t="s">
        <v>1167</v>
      </c>
      <c r="C17" s="439"/>
      <c r="D17" s="433">
        <v>759793.63</v>
      </c>
      <c r="E17" s="433">
        <v>41969.8</v>
      </c>
      <c r="F17" s="433">
        <v>0</v>
      </c>
      <c r="G17" s="433">
        <v>801763.43</v>
      </c>
      <c r="H17" s="433">
        <v>0</v>
      </c>
      <c r="I17" s="433">
        <v>0</v>
      </c>
      <c r="J17" s="433">
        <v>0</v>
      </c>
      <c r="K17" s="433">
        <v>0</v>
      </c>
      <c r="L17" s="433">
        <v>801763.43</v>
      </c>
    </row>
    <row r="18" spans="1:12" ht="11.45" customHeight="1" x14ac:dyDescent="0.15">
      <c r="A18" s="57">
        <v>1571</v>
      </c>
      <c r="B18" s="439" t="s">
        <v>1168</v>
      </c>
      <c r="C18" s="439"/>
      <c r="D18" s="433">
        <v>303296.95</v>
      </c>
      <c r="E18" s="433">
        <v>1706535.11</v>
      </c>
      <c r="F18" s="433">
        <v>0</v>
      </c>
      <c r="G18" s="433">
        <v>2009832.06</v>
      </c>
      <c r="H18" s="433">
        <v>1785640.77</v>
      </c>
      <c r="I18" s="433">
        <v>276095.63</v>
      </c>
      <c r="J18" s="433">
        <v>2061736.4</v>
      </c>
      <c r="K18" s="433">
        <v>0</v>
      </c>
      <c r="L18" s="433">
        <v>-51904.34</v>
      </c>
    </row>
    <row r="19" spans="1:12" ht="11.45" customHeight="1" x14ac:dyDescent="0.15">
      <c r="A19" s="57">
        <v>1599</v>
      </c>
      <c r="B19" s="439" t="s">
        <v>1169</v>
      </c>
      <c r="C19" s="439"/>
      <c r="D19" s="433">
        <v>15329.7</v>
      </c>
      <c r="E19" s="433">
        <v>788.36</v>
      </c>
      <c r="F19" s="433">
        <v>0</v>
      </c>
      <c r="G19" s="433">
        <v>16118.06</v>
      </c>
      <c r="H19" s="433">
        <v>0</v>
      </c>
      <c r="I19" s="433">
        <v>0</v>
      </c>
      <c r="J19" s="433">
        <v>0</v>
      </c>
      <c r="K19" s="433">
        <v>0</v>
      </c>
      <c r="L19" s="433">
        <v>16118.06</v>
      </c>
    </row>
    <row r="20" spans="1:12" ht="11.45" customHeight="1" x14ac:dyDescent="0.15">
      <c r="A20" s="57">
        <v>1600</v>
      </c>
      <c r="B20" s="439" t="s">
        <v>1170</v>
      </c>
      <c r="C20" s="439"/>
      <c r="D20" s="433">
        <v>539388.78</v>
      </c>
      <c r="E20" s="433">
        <v>1495204.55</v>
      </c>
      <c r="F20" s="433">
        <v>0</v>
      </c>
      <c r="G20" s="433">
        <v>2034593.33</v>
      </c>
      <c r="H20" s="433">
        <v>1411813.59</v>
      </c>
      <c r="I20" s="433">
        <v>351922.19</v>
      </c>
      <c r="J20" s="433">
        <v>1763735.78</v>
      </c>
      <c r="K20" s="433">
        <v>0</v>
      </c>
      <c r="L20" s="433">
        <v>270857.55</v>
      </c>
    </row>
    <row r="21" spans="1:12" ht="11.45" customHeight="1" x14ac:dyDescent="0.15">
      <c r="A21" s="57">
        <v>1601</v>
      </c>
      <c r="B21" s="439" t="s">
        <v>1171</v>
      </c>
      <c r="C21" s="439"/>
      <c r="D21" s="433">
        <v>1191644.27</v>
      </c>
      <c r="E21" s="433">
        <v>45858.239999999998</v>
      </c>
      <c r="F21" s="433">
        <v>0</v>
      </c>
      <c r="G21" s="433">
        <v>1237502.51</v>
      </c>
      <c r="H21" s="433">
        <v>26098.39</v>
      </c>
      <c r="I21" s="433">
        <v>653868.44999999995</v>
      </c>
      <c r="J21" s="433">
        <v>679966.84</v>
      </c>
      <c r="K21" s="433">
        <v>0</v>
      </c>
      <c r="L21" s="433">
        <v>557535.67000000004</v>
      </c>
    </row>
    <row r="22" spans="1:12" ht="11.45" customHeight="1" x14ac:dyDescent="0.15">
      <c r="A22" s="57">
        <v>1602</v>
      </c>
      <c r="B22" s="439" t="s">
        <v>1172</v>
      </c>
      <c r="C22" s="439"/>
      <c r="D22" s="433">
        <v>17863.97</v>
      </c>
      <c r="E22" s="433">
        <v>228.84</v>
      </c>
      <c r="F22" s="433">
        <v>0</v>
      </c>
      <c r="G22" s="433">
        <v>18092.810000000001</v>
      </c>
      <c r="H22" s="433">
        <v>0</v>
      </c>
      <c r="I22" s="433">
        <v>982.06</v>
      </c>
      <c r="J22" s="433">
        <v>982.06</v>
      </c>
      <c r="K22" s="433">
        <v>0</v>
      </c>
      <c r="L22" s="433">
        <v>17110.75</v>
      </c>
    </row>
    <row r="23" spans="1:12" ht="11.45" customHeight="1" x14ac:dyDescent="0.15">
      <c r="A23" s="57">
        <v>1603</v>
      </c>
      <c r="B23" s="439" t="s">
        <v>1173</v>
      </c>
      <c r="C23" s="439"/>
      <c r="D23" s="433">
        <v>19434.82</v>
      </c>
      <c r="E23" s="433">
        <v>1099.76</v>
      </c>
      <c r="F23" s="433">
        <v>0</v>
      </c>
      <c r="G23" s="433">
        <v>20534.580000000002</v>
      </c>
      <c r="H23" s="433">
        <v>0</v>
      </c>
      <c r="I23" s="433">
        <v>0</v>
      </c>
      <c r="J23" s="433">
        <v>0</v>
      </c>
      <c r="K23" s="433">
        <v>0</v>
      </c>
      <c r="L23" s="433">
        <v>20534.580000000002</v>
      </c>
    </row>
    <row r="24" spans="1:12" ht="11.45" customHeight="1" x14ac:dyDescent="0.15">
      <c r="A24" s="57">
        <v>1604</v>
      </c>
      <c r="B24" s="439" t="s">
        <v>1174</v>
      </c>
      <c r="C24" s="439"/>
      <c r="D24" s="433">
        <v>1712.24</v>
      </c>
      <c r="E24" s="433">
        <v>739508.59</v>
      </c>
      <c r="F24" s="433">
        <v>0</v>
      </c>
      <c r="G24" s="433">
        <v>741220.83</v>
      </c>
      <c r="H24" s="433">
        <v>692001.45</v>
      </c>
      <c r="I24" s="433">
        <v>0</v>
      </c>
      <c r="J24" s="433">
        <v>692001.45</v>
      </c>
      <c r="K24" s="433">
        <v>0</v>
      </c>
      <c r="L24" s="433">
        <v>49219.38</v>
      </c>
    </row>
    <row r="25" spans="1:12" ht="11.45" customHeight="1" x14ac:dyDescent="0.15">
      <c r="A25" s="57">
        <v>1621</v>
      </c>
      <c r="B25" s="439" t="s">
        <v>1175</v>
      </c>
      <c r="C25" s="439"/>
      <c r="D25" s="433">
        <v>311778.58</v>
      </c>
      <c r="E25" s="433">
        <v>537450.84</v>
      </c>
      <c r="F25" s="433">
        <v>0</v>
      </c>
      <c r="G25" s="433">
        <v>849229.42</v>
      </c>
      <c r="H25" s="433">
        <v>623589.41</v>
      </c>
      <c r="I25" s="433">
        <v>51883.29</v>
      </c>
      <c r="J25" s="433">
        <v>675472.7</v>
      </c>
      <c r="K25" s="433">
        <v>0</v>
      </c>
      <c r="L25" s="433">
        <v>173756.72</v>
      </c>
    </row>
    <row r="26" spans="1:12" ht="11.45" customHeight="1" x14ac:dyDescent="0.15">
      <c r="A26" s="57">
        <v>1632</v>
      </c>
      <c r="B26" s="439" t="s">
        <v>1176</v>
      </c>
      <c r="C26" s="439"/>
      <c r="D26" s="433">
        <v>13565.15</v>
      </c>
      <c r="E26" s="433">
        <v>0</v>
      </c>
      <c r="F26" s="433">
        <v>0</v>
      </c>
      <c r="G26" s="433">
        <v>13565.15</v>
      </c>
      <c r="H26" s="433">
        <v>0</v>
      </c>
      <c r="I26" s="433">
        <v>0</v>
      </c>
      <c r="J26" s="433">
        <v>0</v>
      </c>
      <c r="K26" s="433">
        <v>0</v>
      </c>
      <c r="L26" s="433">
        <v>13565.15</v>
      </c>
    </row>
    <row r="27" spans="1:12" ht="11.45" customHeight="1" x14ac:dyDescent="0.15">
      <c r="A27" s="57">
        <v>1659</v>
      </c>
      <c r="B27" s="439" t="s">
        <v>1177</v>
      </c>
      <c r="C27" s="439"/>
      <c r="D27" s="433">
        <v>242431.58</v>
      </c>
      <c r="E27" s="433">
        <v>239962.67</v>
      </c>
      <c r="F27" s="433">
        <v>0</v>
      </c>
      <c r="G27" s="433">
        <v>482394.25</v>
      </c>
      <c r="H27" s="433">
        <v>299374.78999999998</v>
      </c>
      <c r="I27" s="433">
        <v>93667.13</v>
      </c>
      <c r="J27" s="433">
        <v>393041.91999999998</v>
      </c>
      <c r="K27" s="433">
        <v>0</v>
      </c>
      <c r="L27" s="433">
        <v>89352.33</v>
      </c>
    </row>
    <row r="28" spans="1:12" ht="11.45" customHeight="1" x14ac:dyDescent="0.15">
      <c r="A28" s="57">
        <v>1660</v>
      </c>
      <c r="B28" s="439" t="s">
        <v>1178</v>
      </c>
      <c r="C28" s="439"/>
      <c r="D28" s="433">
        <v>354275.67</v>
      </c>
      <c r="E28" s="433">
        <v>283418.96000000002</v>
      </c>
      <c r="F28" s="433">
        <v>0</v>
      </c>
      <c r="G28" s="433">
        <v>637694.63</v>
      </c>
      <c r="H28" s="433">
        <v>279495.49</v>
      </c>
      <c r="I28" s="433">
        <v>70035.38</v>
      </c>
      <c r="J28" s="433">
        <v>349530.87</v>
      </c>
      <c r="K28" s="433">
        <v>0</v>
      </c>
      <c r="L28" s="433">
        <v>288163.76</v>
      </c>
    </row>
    <row r="29" spans="1:12" ht="11.45" customHeight="1" x14ac:dyDescent="0.15">
      <c r="A29" s="57">
        <v>1661</v>
      </c>
      <c r="B29" s="439" t="s">
        <v>1179</v>
      </c>
      <c r="C29" s="439"/>
      <c r="D29" s="433">
        <v>202720.61</v>
      </c>
      <c r="E29" s="433">
        <v>9691.76</v>
      </c>
      <c r="F29" s="433">
        <v>0</v>
      </c>
      <c r="G29" s="433">
        <v>212412.37</v>
      </c>
      <c r="H29" s="433">
        <v>55834.95</v>
      </c>
      <c r="I29" s="433">
        <v>4394.3999999999996</v>
      </c>
      <c r="J29" s="433">
        <v>60229.35</v>
      </c>
      <c r="K29" s="433">
        <v>0</v>
      </c>
      <c r="L29" s="433">
        <v>152183.01999999999</v>
      </c>
    </row>
    <row r="30" spans="1:12" ht="11.45" customHeight="1" x14ac:dyDescent="0.15">
      <c r="A30" s="57">
        <v>1665</v>
      </c>
      <c r="B30" s="439" t="s">
        <v>1764</v>
      </c>
      <c r="C30" s="439"/>
      <c r="D30" s="433">
        <v>0</v>
      </c>
      <c r="E30" s="433">
        <v>56773.07</v>
      </c>
      <c r="F30" s="433">
        <v>0</v>
      </c>
      <c r="G30" s="433">
        <v>56773.07</v>
      </c>
      <c r="H30" s="433">
        <v>0</v>
      </c>
      <c r="I30" s="433">
        <v>0</v>
      </c>
      <c r="J30" s="433">
        <v>0</v>
      </c>
      <c r="K30" s="433">
        <v>0</v>
      </c>
      <c r="L30" s="433">
        <v>56773.07</v>
      </c>
    </row>
    <row r="31" spans="1:12" ht="11.45" customHeight="1" x14ac:dyDescent="0.15">
      <c r="A31" s="57">
        <v>1669</v>
      </c>
      <c r="B31" s="439" t="s">
        <v>1180</v>
      </c>
      <c r="C31" s="439"/>
      <c r="D31" s="433">
        <v>19.98</v>
      </c>
      <c r="E31" s="433">
        <v>0</v>
      </c>
      <c r="F31" s="433">
        <v>0</v>
      </c>
      <c r="G31" s="433">
        <v>19.98</v>
      </c>
      <c r="H31" s="433">
        <v>0</v>
      </c>
      <c r="I31" s="433">
        <v>0</v>
      </c>
      <c r="J31" s="433">
        <v>0</v>
      </c>
      <c r="K31" s="433">
        <v>0</v>
      </c>
      <c r="L31" s="433">
        <v>19.98</v>
      </c>
    </row>
    <row r="32" spans="1:12" ht="11.45" customHeight="1" x14ac:dyDescent="0.15">
      <c r="A32" s="57">
        <v>1700</v>
      </c>
      <c r="B32" s="439" t="s">
        <v>1181</v>
      </c>
      <c r="C32" s="439"/>
      <c r="D32" s="433">
        <v>464310.5</v>
      </c>
      <c r="E32" s="433">
        <v>43132.53</v>
      </c>
      <c r="F32" s="433">
        <v>0</v>
      </c>
      <c r="G32" s="433">
        <v>507443.03</v>
      </c>
      <c r="H32" s="433">
        <v>519342.62</v>
      </c>
      <c r="I32" s="433">
        <v>987278.87</v>
      </c>
      <c r="J32" s="433">
        <v>1506621.49</v>
      </c>
      <c r="K32" s="433">
        <v>0</v>
      </c>
      <c r="L32" s="433">
        <v>-999178.46</v>
      </c>
    </row>
    <row r="33" spans="1:12" ht="11.45" customHeight="1" x14ac:dyDescent="0.15">
      <c r="A33" s="57">
        <v>1701</v>
      </c>
      <c r="B33" s="439" t="s">
        <v>1182</v>
      </c>
      <c r="C33" s="439"/>
      <c r="D33" s="433">
        <v>745705.66</v>
      </c>
      <c r="E33" s="433">
        <v>170837.13</v>
      </c>
      <c r="F33" s="433">
        <v>0</v>
      </c>
      <c r="G33" s="433">
        <v>916542.79</v>
      </c>
      <c r="H33" s="433">
        <v>166161</v>
      </c>
      <c r="I33" s="433">
        <v>0</v>
      </c>
      <c r="J33" s="433">
        <v>166161</v>
      </c>
      <c r="K33" s="433">
        <v>0</v>
      </c>
      <c r="L33" s="433">
        <v>750381.79</v>
      </c>
    </row>
    <row r="34" spans="1:12" ht="11.45" customHeight="1" x14ac:dyDescent="0.15">
      <c r="A34" s="57">
        <v>1704</v>
      </c>
      <c r="B34" s="439" t="s">
        <v>1183</v>
      </c>
      <c r="C34" s="439"/>
      <c r="D34" s="433">
        <v>630140.68999999994</v>
      </c>
      <c r="E34" s="433">
        <v>401220.45</v>
      </c>
      <c r="F34" s="433">
        <v>0</v>
      </c>
      <c r="G34" s="433">
        <v>1031361.14</v>
      </c>
      <c r="H34" s="433">
        <v>250435.75</v>
      </c>
      <c r="I34" s="433">
        <v>747642.02</v>
      </c>
      <c r="J34" s="433">
        <v>998077.77</v>
      </c>
      <c r="K34" s="433">
        <v>0</v>
      </c>
      <c r="L34" s="433">
        <v>33283.370000000003</v>
      </c>
    </row>
    <row r="35" spans="1:12" ht="11.45" customHeight="1" x14ac:dyDescent="0.15">
      <c r="A35" s="57">
        <v>1706</v>
      </c>
      <c r="B35" s="439" t="s">
        <v>1184</v>
      </c>
      <c r="C35" s="439"/>
      <c r="D35" s="433">
        <v>1169255.58</v>
      </c>
      <c r="E35" s="433">
        <v>332407.42</v>
      </c>
      <c r="F35" s="433">
        <v>0</v>
      </c>
      <c r="G35" s="433">
        <v>1501663</v>
      </c>
      <c r="H35" s="433">
        <v>251900</v>
      </c>
      <c r="I35" s="433">
        <v>0</v>
      </c>
      <c r="J35" s="433">
        <v>251900</v>
      </c>
      <c r="K35" s="433">
        <v>0</v>
      </c>
      <c r="L35" s="433">
        <v>1249763</v>
      </c>
    </row>
    <row r="36" spans="1:12" ht="11.45" customHeight="1" x14ac:dyDescent="0.15">
      <c r="A36" s="57">
        <v>1708</v>
      </c>
      <c r="B36" s="439" t="s">
        <v>1185</v>
      </c>
      <c r="C36" s="439"/>
      <c r="D36" s="433">
        <v>862557.43</v>
      </c>
      <c r="E36" s="433">
        <v>276895.53000000003</v>
      </c>
      <c r="F36" s="433">
        <v>0</v>
      </c>
      <c r="G36" s="433">
        <v>1139452.96</v>
      </c>
      <c r="H36" s="433">
        <v>224658.26</v>
      </c>
      <c r="I36" s="433">
        <v>0</v>
      </c>
      <c r="J36" s="433">
        <v>224658.26</v>
      </c>
      <c r="K36" s="433">
        <v>0</v>
      </c>
      <c r="L36" s="433">
        <v>914794.7</v>
      </c>
    </row>
    <row r="37" spans="1:12" ht="11.45" customHeight="1" x14ac:dyDescent="0.15">
      <c r="A37" s="57">
        <v>1710</v>
      </c>
      <c r="B37" s="439" t="s">
        <v>1186</v>
      </c>
      <c r="C37" s="439"/>
      <c r="D37" s="433">
        <v>0</v>
      </c>
      <c r="E37" s="433">
        <v>100.7</v>
      </c>
      <c r="F37" s="433">
        <v>0</v>
      </c>
      <c r="G37" s="433">
        <v>100.7</v>
      </c>
      <c r="H37" s="433">
        <v>0</v>
      </c>
      <c r="I37" s="433">
        <v>0</v>
      </c>
      <c r="J37" s="433">
        <v>0</v>
      </c>
      <c r="K37" s="433">
        <v>0</v>
      </c>
      <c r="L37" s="433">
        <v>100.7</v>
      </c>
    </row>
    <row r="38" spans="1:12" ht="11.45" customHeight="1" x14ac:dyDescent="0.15">
      <c r="A38" s="57">
        <v>1749</v>
      </c>
      <c r="B38" s="439" t="s">
        <v>1187</v>
      </c>
      <c r="C38" s="439"/>
      <c r="D38" s="433">
        <v>2986430.24</v>
      </c>
      <c r="E38" s="433">
        <v>2622709.4</v>
      </c>
      <c r="F38" s="433">
        <v>0</v>
      </c>
      <c r="G38" s="433">
        <v>5609139.6399999997</v>
      </c>
      <c r="H38" s="433">
        <v>2258437.35</v>
      </c>
      <c r="I38" s="433">
        <v>95299.6</v>
      </c>
      <c r="J38" s="433">
        <v>2353736.9500000002</v>
      </c>
      <c r="K38" s="433">
        <v>0</v>
      </c>
      <c r="L38" s="433">
        <v>3255402.69</v>
      </c>
    </row>
    <row r="39" spans="1:12" ht="11.45" customHeight="1" x14ac:dyDescent="0.15">
      <c r="A39" s="57">
        <v>1750</v>
      </c>
      <c r="B39" s="439" t="s">
        <v>1188</v>
      </c>
      <c r="C39" s="439"/>
      <c r="D39" s="433">
        <v>10690.67</v>
      </c>
      <c r="E39" s="433">
        <v>739.48</v>
      </c>
      <c r="F39" s="433">
        <v>0</v>
      </c>
      <c r="G39" s="433">
        <v>11430.15</v>
      </c>
      <c r="H39" s="433">
        <v>0</v>
      </c>
      <c r="I39" s="433">
        <v>0</v>
      </c>
      <c r="J39" s="433">
        <v>0</v>
      </c>
      <c r="K39" s="433">
        <v>0</v>
      </c>
      <c r="L39" s="433">
        <v>11430.15</v>
      </c>
    </row>
    <row r="40" spans="1:12" ht="11.45" customHeight="1" x14ac:dyDescent="0.15">
      <c r="A40" s="57">
        <v>1751</v>
      </c>
      <c r="B40" s="439" t="s">
        <v>1189</v>
      </c>
      <c r="C40" s="439"/>
      <c r="D40" s="433">
        <v>0</v>
      </c>
      <c r="E40" s="433">
        <v>280057.32</v>
      </c>
      <c r="F40" s="433">
        <v>0</v>
      </c>
      <c r="G40" s="433">
        <v>280057.32</v>
      </c>
      <c r="H40" s="433">
        <v>1283279.8</v>
      </c>
      <c r="I40" s="433">
        <v>0</v>
      </c>
      <c r="J40" s="433">
        <v>1283279.8</v>
      </c>
      <c r="K40" s="433">
        <v>0</v>
      </c>
      <c r="L40" s="433">
        <v>-1003222.48</v>
      </c>
    </row>
    <row r="41" spans="1:12" ht="11.45" customHeight="1" x14ac:dyDescent="0.15">
      <c r="A41" s="57">
        <v>1752</v>
      </c>
      <c r="B41" s="439" t="s">
        <v>1190</v>
      </c>
      <c r="C41" s="439"/>
      <c r="D41" s="433">
        <v>3815.05</v>
      </c>
      <c r="E41" s="433">
        <v>9371.56</v>
      </c>
      <c r="F41" s="433">
        <v>0</v>
      </c>
      <c r="G41" s="433">
        <v>13186.61</v>
      </c>
      <c r="H41" s="433">
        <v>0</v>
      </c>
      <c r="I41" s="433">
        <v>14936.16</v>
      </c>
      <c r="J41" s="433">
        <v>14936.16</v>
      </c>
      <c r="K41" s="433">
        <v>0</v>
      </c>
      <c r="L41" s="433">
        <v>-1749.55</v>
      </c>
    </row>
    <row r="42" spans="1:12" ht="11.45" customHeight="1" x14ac:dyDescent="0.15">
      <c r="A42" s="57">
        <v>1753</v>
      </c>
      <c r="B42" s="439" t="s">
        <v>1191</v>
      </c>
      <c r="C42" s="439"/>
      <c r="D42" s="433">
        <v>228.75</v>
      </c>
      <c r="E42" s="433">
        <v>34152.370000000003</v>
      </c>
      <c r="F42" s="433">
        <v>0</v>
      </c>
      <c r="G42" s="433">
        <v>34381.120000000003</v>
      </c>
      <c r="H42" s="433">
        <v>18000</v>
      </c>
      <c r="I42" s="433">
        <v>23590.84</v>
      </c>
      <c r="J42" s="433">
        <v>41590.839999999997</v>
      </c>
      <c r="K42" s="433">
        <v>0</v>
      </c>
      <c r="L42" s="433">
        <v>-7209.72</v>
      </c>
    </row>
    <row r="43" spans="1:12" ht="11.45" customHeight="1" x14ac:dyDescent="0.15">
      <c r="A43" s="57">
        <v>1759</v>
      </c>
      <c r="B43" s="439" t="s">
        <v>1192</v>
      </c>
      <c r="C43" s="439"/>
      <c r="D43" s="433">
        <v>1760838.74</v>
      </c>
      <c r="E43" s="433">
        <v>146411.70000000001</v>
      </c>
      <c r="F43" s="433">
        <v>0</v>
      </c>
      <c r="G43" s="433">
        <v>1907250.44</v>
      </c>
      <c r="H43" s="433">
        <v>659524.93999999994</v>
      </c>
      <c r="I43" s="433">
        <v>6783.68</v>
      </c>
      <c r="J43" s="433">
        <v>666308.62</v>
      </c>
      <c r="K43" s="433">
        <v>0</v>
      </c>
      <c r="L43" s="433">
        <v>1240941.82</v>
      </c>
    </row>
    <row r="44" spans="1:12" ht="11.45" customHeight="1" x14ac:dyDescent="0.15">
      <c r="A44" s="57">
        <v>1800</v>
      </c>
      <c r="B44" s="439" t="s">
        <v>1193</v>
      </c>
      <c r="C44" s="439"/>
      <c r="D44" s="433">
        <v>49583887.549999997</v>
      </c>
      <c r="E44" s="433">
        <v>21208277.609999999</v>
      </c>
      <c r="F44" s="433">
        <v>0</v>
      </c>
      <c r="G44" s="433">
        <v>70792165.159999996</v>
      </c>
      <c r="H44" s="433">
        <v>17325616.289999999</v>
      </c>
      <c r="I44" s="433">
        <v>43839.58</v>
      </c>
      <c r="J44" s="433">
        <v>17369455.870000001</v>
      </c>
      <c r="K44" s="433">
        <v>0</v>
      </c>
      <c r="L44" s="433">
        <v>53422709.289999999</v>
      </c>
    </row>
    <row r="45" spans="1:12" ht="11.45" customHeight="1" x14ac:dyDescent="0.15">
      <c r="A45" s="57">
        <v>1802</v>
      </c>
      <c r="B45" s="439" t="s">
        <v>1194</v>
      </c>
      <c r="C45" s="439"/>
      <c r="D45" s="433">
        <v>288875.88</v>
      </c>
      <c r="E45" s="433">
        <v>88275.36</v>
      </c>
      <c r="F45" s="433">
        <v>0</v>
      </c>
      <c r="G45" s="433">
        <v>377151.24</v>
      </c>
      <c r="H45" s="433">
        <v>22151.64</v>
      </c>
      <c r="I45" s="433">
        <v>1370.54</v>
      </c>
      <c r="J45" s="433">
        <v>23522.18</v>
      </c>
      <c r="K45" s="433">
        <v>0</v>
      </c>
      <c r="L45" s="433">
        <v>353629.06</v>
      </c>
    </row>
    <row r="46" spans="1:12" ht="11.45" customHeight="1" x14ac:dyDescent="0.15">
      <c r="A46" s="57">
        <v>1869</v>
      </c>
      <c r="B46" s="439" t="s">
        <v>1195</v>
      </c>
      <c r="C46" s="439"/>
      <c r="D46" s="433">
        <v>3455.95</v>
      </c>
      <c r="E46" s="433">
        <v>0</v>
      </c>
      <c r="F46" s="433">
        <v>0</v>
      </c>
      <c r="G46" s="433">
        <v>3455.95</v>
      </c>
      <c r="H46" s="433">
        <v>0</v>
      </c>
      <c r="I46" s="433">
        <v>0</v>
      </c>
      <c r="J46" s="433">
        <v>0</v>
      </c>
      <c r="K46" s="433">
        <v>0</v>
      </c>
      <c r="L46" s="433">
        <v>3455.95</v>
      </c>
    </row>
    <row r="47" spans="1:12" ht="11.45" customHeight="1" x14ac:dyDescent="0.15">
      <c r="A47" s="57"/>
      <c r="B47" s="439"/>
      <c r="C47" s="439"/>
      <c r="D47" s="433"/>
      <c r="E47" s="433"/>
      <c r="F47" s="433"/>
      <c r="G47" s="433"/>
      <c r="H47" s="433"/>
      <c r="I47" s="433"/>
      <c r="J47" s="433"/>
      <c r="K47" s="433"/>
      <c r="L47" s="433"/>
    </row>
    <row r="48" spans="1:12" x14ac:dyDescent="0.15">
      <c r="A48" s="3" t="s">
        <v>102</v>
      </c>
      <c r="D48" s="329">
        <v>65775356.149999999</v>
      </c>
      <c r="E48" s="329">
        <v>91605278.079999998</v>
      </c>
      <c r="F48" s="329">
        <v>2803562.1</v>
      </c>
      <c r="G48" s="329">
        <v>160184196.33000001</v>
      </c>
      <c r="H48" s="329">
        <v>103671367.23999999</v>
      </c>
      <c r="I48" s="329">
        <v>29352004.079999998</v>
      </c>
      <c r="J48" s="329">
        <v>133023371.31999999</v>
      </c>
      <c r="K48" s="329">
        <v>2803562.1</v>
      </c>
      <c r="L48" s="329">
        <v>24357262.91</v>
      </c>
    </row>
  </sheetData>
  <pageMargins left="0.511811024" right="0.511811024" top="0.78740157499999996" bottom="0.78740157499999996" header="0.31496062000000002" footer="0.31496062000000002"/>
  <pageSetup paperSize="9" orientation="landscape" horizontalDpi="0" verticalDpi="0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8"/>
  <sheetViews>
    <sheetView workbookViewId="0">
      <selection activeCell="N43" sqref="N43"/>
    </sheetView>
  </sheetViews>
  <sheetFormatPr defaultColWidth="11.5703125" defaultRowHeight="8.25" x14ac:dyDescent="0.15"/>
  <cols>
    <col min="1" max="1" width="5.5703125" style="3" customWidth="1"/>
    <col min="2" max="3" width="11.5703125" style="3"/>
    <col min="4" max="4" width="12.5703125" style="329" customWidth="1"/>
    <col min="5" max="5" width="11.42578125" style="329" customWidth="1"/>
    <col min="6" max="6" width="10.42578125" style="329" customWidth="1"/>
    <col min="7" max="8" width="12.42578125" style="329" customWidth="1"/>
    <col min="9" max="9" width="10.7109375" style="329" customWidth="1"/>
    <col min="10" max="10" width="11.7109375" style="329" customWidth="1"/>
    <col min="11" max="11" width="11.42578125" style="329" customWidth="1"/>
    <col min="12" max="12" width="13.42578125" style="329" customWidth="1"/>
    <col min="13" max="16384" width="11.5703125" style="3"/>
  </cols>
  <sheetData>
    <row r="1" spans="1:12" ht="11.45" customHeight="1" x14ac:dyDescent="0.15">
      <c r="A1" s="432" t="s">
        <v>377</v>
      </c>
      <c r="G1" s="432"/>
    </row>
    <row r="2" spans="1:12" ht="21" customHeight="1" x14ac:dyDescent="0.15">
      <c r="A2" s="432" t="s">
        <v>2617</v>
      </c>
      <c r="C2" s="439"/>
      <c r="D2" s="849"/>
      <c r="E2" s="849"/>
      <c r="F2" s="849"/>
      <c r="G2" s="849"/>
      <c r="H2" s="849"/>
      <c r="I2" s="849"/>
      <c r="J2" s="849"/>
      <c r="K2" s="849"/>
      <c r="L2" s="849"/>
    </row>
    <row r="3" spans="1:12" ht="11.45" customHeight="1" x14ac:dyDescent="0.15">
      <c r="A3" s="432"/>
      <c r="D3" s="849"/>
      <c r="E3" s="849"/>
      <c r="F3" s="849"/>
      <c r="G3" s="849"/>
      <c r="H3" s="849"/>
      <c r="I3" s="849"/>
      <c r="J3" s="849"/>
      <c r="K3" s="849"/>
      <c r="L3" s="849"/>
    </row>
    <row r="4" spans="1:12" ht="11.45" customHeight="1" x14ac:dyDescent="0.15">
      <c r="A4" s="57" t="s">
        <v>378</v>
      </c>
      <c r="B4" s="439"/>
      <c r="C4" s="439" t="s">
        <v>379</v>
      </c>
      <c r="D4" s="433"/>
      <c r="E4" s="433"/>
      <c r="F4" s="433"/>
      <c r="G4" s="433"/>
      <c r="H4" s="433"/>
      <c r="I4" s="433"/>
      <c r="J4" s="433"/>
      <c r="K4" s="433"/>
      <c r="L4" s="433"/>
    </row>
    <row r="5" spans="1:12" ht="11.45" customHeight="1" x14ac:dyDescent="0.15">
      <c r="A5" s="57"/>
      <c r="B5" s="439"/>
      <c r="C5" s="439"/>
      <c r="D5" s="433"/>
      <c r="E5" s="433"/>
      <c r="F5" s="433"/>
      <c r="G5" s="433"/>
      <c r="H5" s="433"/>
      <c r="I5" s="433"/>
      <c r="J5" s="433"/>
      <c r="K5" s="433"/>
      <c r="L5" s="433"/>
    </row>
    <row r="6" spans="1:12" ht="11.45" customHeight="1" x14ac:dyDescent="0.15">
      <c r="A6" s="57"/>
      <c r="B6" s="439"/>
      <c r="C6" s="439"/>
      <c r="D6" s="433" t="s">
        <v>380</v>
      </c>
      <c r="E6" s="433" t="s">
        <v>381</v>
      </c>
      <c r="F6" s="433" t="s">
        <v>382</v>
      </c>
      <c r="G6" s="433" t="s">
        <v>383</v>
      </c>
      <c r="H6" s="433" t="s">
        <v>384</v>
      </c>
      <c r="I6" s="433" t="s">
        <v>385</v>
      </c>
      <c r="J6" s="433" t="s">
        <v>386</v>
      </c>
      <c r="K6" s="433" t="s">
        <v>387</v>
      </c>
      <c r="L6" s="433" t="s">
        <v>388</v>
      </c>
    </row>
    <row r="7" spans="1:12" ht="11.45" customHeight="1" x14ac:dyDescent="0.15">
      <c r="A7" s="57" t="s">
        <v>389</v>
      </c>
      <c r="B7" s="439"/>
      <c r="C7" s="439"/>
      <c r="D7" s="433"/>
      <c r="E7" s="433"/>
      <c r="F7" s="433"/>
      <c r="G7" s="433"/>
      <c r="H7" s="433"/>
      <c r="I7" s="433"/>
      <c r="J7" s="433"/>
      <c r="K7" s="433"/>
      <c r="L7" s="433"/>
    </row>
    <row r="8" spans="1:12" ht="11.45" customHeight="1" x14ac:dyDescent="0.15">
      <c r="A8" s="57">
        <v>1500</v>
      </c>
      <c r="B8" s="439" t="s">
        <v>1158</v>
      </c>
      <c r="C8" s="439"/>
      <c r="D8" s="433">
        <v>1332640.32</v>
      </c>
      <c r="E8" s="433">
        <v>41583341.439999998</v>
      </c>
      <c r="F8" s="433">
        <v>2803562.1</v>
      </c>
      <c r="G8" s="433">
        <v>45719543.859999999</v>
      </c>
      <c r="H8" s="433">
        <v>49554096.289999999</v>
      </c>
      <c r="I8" s="433">
        <v>1791485.74</v>
      </c>
      <c r="J8" s="433">
        <v>51345582.030000001</v>
      </c>
      <c r="K8" s="433">
        <v>2803562.1</v>
      </c>
      <c r="L8" s="433">
        <v>-8429600.2699999996</v>
      </c>
    </row>
    <row r="9" spans="1:12" ht="11.45" customHeight="1" x14ac:dyDescent="0.15">
      <c r="A9" s="57">
        <v>1501</v>
      </c>
      <c r="B9" s="439" t="s">
        <v>1159</v>
      </c>
      <c r="C9" s="439"/>
      <c r="D9" s="433">
        <v>0</v>
      </c>
      <c r="E9" s="433">
        <v>3608256.15</v>
      </c>
      <c r="F9" s="433">
        <v>0</v>
      </c>
      <c r="G9" s="433">
        <v>3608256.15</v>
      </c>
      <c r="H9" s="433">
        <v>0</v>
      </c>
      <c r="I9" s="433">
        <v>0</v>
      </c>
      <c r="J9" s="433">
        <v>0</v>
      </c>
      <c r="K9" s="433">
        <v>0</v>
      </c>
      <c r="L9" s="433">
        <v>3608256.15</v>
      </c>
    </row>
    <row r="10" spans="1:12" ht="11.45" customHeight="1" x14ac:dyDescent="0.15">
      <c r="A10" s="57">
        <v>1540</v>
      </c>
      <c r="B10" s="439" t="s">
        <v>1160</v>
      </c>
      <c r="C10" s="439"/>
      <c r="D10" s="433">
        <v>836132.57</v>
      </c>
      <c r="E10" s="433">
        <v>13904664.050000001</v>
      </c>
      <c r="F10" s="433">
        <v>0</v>
      </c>
      <c r="G10" s="433">
        <v>14740796.619999999</v>
      </c>
      <c r="H10" s="433">
        <v>14802152.539999999</v>
      </c>
      <c r="I10" s="433">
        <v>-57.84</v>
      </c>
      <c r="J10" s="433">
        <v>14802094.699999999</v>
      </c>
      <c r="K10" s="433">
        <v>0</v>
      </c>
      <c r="L10" s="433">
        <v>-61298.080000000002</v>
      </c>
    </row>
    <row r="11" spans="1:12" ht="11.45" customHeight="1" x14ac:dyDescent="0.15">
      <c r="A11" s="57">
        <v>1543</v>
      </c>
      <c r="B11" s="439" t="s">
        <v>1161</v>
      </c>
      <c r="C11" s="439"/>
      <c r="D11" s="433">
        <v>0</v>
      </c>
      <c r="E11" s="433">
        <v>210122.83</v>
      </c>
      <c r="F11" s="433">
        <v>0</v>
      </c>
      <c r="G11" s="433">
        <v>210122.83</v>
      </c>
      <c r="H11" s="433">
        <v>755.6</v>
      </c>
      <c r="I11" s="433">
        <v>0</v>
      </c>
      <c r="J11" s="433">
        <v>755.6</v>
      </c>
      <c r="K11" s="433">
        <v>0</v>
      </c>
      <c r="L11" s="433">
        <v>209367.23</v>
      </c>
    </row>
    <row r="12" spans="1:12" ht="11.45" customHeight="1" x14ac:dyDescent="0.15">
      <c r="A12" s="57">
        <v>1550</v>
      </c>
      <c r="B12" s="439" t="s">
        <v>1162</v>
      </c>
      <c r="C12" s="439"/>
      <c r="D12" s="433">
        <v>1021184.47</v>
      </c>
      <c r="E12" s="433">
        <v>1167375.82</v>
      </c>
      <c r="F12" s="433">
        <v>0</v>
      </c>
      <c r="G12" s="433">
        <v>2188560.29</v>
      </c>
      <c r="H12" s="433">
        <v>1069926.8500000001</v>
      </c>
      <c r="I12" s="433">
        <v>287595.92</v>
      </c>
      <c r="J12" s="433">
        <v>1357522.77</v>
      </c>
      <c r="K12" s="433">
        <v>0</v>
      </c>
      <c r="L12" s="433">
        <v>831037.52</v>
      </c>
    </row>
    <row r="13" spans="1:12" ht="11.45" customHeight="1" x14ac:dyDescent="0.15">
      <c r="A13" s="57">
        <v>1551</v>
      </c>
      <c r="B13" s="439" t="s">
        <v>1163</v>
      </c>
      <c r="C13" s="439"/>
      <c r="D13" s="433">
        <v>2263.29</v>
      </c>
      <c r="E13" s="433">
        <v>124.43</v>
      </c>
      <c r="F13" s="433">
        <v>0</v>
      </c>
      <c r="G13" s="433">
        <v>2387.7199999999998</v>
      </c>
      <c r="H13" s="433">
        <v>0</v>
      </c>
      <c r="I13" s="433">
        <v>0</v>
      </c>
      <c r="J13" s="433">
        <v>0</v>
      </c>
      <c r="K13" s="433">
        <v>0</v>
      </c>
      <c r="L13" s="433">
        <v>2387.7199999999998</v>
      </c>
    </row>
    <row r="14" spans="1:12" ht="11.45" customHeight="1" x14ac:dyDescent="0.15">
      <c r="A14" s="57">
        <v>1552</v>
      </c>
      <c r="B14" s="439" t="s">
        <v>1164</v>
      </c>
      <c r="C14" s="439"/>
      <c r="D14" s="433">
        <v>4948.6099999999997</v>
      </c>
      <c r="E14" s="433">
        <v>280222.34000000003</v>
      </c>
      <c r="F14" s="433">
        <v>0</v>
      </c>
      <c r="G14" s="433">
        <v>285170.95</v>
      </c>
      <c r="H14" s="433">
        <v>119080</v>
      </c>
      <c r="I14" s="433">
        <v>0</v>
      </c>
      <c r="J14" s="433">
        <v>119080</v>
      </c>
      <c r="K14" s="433">
        <v>0</v>
      </c>
      <c r="L14" s="433">
        <v>166090.95000000001</v>
      </c>
    </row>
    <row r="15" spans="1:12" ht="11.45" customHeight="1" x14ac:dyDescent="0.15">
      <c r="A15" s="57">
        <v>1553</v>
      </c>
      <c r="B15" s="439" t="s">
        <v>1165</v>
      </c>
      <c r="C15" s="439"/>
      <c r="D15" s="433">
        <v>91835.88</v>
      </c>
      <c r="E15" s="433">
        <v>77965.73</v>
      </c>
      <c r="F15" s="433">
        <v>0</v>
      </c>
      <c r="G15" s="433">
        <v>169801.61</v>
      </c>
      <c r="H15" s="433">
        <v>113161.02</v>
      </c>
      <c r="I15" s="433">
        <v>5482.88</v>
      </c>
      <c r="J15" s="433">
        <v>118643.9</v>
      </c>
      <c r="K15" s="433">
        <v>0</v>
      </c>
      <c r="L15" s="433">
        <v>51157.71</v>
      </c>
    </row>
    <row r="16" spans="1:12" ht="11.45" customHeight="1" x14ac:dyDescent="0.15">
      <c r="A16" s="57">
        <v>1569</v>
      </c>
      <c r="B16" s="439" t="s">
        <v>1166</v>
      </c>
      <c r="C16" s="439"/>
      <c r="D16" s="433">
        <v>2902.39</v>
      </c>
      <c r="E16" s="433">
        <v>126.18</v>
      </c>
      <c r="F16" s="433">
        <v>0</v>
      </c>
      <c r="G16" s="433">
        <v>3028.57</v>
      </c>
      <c r="H16" s="433">
        <v>2748.9</v>
      </c>
      <c r="I16" s="433">
        <v>0</v>
      </c>
      <c r="J16" s="433">
        <v>2748.9</v>
      </c>
      <c r="K16" s="433">
        <v>0</v>
      </c>
      <c r="L16" s="433">
        <v>279.67</v>
      </c>
    </row>
    <row r="17" spans="1:12" ht="11.45" customHeight="1" x14ac:dyDescent="0.15">
      <c r="A17" s="57">
        <v>1570</v>
      </c>
      <c r="B17" s="439" t="s">
        <v>1167</v>
      </c>
      <c r="C17" s="439"/>
      <c r="D17" s="433">
        <v>759793.63</v>
      </c>
      <c r="E17" s="433">
        <v>41969.8</v>
      </c>
      <c r="F17" s="433">
        <v>0</v>
      </c>
      <c r="G17" s="433">
        <v>801763.43</v>
      </c>
      <c r="H17" s="433">
        <v>0</v>
      </c>
      <c r="I17" s="433">
        <v>0</v>
      </c>
      <c r="J17" s="433">
        <v>0</v>
      </c>
      <c r="K17" s="433">
        <v>0</v>
      </c>
      <c r="L17" s="433">
        <v>801763.43</v>
      </c>
    </row>
    <row r="18" spans="1:12" ht="11.45" customHeight="1" x14ac:dyDescent="0.15">
      <c r="A18" s="57">
        <v>1571</v>
      </c>
      <c r="B18" s="439" t="s">
        <v>1168</v>
      </c>
      <c r="C18" s="439"/>
      <c r="D18" s="433">
        <v>303296.95</v>
      </c>
      <c r="E18" s="433">
        <v>1706535.11</v>
      </c>
      <c r="F18" s="433">
        <v>0</v>
      </c>
      <c r="G18" s="433">
        <v>2009832.06</v>
      </c>
      <c r="H18" s="433">
        <v>1631805.96</v>
      </c>
      <c r="I18" s="433">
        <v>12730</v>
      </c>
      <c r="J18" s="433">
        <v>1644535.96</v>
      </c>
      <c r="K18" s="433">
        <v>0</v>
      </c>
      <c r="L18" s="433">
        <v>365296.1</v>
      </c>
    </row>
    <row r="19" spans="1:12" ht="11.45" customHeight="1" x14ac:dyDescent="0.15">
      <c r="A19" s="57">
        <v>1599</v>
      </c>
      <c r="B19" s="439" t="s">
        <v>1169</v>
      </c>
      <c r="C19" s="439"/>
      <c r="D19" s="433">
        <v>15329.7</v>
      </c>
      <c r="E19" s="433">
        <v>788.36</v>
      </c>
      <c r="F19" s="433">
        <v>0</v>
      </c>
      <c r="G19" s="433">
        <v>16118.06</v>
      </c>
      <c r="H19" s="433">
        <v>0</v>
      </c>
      <c r="I19" s="433">
        <v>0</v>
      </c>
      <c r="J19" s="433">
        <v>0</v>
      </c>
      <c r="K19" s="433">
        <v>0</v>
      </c>
      <c r="L19" s="433">
        <v>16118.06</v>
      </c>
    </row>
    <row r="20" spans="1:12" ht="11.45" customHeight="1" x14ac:dyDescent="0.15">
      <c r="A20" s="57">
        <v>1600</v>
      </c>
      <c r="B20" s="439" t="s">
        <v>1170</v>
      </c>
      <c r="C20" s="439"/>
      <c r="D20" s="433">
        <v>539388.78</v>
      </c>
      <c r="E20" s="433">
        <v>1495204.55</v>
      </c>
      <c r="F20" s="433">
        <v>0</v>
      </c>
      <c r="G20" s="433">
        <v>2034593.33</v>
      </c>
      <c r="H20" s="433">
        <v>1323043.6299999999</v>
      </c>
      <c r="I20" s="433">
        <v>41686.07</v>
      </c>
      <c r="J20" s="433">
        <v>1364729.7</v>
      </c>
      <c r="K20" s="433">
        <v>0</v>
      </c>
      <c r="L20" s="433">
        <v>669863.63</v>
      </c>
    </row>
    <row r="21" spans="1:12" ht="11.45" customHeight="1" x14ac:dyDescent="0.15">
      <c r="A21" s="57">
        <v>1601</v>
      </c>
      <c r="B21" s="439" t="s">
        <v>1171</v>
      </c>
      <c r="C21" s="439"/>
      <c r="D21" s="433">
        <v>1191644.27</v>
      </c>
      <c r="E21" s="433">
        <v>45858.239999999998</v>
      </c>
      <c r="F21" s="433">
        <v>0</v>
      </c>
      <c r="G21" s="433">
        <v>1237502.51</v>
      </c>
      <c r="H21" s="433">
        <v>26098.39</v>
      </c>
      <c r="I21" s="433">
        <v>653000</v>
      </c>
      <c r="J21" s="433">
        <v>679098.39</v>
      </c>
      <c r="K21" s="433">
        <v>0</v>
      </c>
      <c r="L21" s="433">
        <v>558404.12</v>
      </c>
    </row>
    <row r="22" spans="1:12" ht="11.45" customHeight="1" x14ac:dyDescent="0.15">
      <c r="A22" s="57">
        <v>1602</v>
      </c>
      <c r="B22" s="439" t="s">
        <v>1172</v>
      </c>
      <c r="C22" s="439"/>
      <c r="D22" s="433">
        <v>17863.97</v>
      </c>
      <c r="E22" s="433">
        <v>228.84</v>
      </c>
      <c r="F22" s="433">
        <v>0</v>
      </c>
      <c r="G22" s="433">
        <v>18092.810000000001</v>
      </c>
      <c r="H22" s="433">
        <v>0</v>
      </c>
      <c r="I22" s="433">
        <v>0</v>
      </c>
      <c r="J22" s="433">
        <v>0</v>
      </c>
      <c r="K22" s="433">
        <v>0</v>
      </c>
      <c r="L22" s="433">
        <v>18092.810000000001</v>
      </c>
    </row>
    <row r="23" spans="1:12" ht="11.45" customHeight="1" x14ac:dyDescent="0.15">
      <c r="A23" s="57">
        <v>1603</v>
      </c>
      <c r="B23" s="439" t="s">
        <v>1173</v>
      </c>
      <c r="C23" s="439"/>
      <c r="D23" s="433">
        <v>19434.82</v>
      </c>
      <c r="E23" s="433">
        <v>1099.76</v>
      </c>
      <c r="F23" s="433">
        <v>0</v>
      </c>
      <c r="G23" s="433">
        <v>20534.580000000002</v>
      </c>
      <c r="H23" s="433">
        <v>0</v>
      </c>
      <c r="I23" s="433">
        <v>0</v>
      </c>
      <c r="J23" s="433">
        <v>0</v>
      </c>
      <c r="K23" s="433">
        <v>0</v>
      </c>
      <c r="L23" s="433">
        <v>20534.580000000002</v>
      </c>
    </row>
    <row r="24" spans="1:12" ht="11.45" customHeight="1" x14ac:dyDescent="0.15">
      <c r="A24" s="57">
        <v>1604</v>
      </c>
      <c r="B24" s="439" t="s">
        <v>1174</v>
      </c>
      <c r="C24" s="439"/>
      <c r="D24" s="433">
        <v>1712.24</v>
      </c>
      <c r="E24" s="433">
        <v>739508.59</v>
      </c>
      <c r="F24" s="433">
        <v>0</v>
      </c>
      <c r="G24" s="433">
        <v>741220.83</v>
      </c>
      <c r="H24" s="433">
        <v>692001.45</v>
      </c>
      <c r="I24" s="433">
        <v>0</v>
      </c>
      <c r="J24" s="433">
        <v>692001.45</v>
      </c>
      <c r="K24" s="433">
        <v>0</v>
      </c>
      <c r="L24" s="433">
        <v>49219.38</v>
      </c>
    </row>
    <row r="25" spans="1:12" ht="11.45" customHeight="1" x14ac:dyDescent="0.15">
      <c r="A25" s="57">
        <v>1621</v>
      </c>
      <c r="B25" s="439" t="s">
        <v>1175</v>
      </c>
      <c r="C25" s="439"/>
      <c r="D25" s="433">
        <v>311778.58</v>
      </c>
      <c r="E25" s="433">
        <v>537450.84</v>
      </c>
      <c r="F25" s="433">
        <v>0</v>
      </c>
      <c r="G25" s="433">
        <v>849229.42</v>
      </c>
      <c r="H25" s="433">
        <v>596028.13</v>
      </c>
      <c r="I25" s="433">
        <v>0</v>
      </c>
      <c r="J25" s="433">
        <v>596028.13</v>
      </c>
      <c r="K25" s="433">
        <v>0</v>
      </c>
      <c r="L25" s="433">
        <v>253201.29</v>
      </c>
    </row>
    <row r="26" spans="1:12" ht="11.45" customHeight="1" x14ac:dyDescent="0.15">
      <c r="A26" s="57">
        <v>1632</v>
      </c>
      <c r="B26" s="439" t="s">
        <v>1176</v>
      </c>
      <c r="C26" s="439"/>
      <c r="D26" s="433">
        <v>13565.15</v>
      </c>
      <c r="E26" s="433">
        <v>0</v>
      </c>
      <c r="F26" s="433">
        <v>0</v>
      </c>
      <c r="G26" s="433">
        <v>13565.15</v>
      </c>
      <c r="H26" s="433">
        <v>0</v>
      </c>
      <c r="I26" s="433">
        <v>0</v>
      </c>
      <c r="J26" s="433">
        <v>0</v>
      </c>
      <c r="K26" s="433">
        <v>0</v>
      </c>
      <c r="L26" s="433">
        <v>13565.15</v>
      </c>
    </row>
    <row r="27" spans="1:12" ht="11.45" customHeight="1" x14ac:dyDescent="0.15">
      <c r="A27" s="57">
        <v>1659</v>
      </c>
      <c r="B27" s="439" t="s">
        <v>1177</v>
      </c>
      <c r="C27" s="439"/>
      <c r="D27" s="433">
        <v>242431.58</v>
      </c>
      <c r="E27" s="433">
        <v>239962.67</v>
      </c>
      <c r="F27" s="433">
        <v>0</v>
      </c>
      <c r="G27" s="433">
        <v>482394.25</v>
      </c>
      <c r="H27" s="433">
        <v>264876.02</v>
      </c>
      <c r="I27" s="433">
        <v>7030.82</v>
      </c>
      <c r="J27" s="433">
        <v>271906.84000000003</v>
      </c>
      <c r="K27" s="433">
        <v>0</v>
      </c>
      <c r="L27" s="433">
        <v>210487.41</v>
      </c>
    </row>
    <row r="28" spans="1:12" ht="11.45" customHeight="1" x14ac:dyDescent="0.15">
      <c r="A28" s="57">
        <v>1660</v>
      </c>
      <c r="B28" s="439" t="s">
        <v>1178</v>
      </c>
      <c r="C28" s="439"/>
      <c r="D28" s="433">
        <v>354275.67</v>
      </c>
      <c r="E28" s="433">
        <v>283418.96000000002</v>
      </c>
      <c r="F28" s="433">
        <v>0</v>
      </c>
      <c r="G28" s="433">
        <v>637694.63</v>
      </c>
      <c r="H28" s="433">
        <v>196543.17</v>
      </c>
      <c r="I28" s="433">
        <v>3761.57</v>
      </c>
      <c r="J28" s="433">
        <v>200304.74</v>
      </c>
      <c r="K28" s="433">
        <v>0</v>
      </c>
      <c r="L28" s="433">
        <v>437389.89</v>
      </c>
    </row>
    <row r="29" spans="1:12" ht="11.45" customHeight="1" x14ac:dyDescent="0.15">
      <c r="A29" s="57">
        <v>1661</v>
      </c>
      <c r="B29" s="439" t="s">
        <v>1179</v>
      </c>
      <c r="C29" s="439"/>
      <c r="D29" s="433">
        <v>202720.61</v>
      </c>
      <c r="E29" s="433">
        <v>9691.76</v>
      </c>
      <c r="F29" s="433">
        <v>0</v>
      </c>
      <c r="G29" s="433">
        <v>212412.37</v>
      </c>
      <c r="H29" s="433">
        <v>55710.35</v>
      </c>
      <c r="I29" s="433">
        <v>0</v>
      </c>
      <c r="J29" s="433">
        <v>55710.35</v>
      </c>
      <c r="K29" s="433">
        <v>0</v>
      </c>
      <c r="L29" s="433">
        <v>156702.01999999999</v>
      </c>
    </row>
    <row r="30" spans="1:12" ht="11.45" customHeight="1" x14ac:dyDescent="0.15">
      <c r="A30" s="57">
        <v>1665</v>
      </c>
      <c r="B30" s="439" t="s">
        <v>1764</v>
      </c>
      <c r="C30" s="439"/>
      <c r="D30" s="433">
        <v>0</v>
      </c>
      <c r="E30" s="433">
        <v>56773.07</v>
      </c>
      <c r="F30" s="433">
        <v>0</v>
      </c>
      <c r="G30" s="433">
        <v>56773.07</v>
      </c>
      <c r="H30" s="433">
        <v>0</v>
      </c>
      <c r="I30" s="433">
        <v>0</v>
      </c>
      <c r="J30" s="433">
        <v>0</v>
      </c>
      <c r="K30" s="433">
        <v>0</v>
      </c>
      <c r="L30" s="433">
        <v>56773.07</v>
      </c>
    </row>
    <row r="31" spans="1:12" ht="11.45" customHeight="1" x14ac:dyDescent="0.15">
      <c r="A31" s="57">
        <v>1669</v>
      </c>
      <c r="B31" s="439" t="s">
        <v>1180</v>
      </c>
      <c r="C31" s="439"/>
      <c r="D31" s="433">
        <v>19.98</v>
      </c>
      <c r="E31" s="433">
        <v>0</v>
      </c>
      <c r="F31" s="433">
        <v>0</v>
      </c>
      <c r="G31" s="433">
        <v>19.98</v>
      </c>
      <c r="H31" s="433">
        <v>0</v>
      </c>
      <c r="I31" s="433">
        <v>0</v>
      </c>
      <c r="J31" s="433">
        <v>0</v>
      </c>
      <c r="K31" s="433">
        <v>0</v>
      </c>
      <c r="L31" s="433">
        <v>19.98</v>
      </c>
    </row>
    <row r="32" spans="1:12" ht="11.45" customHeight="1" x14ac:dyDescent="0.15">
      <c r="A32" s="57">
        <v>1700</v>
      </c>
      <c r="B32" s="439" t="s">
        <v>1181</v>
      </c>
      <c r="C32" s="439"/>
      <c r="D32" s="433">
        <v>464310.5</v>
      </c>
      <c r="E32" s="433">
        <v>43132.53</v>
      </c>
      <c r="F32" s="433">
        <v>0</v>
      </c>
      <c r="G32" s="433">
        <v>507443.03</v>
      </c>
      <c r="H32" s="433">
        <v>519342.62</v>
      </c>
      <c r="I32" s="433">
        <v>199669.67</v>
      </c>
      <c r="J32" s="433">
        <v>719012.29</v>
      </c>
      <c r="K32" s="433">
        <v>0</v>
      </c>
      <c r="L32" s="433">
        <v>-211569.26</v>
      </c>
    </row>
    <row r="33" spans="1:12" ht="11.45" customHeight="1" x14ac:dyDescent="0.15">
      <c r="A33" s="57">
        <v>1701</v>
      </c>
      <c r="B33" s="439" t="s">
        <v>1182</v>
      </c>
      <c r="C33" s="439"/>
      <c r="D33" s="433">
        <v>745705.66</v>
      </c>
      <c r="E33" s="433">
        <v>170837.13</v>
      </c>
      <c r="F33" s="433">
        <v>0</v>
      </c>
      <c r="G33" s="433">
        <v>916542.79</v>
      </c>
      <c r="H33" s="433">
        <v>2300</v>
      </c>
      <c r="I33" s="433">
        <v>0</v>
      </c>
      <c r="J33" s="433">
        <v>2300</v>
      </c>
      <c r="K33" s="433">
        <v>0</v>
      </c>
      <c r="L33" s="433">
        <v>914242.79</v>
      </c>
    </row>
    <row r="34" spans="1:12" ht="11.45" customHeight="1" x14ac:dyDescent="0.15">
      <c r="A34" s="57">
        <v>1704</v>
      </c>
      <c r="B34" s="439" t="s">
        <v>1183</v>
      </c>
      <c r="C34" s="439"/>
      <c r="D34" s="433">
        <v>630140.68999999994</v>
      </c>
      <c r="E34" s="433">
        <v>401220.45</v>
      </c>
      <c r="F34" s="433">
        <v>0</v>
      </c>
      <c r="G34" s="433">
        <v>1031361.14</v>
      </c>
      <c r="H34" s="433">
        <v>166961.75</v>
      </c>
      <c r="I34" s="433">
        <v>0</v>
      </c>
      <c r="J34" s="433">
        <v>166961.75</v>
      </c>
      <c r="K34" s="433">
        <v>0</v>
      </c>
      <c r="L34" s="433">
        <v>864399.39</v>
      </c>
    </row>
    <row r="35" spans="1:12" ht="11.45" customHeight="1" x14ac:dyDescent="0.15">
      <c r="A35" s="57">
        <v>1706</v>
      </c>
      <c r="B35" s="439" t="s">
        <v>1184</v>
      </c>
      <c r="C35" s="439"/>
      <c r="D35" s="433">
        <v>1169255.58</v>
      </c>
      <c r="E35" s="433">
        <v>332407.42</v>
      </c>
      <c r="F35" s="433">
        <v>0</v>
      </c>
      <c r="G35" s="433">
        <v>1501663</v>
      </c>
      <c r="H35" s="433">
        <v>251900</v>
      </c>
      <c r="I35" s="433">
        <v>0</v>
      </c>
      <c r="J35" s="433">
        <v>251900</v>
      </c>
      <c r="K35" s="433">
        <v>0</v>
      </c>
      <c r="L35" s="433">
        <v>1249763</v>
      </c>
    </row>
    <row r="36" spans="1:12" ht="11.45" customHeight="1" x14ac:dyDescent="0.15">
      <c r="A36" s="57">
        <v>1708</v>
      </c>
      <c r="B36" s="439" t="s">
        <v>1185</v>
      </c>
      <c r="C36" s="439"/>
      <c r="D36" s="433">
        <v>862557.43</v>
      </c>
      <c r="E36" s="433">
        <v>276895.53000000003</v>
      </c>
      <c r="F36" s="433">
        <v>0</v>
      </c>
      <c r="G36" s="433">
        <v>1139452.96</v>
      </c>
      <c r="H36" s="433">
        <v>224658.26</v>
      </c>
      <c r="I36" s="433">
        <v>0</v>
      </c>
      <c r="J36" s="433">
        <v>224658.26</v>
      </c>
      <c r="K36" s="433">
        <v>0</v>
      </c>
      <c r="L36" s="433">
        <v>914794.7</v>
      </c>
    </row>
    <row r="37" spans="1:12" ht="11.45" customHeight="1" x14ac:dyDescent="0.15">
      <c r="A37" s="57">
        <v>1710</v>
      </c>
      <c r="B37" s="439" t="s">
        <v>1186</v>
      </c>
      <c r="C37" s="439"/>
      <c r="D37" s="433">
        <v>0</v>
      </c>
      <c r="E37" s="433">
        <v>100.7</v>
      </c>
      <c r="F37" s="433">
        <v>0</v>
      </c>
      <c r="G37" s="433">
        <v>100.7</v>
      </c>
      <c r="H37" s="433">
        <v>0</v>
      </c>
      <c r="I37" s="433">
        <v>0</v>
      </c>
      <c r="J37" s="433">
        <v>0</v>
      </c>
      <c r="K37" s="433">
        <v>0</v>
      </c>
      <c r="L37" s="433">
        <v>100.7</v>
      </c>
    </row>
    <row r="38" spans="1:12" ht="11.45" customHeight="1" x14ac:dyDescent="0.15">
      <c r="A38" s="57">
        <v>1749</v>
      </c>
      <c r="B38" s="439" t="s">
        <v>1187</v>
      </c>
      <c r="C38" s="439"/>
      <c r="D38" s="433">
        <v>2986430.24</v>
      </c>
      <c r="E38" s="433">
        <v>2622709.4</v>
      </c>
      <c r="F38" s="433">
        <v>0</v>
      </c>
      <c r="G38" s="433">
        <v>5609139.6399999997</v>
      </c>
      <c r="H38" s="433">
        <v>1926086.57</v>
      </c>
      <c r="I38" s="433">
        <v>20433.02</v>
      </c>
      <c r="J38" s="433">
        <v>1946519.59</v>
      </c>
      <c r="K38" s="433">
        <v>0</v>
      </c>
      <c r="L38" s="433">
        <v>3662620.05</v>
      </c>
    </row>
    <row r="39" spans="1:12" ht="11.45" customHeight="1" x14ac:dyDescent="0.15">
      <c r="A39" s="57">
        <v>1750</v>
      </c>
      <c r="B39" s="439" t="s">
        <v>1188</v>
      </c>
      <c r="C39" s="439"/>
      <c r="D39" s="433">
        <v>10690.67</v>
      </c>
      <c r="E39" s="433">
        <v>739.48</v>
      </c>
      <c r="F39" s="433">
        <v>0</v>
      </c>
      <c r="G39" s="433">
        <v>11430.15</v>
      </c>
      <c r="H39" s="433">
        <v>0</v>
      </c>
      <c r="I39" s="433">
        <v>0</v>
      </c>
      <c r="J39" s="433">
        <v>0</v>
      </c>
      <c r="K39" s="433">
        <v>0</v>
      </c>
      <c r="L39" s="433">
        <v>11430.15</v>
      </c>
    </row>
    <row r="40" spans="1:12" ht="11.45" customHeight="1" x14ac:dyDescent="0.15">
      <c r="A40" s="57">
        <v>1751</v>
      </c>
      <c r="B40" s="439" t="s">
        <v>1189</v>
      </c>
      <c r="C40" s="439"/>
      <c r="D40" s="433">
        <v>0</v>
      </c>
      <c r="E40" s="433">
        <v>280057.32</v>
      </c>
      <c r="F40" s="433">
        <v>0</v>
      </c>
      <c r="G40" s="433">
        <v>280057.32</v>
      </c>
      <c r="H40" s="433">
        <v>0</v>
      </c>
      <c r="I40" s="433">
        <v>0</v>
      </c>
      <c r="J40" s="433">
        <v>0</v>
      </c>
      <c r="K40" s="433">
        <v>0</v>
      </c>
      <c r="L40" s="433">
        <v>280057.32</v>
      </c>
    </row>
    <row r="41" spans="1:12" ht="11.45" customHeight="1" x14ac:dyDescent="0.15">
      <c r="A41" s="57">
        <v>1752</v>
      </c>
      <c r="B41" s="439" t="s">
        <v>1190</v>
      </c>
      <c r="C41" s="439"/>
      <c r="D41" s="433">
        <v>3815.05</v>
      </c>
      <c r="E41" s="433">
        <v>9371.56</v>
      </c>
      <c r="F41" s="433">
        <v>0</v>
      </c>
      <c r="G41" s="433">
        <v>13186.61</v>
      </c>
      <c r="H41" s="433">
        <v>0</v>
      </c>
      <c r="I41" s="433">
        <v>535.5</v>
      </c>
      <c r="J41" s="433">
        <v>535.5</v>
      </c>
      <c r="K41" s="433">
        <v>0</v>
      </c>
      <c r="L41" s="433">
        <v>12651.11</v>
      </c>
    </row>
    <row r="42" spans="1:12" ht="11.45" customHeight="1" x14ac:dyDescent="0.15">
      <c r="A42" s="57">
        <v>1753</v>
      </c>
      <c r="B42" s="439" t="s">
        <v>1191</v>
      </c>
      <c r="C42" s="439"/>
      <c r="D42" s="433">
        <v>228.75</v>
      </c>
      <c r="E42" s="433">
        <v>34152.370000000003</v>
      </c>
      <c r="F42" s="433">
        <v>0</v>
      </c>
      <c r="G42" s="433">
        <v>34381.120000000003</v>
      </c>
      <c r="H42" s="433">
        <v>0</v>
      </c>
      <c r="I42" s="433">
        <v>-3422.44</v>
      </c>
      <c r="J42" s="433">
        <v>-3422.44</v>
      </c>
      <c r="K42" s="433">
        <v>0</v>
      </c>
      <c r="L42" s="433">
        <v>37803.56</v>
      </c>
    </row>
    <row r="43" spans="1:12" x14ac:dyDescent="0.15">
      <c r="A43" s="3">
        <v>1759</v>
      </c>
      <c r="B43" s="3" t="s">
        <v>1192</v>
      </c>
      <c r="D43" s="329">
        <v>1760838.74</v>
      </c>
      <c r="E43" s="329">
        <v>146411.70000000001</v>
      </c>
      <c r="F43" s="329">
        <v>0</v>
      </c>
      <c r="G43" s="329">
        <v>1907250.44</v>
      </c>
      <c r="H43" s="329">
        <v>47230.19</v>
      </c>
      <c r="I43" s="329">
        <v>0</v>
      </c>
      <c r="J43" s="329">
        <v>47230.19</v>
      </c>
      <c r="K43" s="329">
        <v>0</v>
      </c>
      <c r="L43" s="329">
        <v>1860020.25</v>
      </c>
    </row>
    <row r="44" spans="1:12" x14ac:dyDescent="0.15">
      <c r="A44" s="3">
        <v>1800</v>
      </c>
      <c r="B44" s="3" t="s">
        <v>1193</v>
      </c>
      <c r="D44" s="329">
        <v>49583887.549999997</v>
      </c>
      <c r="E44" s="329">
        <v>21208277.609999999</v>
      </c>
      <c r="F44" s="329">
        <v>0</v>
      </c>
      <c r="G44" s="329">
        <v>70792165.159999996</v>
      </c>
      <c r="H44" s="329">
        <v>17325616.289999999</v>
      </c>
      <c r="I44" s="329">
        <v>0</v>
      </c>
      <c r="J44" s="329">
        <v>17325616.289999999</v>
      </c>
      <c r="K44" s="329">
        <v>0</v>
      </c>
      <c r="L44" s="329">
        <v>53466548.869999997</v>
      </c>
    </row>
    <row r="45" spans="1:12" x14ac:dyDescent="0.15">
      <c r="A45" s="3">
        <v>1802</v>
      </c>
      <c r="B45" s="3" t="s">
        <v>1194</v>
      </c>
      <c r="D45" s="329">
        <v>288875.88</v>
      </c>
      <c r="E45" s="329">
        <v>88275.36</v>
      </c>
      <c r="F45" s="329">
        <v>0</v>
      </c>
      <c r="G45" s="329">
        <v>377151.24</v>
      </c>
      <c r="H45" s="329">
        <v>5101.1000000000004</v>
      </c>
      <c r="I45" s="329">
        <v>0</v>
      </c>
      <c r="J45" s="329">
        <v>5101.1000000000004</v>
      </c>
      <c r="K45" s="329">
        <v>0</v>
      </c>
      <c r="L45" s="329">
        <v>372050.14</v>
      </c>
    </row>
    <row r="46" spans="1:12" x14ac:dyDescent="0.15">
      <c r="A46" s="3">
        <v>1869</v>
      </c>
      <c r="B46" s="3" t="s">
        <v>1195</v>
      </c>
      <c r="D46" s="329">
        <v>3455.95</v>
      </c>
      <c r="E46" s="329">
        <v>0</v>
      </c>
      <c r="F46" s="329">
        <v>0</v>
      </c>
      <c r="G46" s="329">
        <v>3455.95</v>
      </c>
      <c r="H46" s="329">
        <v>0</v>
      </c>
      <c r="I46" s="329">
        <v>0</v>
      </c>
      <c r="J46" s="329">
        <v>0</v>
      </c>
      <c r="K46" s="329">
        <v>0</v>
      </c>
      <c r="L46" s="329">
        <v>3455.95</v>
      </c>
    </row>
    <row r="48" spans="1:12" x14ac:dyDescent="0.15">
      <c r="A48" s="3" t="s">
        <v>102</v>
      </c>
      <c r="D48" s="329">
        <v>65775356.149999999</v>
      </c>
      <c r="E48" s="329">
        <v>91605278.079999998</v>
      </c>
      <c r="F48" s="329">
        <v>2803562.1</v>
      </c>
      <c r="G48" s="329">
        <v>160184196.33000001</v>
      </c>
      <c r="H48" s="329">
        <v>90917225.079999998</v>
      </c>
      <c r="I48" s="329">
        <v>3019930.91</v>
      </c>
      <c r="J48" s="329">
        <v>93937155.989999995</v>
      </c>
      <c r="K48" s="329">
        <v>2803562.1</v>
      </c>
      <c r="L48" s="329">
        <v>63443478.240000002</v>
      </c>
    </row>
  </sheetData>
  <pageMargins left="0.511811024" right="0.511811024" top="0.78740157499999996" bottom="0.78740157499999996" header="0.31496062000000002" footer="0.31496062000000002"/>
  <pageSetup paperSize="9" orientation="landscape" horizontalDpi="0" verticalDpi="0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2"/>
  <sheetViews>
    <sheetView workbookViewId="0">
      <selection activeCell="K53" sqref="K53"/>
    </sheetView>
  </sheetViews>
  <sheetFormatPr defaultRowHeight="8.25" x14ac:dyDescent="0.15"/>
  <cols>
    <col min="1" max="1" width="10.5703125" style="3" bestFit="1" customWidth="1"/>
    <col min="2" max="3" width="9.140625" style="3"/>
    <col min="4" max="5" width="11.42578125" style="329" bestFit="1" customWidth="1"/>
    <col min="6" max="6" width="9.28515625" style="329" bestFit="1" customWidth="1"/>
    <col min="7" max="8" width="11.42578125" style="329" bestFit="1" customWidth="1"/>
    <col min="9" max="9" width="10.5703125" style="329" bestFit="1" customWidth="1"/>
    <col min="10" max="10" width="11.42578125" style="329" bestFit="1" customWidth="1"/>
    <col min="11" max="11" width="9.28515625" style="329" bestFit="1" customWidth="1"/>
    <col min="12" max="12" width="11.42578125" style="329" bestFit="1" customWidth="1"/>
    <col min="13" max="16384" width="9.140625" style="3"/>
  </cols>
  <sheetData>
    <row r="1" spans="1:12" ht="11.45" customHeight="1" x14ac:dyDescent="0.15">
      <c r="A1" s="3" t="s">
        <v>377</v>
      </c>
    </row>
    <row r="2" spans="1:12" ht="11.45" customHeight="1" x14ac:dyDescent="0.15">
      <c r="A2" s="3" t="s">
        <v>2617</v>
      </c>
    </row>
    <row r="4" spans="1:12" ht="11.45" customHeight="1" x14ac:dyDescent="0.15">
      <c r="A4" s="3" t="s">
        <v>378</v>
      </c>
      <c r="C4" s="3" t="s">
        <v>379</v>
      </c>
    </row>
    <row r="6" spans="1:12" ht="11.45" customHeight="1" x14ac:dyDescent="0.15">
      <c r="D6" s="329" t="s">
        <v>380</v>
      </c>
      <c r="E6" s="329" t="s">
        <v>381</v>
      </c>
      <c r="F6" s="329" t="s">
        <v>382</v>
      </c>
      <c r="G6" s="329" t="s">
        <v>383</v>
      </c>
      <c r="H6" s="329" t="s">
        <v>390</v>
      </c>
      <c r="I6" s="329" t="s">
        <v>391</v>
      </c>
      <c r="J6" s="329" t="s">
        <v>392</v>
      </c>
      <c r="K6" s="329" t="s">
        <v>387</v>
      </c>
      <c r="L6" s="329" t="s">
        <v>388</v>
      </c>
    </row>
    <row r="7" spans="1:12" ht="11.45" customHeight="1" x14ac:dyDescent="0.15">
      <c r="A7" s="3" t="s">
        <v>389</v>
      </c>
    </row>
    <row r="8" spans="1:12" ht="11.45" customHeight="1" x14ac:dyDescent="0.15">
      <c r="A8" s="3">
        <v>1500</v>
      </c>
      <c r="B8" s="3" t="s">
        <v>1158</v>
      </c>
      <c r="D8" s="329">
        <v>1332640.32</v>
      </c>
      <c r="E8" s="329">
        <v>41583341.439999998</v>
      </c>
      <c r="F8" s="329">
        <v>2803562.1</v>
      </c>
      <c r="G8" s="329">
        <v>45719543.859999999</v>
      </c>
      <c r="H8" s="329">
        <v>36656719.25</v>
      </c>
      <c r="I8" s="329">
        <v>8047923.8099999996</v>
      </c>
      <c r="J8" s="329">
        <v>44704643.060000002</v>
      </c>
      <c r="K8" s="329">
        <v>2803562.1</v>
      </c>
      <c r="L8" s="329">
        <v>-1788661.3</v>
      </c>
    </row>
    <row r="9" spans="1:12" ht="11.45" customHeight="1" x14ac:dyDescent="0.15">
      <c r="A9" s="3">
        <v>1501</v>
      </c>
      <c r="B9" s="3" t="s">
        <v>1159</v>
      </c>
      <c r="D9" s="329">
        <v>0</v>
      </c>
      <c r="E9" s="329">
        <v>3608256.15</v>
      </c>
      <c r="F9" s="329">
        <v>0</v>
      </c>
      <c r="G9" s="329">
        <v>3608256.15</v>
      </c>
      <c r="H9" s="329">
        <v>0</v>
      </c>
      <c r="I9" s="329">
        <v>0</v>
      </c>
      <c r="J9" s="329">
        <v>0</v>
      </c>
      <c r="K9" s="329">
        <v>0</v>
      </c>
      <c r="L9" s="329">
        <v>3608256.15</v>
      </c>
    </row>
    <row r="10" spans="1:12" ht="11.45" customHeight="1" x14ac:dyDescent="0.15">
      <c r="A10" s="3">
        <v>1540</v>
      </c>
      <c r="B10" s="3" t="s">
        <v>1160</v>
      </c>
      <c r="D10" s="329">
        <v>836132.57</v>
      </c>
      <c r="E10" s="329">
        <v>13904664.050000001</v>
      </c>
      <c r="F10" s="329">
        <v>0</v>
      </c>
      <c r="G10" s="329">
        <v>14740796.619999999</v>
      </c>
      <c r="H10" s="329">
        <v>13479439.51</v>
      </c>
      <c r="I10" s="329">
        <v>646961.68000000005</v>
      </c>
      <c r="J10" s="329">
        <v>14126401.189999999</v>
      </c>
      <c r="K10" s="329">
        <v>0</v>
      </c>
      <c r="L10" s="329">
        <v>614395.43000000005</v>
      </c>
    </row>
    <row r="11" spans="1:12" ht="11.45" customHeight="1" x14ac:dyDescent="0.15">
      <c r="A11" s="3">
        <v>1543</v>
      </c>
      <c r="B11" s="3" t="s">
        <v>1161</v>
      </c>
      <c r="D11" s="329">
        <v>0</v>
      </c>
      <c r="E11" s="329">
        <v>210122.83</v>
      </c>
      <c r="F11" s="329">
        <v>0</v>
      </c>
      <c r="G11" s="329">
        <v>210122.83</v>
      </c>
      <c r="H11" s="329">
        <v>755.6</v>
      </c>
      <c r="I11" s="329">
        <v>0</v>
      </c>
      <c r="J11" s="329">
        <v>755.6</v>
      </c>
      <c r="K11" s="329">
        <v>0</v>
      </c>
      <c r="L11" s="329">
        <v>209367.23</v>
      </c>
    </row>
    <row r="12" spans="1:12" ht="11.45" customHeight="1" x14ac:dyDescent="0.15">
      <c r="A12" s="3">
        <v>1550</v>
      </c>
      <c r="B12" s="3" t="s">
        <v>1162</v>
      </c>
      <c r="D12" s="329">
        <v>1021184.47</v>
      </c>
      <c r="E12" s="329">
        <v>1167375.82</v>
      </c>
      <c r="F12" s="329">
        <v>0</v>
      </c>
      <c r="G12" s="329">
        <v>2188560.29</v>
      </c>
      <c r="H12" s="329">
        <v>951989.71</v>
      </c>
      <c r="I12" s="329">
        <v>315121.3</v>
      </c>
      <c r="J12" s="329">
        <v>1267111.01</v>
      </c>
      <c r="K12" s="329">
        <v>0</v>
      </c>
      <c r="L12" s="329">
        <v>921449.28</v>
      </c>
    </row>
    <row r="13" spans="1:12" ht="11.45" customHeight="1" x14ac:dyDescent="0.15">
      <c r="A13" s="3">
        <v>1551</v>
      </c>
      <c r="B13" s="3" t="s">
        <v>1163</v>
      </c>
      <c r="D13" s="329">
        <v>2263.29</v>
      </c>
      <c r="E13" s="329">
        <v>124.43</v>
      </c>
      <c r="F13" s="329">
        <v>0</v>
      </c>
      <c r="G13" s="329">
        <v>2387.7199999999998</v>
      </c>
      <c r="H13" s="329">
        <v>0</v>
      </c>
      <c r="I13" s="329">
        <v>0</v>
      </c>
      <c r="J13" s="329">
        <v>0</v>
      </c>
      <c r="K13" s="329">
        <v>0</v>
      </c>
      <c r="L13" s="329">
        <v>2387.7199999999998</v>
      </c>
    </row>
    <row r="14" spans="1:12" ht="11.45" customHeight="1" x14ac:dyDescent="0.15">
      <c r="A14" s="3">
        <v>1552</v>
      </c>
      <c r="B14" s="3" t="s">
        <v>1164</v>
      </c>
      <c r="D14" s="329">
        <v>4948.6099999999997</v>
      </c>
      <c r="E14" s="329">
        <v>280222.34000000003</v>
      </c>
      <c r="F14" s="329">
        <v>0</v>
      </c>
      <c r="G14" s="329">
        <v>285170.95</v>
      </c>
      <c r="H14" s="329">
        <v>102093.81</v>
      </c>
      <c r="I14" s="329">
        <v>0</v>
      </c>
      <c r="J14" s="329">
        <v>102093.81</v>
      </c>
      <c r="K14" s="329">
        <v>0</v>
      </c>
      <c r="L14" s="329">
        <v>183077.14</v>
      </c>
    </row>
    <row r="15" spans="1:12" ht="11.45" customHeight="1" x14ac:dyDescent="0.15">
      <c r="A15" s="3">
        <v>1553</v>
      </c>
      <c r="B15" s="3" t="s">
        <v>1165</v>
      </c>
      <c r="D15" s="329">
        <v>91835.88</v>
      </c>
      <c r="E15" s="329">
        <v>77965.73</v>
      </c>
      <c r="F15" s="329">
        <v>0</v>
      </c>
      <c r="G15" s="329">
        <v>169801.61</v>
      </c>
      <c r="H15" s="329">
        <v>90490.5</v>
      </c>
      <c r="I15" s="329">
        <v>75977.440000000002</v>
      </c>
      <c r="J15" s="329">
        <v>166467.94</v>
      </c>
      <c r="K15" s="329">
        <v>0</v>
      </c>
      <c r="L15" s="329">
        <v>3333.67</v>
      </c>
    </row>
    <row r="16" spans="1:12" ht="11.45" customHeight="1" x14ac:dyDescent="0.15">
      <c r="A16" s="3">
        <v>1569</v>
      </c>
      <c r="B16" s="3" t="s">
        <v>1166</v>
      </c>
      <c r="D16" s="329">
        <v>2902.39</v>
      </c>
      <c r="E16" s="329">
        <v>126.18</v>
      </c>
      <c r="F16" s="329">
        <v>0</v>
      </c>
      <c r="G16" s="329">
        <v>3028.57</v>
      </c>
      <c r="H16" s="329">
        <v>2748.9</v>
      </c>
      <c r="I16" s="329">
        <v>0</v>
      </c>
      <c r="J16" s="329">
        <v>2748.9</v>
      </c>
      <c r="K16" s="329">
        <v>0</v>
      </c>
      <c r="L16" s="329">
        <v>279.67</v>
      </c>
    </row>
    <row r="17" spans="1:12" ht="11.45" customHeight="1" x14ac:dyDescent="0.15">
      <c r="A17" s="3">
        <v>1570</v>
      </c>
      <c r="B17" s="3" t="s">
        <v>1167</v>
      </c>
      <c r="D17" s="329">
        <v>759793.63</v>
      </c>
      <c r="E17" s="329">
        <v>41969.8</v>
      </c>
      <c r="F17" s="329">
        <v>0</v>
      </c>
      <c r="G17" s="329">
        <v>801763.43</v>
      </c>
      <c r="H17" s="329">
        <v>0</v>
      </c>
      <c r="I17" s="329">
        <v>0</v>
      </c>
      <c r="J17" s="329">
        <v>0</v>
      </c>
      <c r="K17" s="329">
        <v>0</v>
      </c>
      <c r="L17" s="329">
        <v>801763.43</v>
      </c>
    </row>
    <row r="18" spans="1:12" ht="11.45" customHeight="1" x14ac:dyDescent="0.15">
      <c r="A18" s="3">
        <v>1571</v>
      </c>
      <c r="B18" s="3" t="s">
        <v>1168</v>
      </c>
      <c r="D18" s="329">
        <v>303296.95</v>
      </c>
      <c r="E18" s="329">
        <v>1706535.11</v>
      </c>
      <c r="F18" s="329">
        <v>0</v>
      </c>
      <c r="G18" s="329">
        <v>2009832.06</v>
      </c>
      <c r="H18" s="329">
        <v>1392411.13</v>
      </c>
      <c r="I18" s="329">
        <v>275345.63</v>
      </c>
      <c r="J18" s="329">
        <v>1667756.76</v>
      </c>
      <c r="K18" s="329">
        <v>0</v>
      </c>
      <c r="L18" s="329">
        <v>342075.3</v>
      </c>
    </row>
    <row r="19" spans="1:12" ht="11.45" customHeight="1" x14ac:dyDescent="0.15">
      <c r="A19" s="3">
        <v>1599</v>
      </c>
      <c r="B19" s="3" t="s">
        <v>1169</v>
      </c>
      <c r="D19" s="329">
        <v>15329.7</v>
      </c>
      <c r="E19" s="329">
        <v>788.36</v>
      </c>
      <c r="F19" s="329">
        <v>0</v>
      </c>
      <c r="G19" s="329">
        <v>16118.06</v>
      </c>
      <c r="H19" s="329">
        <v>0</v>
      </c>
      <c r="I19" s="329">
        <v>0</v>
      </c>
      <c r="J19" s="329">
        <v>0</v>
      </c>
      <c r="K19" s="329">
        <v>0</v>
      </c>
      <c r="L19" s="329">
        <v>16118.06</v>
      </c>
    </row>
    <row r="20" spans="1:12" ht="11.45" customHeight="1" x14ac:dyDescent="0.15">
      <c r="A20" s="3">
        <v>1600</v>
      </c>
      <c r="B20" s="3" t="s">
        <v>1170</v>
      </c>
      <c r="D20" s="329">
        <v>539388.78</v>
      </c>
      <c r="E20" s="329">
        <v>1495204.55</v>
      </c>
      <c r="F20" s="329">
        <v>0</v>
      </c>
      <c r="G20" s="329">
        <v>2034593.33</v>
      </c>
      <c r="H20" s="329">
        <v>1263847.3600000001</v>
      </c>
      <c r="I20" s="329">
        <v>239245.91</v>
      </c>
      <c r="J20" s="329">
        <v>1503093.27</v>
      </c>
      <c r="K20" s="329">
        <v>0</v>
      </c>
      <c r="L20" s="329">
        <v>531500.06000000006</v>
      </c>
    </row>
    <row r="21" spans="1:12" ht="11.45" customHeight="1" x14ac:dyDescent="0.15">
      <c r="A21" s="3">
        <v>1601</v>
      </c>
      <c r="B21" s="3" t="s">
        <v>1171</v>
      </c>
      <c r="D21" s="329">
        <v>1191644.27</v>
      </c>
      <c r="E21" s="329">
        <v>45858.239999999998</v>
      </c>
      <c r="F21" s="329">
        <v>0</v>
      </c>
      <c r="G21" s="329">
        <v>1237502.51</v>
      </c>
      <c r="H21" s="329">
        <v>26098.39</v>
      </c>
      <c r="I21" s="329">
        <v>653868.44999999995</v>
      </c>
      <c r="J21" s="329">
        <v>679966.84</v>
      </c>
      <c r="K21" s="329">
        <v>0</v>
      </c>
      <c r="L21" s="329">
        <v>557535.67000000004</v>
      </c>
    </row>
    <row r="22" spans="1:12" ht="11.45" customHeight="1" x14ac:dyDescent="0.15">
      <c r="A22" s="3">
        <v>1602</v>
      </c>
      <c r="B22" s="3" t="s">
        <v>1172</v>
      </c>
      <c r="D22" s="329">
        <v>17863.97</v>
      </c>
      <c r="E22" s="329">
        <v>228.84</v>
      </c>
      <c r="F22" s="329">
        <v>0</v>
      </c>
      <c r="G22" s="329">
        <v>18092.810000000001</v>
      </c>
      <c r="H22" s="329">
        <v>0</v>
      </c>
      <c r="I22" s="329">
        <v>0</v>
      </c>
      <c r="J22" s="329">
        <v>0</v>
      </c>
      <c r="K22" s="329">
        <v>0</v>
      </c>
      <c r="L22" s="329">
        <v>18092.810000000001</v>
      </c>
    </row>
    <row r="23" spans="1:12" ht="11.45" customHeight="1" x14ac:dyDescent="0.15">
      <c r="A23" s="3">
        <v>1603</v>
      </c>
      <c r="B23" s="3" t="s">
        <v>1173</v>
      </c>
      <c r="D23" s="329">
        <v>19434.82</v>
      </c>
      <c r="E23" s="329">
        <v>1099.76</v>
      </c>
      <c r="F23" s="329">
        <v>0</v>
      </c>
      <c r="G23" s="329">
        <v>20534.580000000002</v>
      </c>
      <c r="H23" s="329">
        <v>0</v>
      </c>
      <c r="I23" s="329">
        <v>0</v>
      </c>
      <c r="J23" s="329">
        <v>0</v>
      </c>
      <c r="K23" s="329">
        <v>0</v>
      </c>
      <c r="L23" s="329">
        <v>20534.580000000002</v>
      </c>
    </row>
    <row r="24" spans="1:12" ht="11.45" customHeight="1" x14ac:dyDescent="0.15">
      <c r="A24" s="3">
        <v>1604</v>
      </c>
      <c r="B24" s="3" t="s">
        <v>1174</v>
      </c>
      <c r="D24" s="329">
        <v>1712.24</v>
      </c>
      <c r="E24" s="329">
        <v>739508.59</v>
      </c>
      <c r="F24" s="329">
        <v>0</v>
      </c>
      <c r="G24" s="329">
        <v>741220.83</v>
      </c>
      <c r="H24" s="329">
        <v>692001.45</v>
      </c>
      <c r="I24" s="329">
        <v>0</v>
      </c>
      <c r="J24" s="329">
        <v>692001.45</v>
      </c>
      <c r="K24" s="329">
        <v>0</v>
      </c>
      <c r="L24" s="329">
        <v>49219.38</v>
      </c>
    </row>
    <row r="25" spans="1:12" ht="11.45" customHeight="1" x14ac:dyDescent="0.15">
      <c r="A25" s="3">
        <v>1621</v>
      </c>
      <c r="B25" s="3" t="s">
        <v>1175</v>
      </c>
      <c r="D25" s="329">
        <v>311778.58</v>
      </c>
      <c r="E25" s="329">
        <v>537450.84</v>
      </c>
      <c r="F25" s="329">
        <v>0</v>
      </c>
      <c r="G25" s="329">
        <v>849229.42</v>
      </c>
      <c r="H25" s="329">
        <v>590058.78</v>
      </c>
      <c r="I25" s="329">
        <v>21593.08</v>
      </c>
      <c r="J25" s="329">
        <v>611651.86</v>
      </c>
      <c r="K25" s="329">
        <v>0</v>
      </c>
      <c r="L25" s="329">
        <v>237577.56</v>
      </c>
    </row>
    <row r="26" spans="1:12" ht="11.45" customHeight="1" x14ac:dyDescent="0.15">
      <c r="A26" s="3">
        <v>1632</v>
      </c>
      <c r="B26" s="3" t="s">
        <v>1176</v>
      </c>
      <c r="D26" s="329">
        <v>13565.15</v>
      </c>
      <c r="E26" s="329">
        <v>0</v>
      </c>
      <c r="F26" s="329">
        <v>0</v>
      </c>
      <c r="G26" s="329">
        <v>13565.15</v>
      </c>
      <c r="H26" s="329">
        <v>0</v>
      </c>
      <c r="I26" s="329">
        <v>0</v>
      </c>
      <c r="J26" s="329">
        <v>0</v>
      </c>
      <c r="K26" s="329">
        <v>0</v>
      </c>
      <c r="L26" s="329">
        <v>13565.15</v>
      </c>
    </row>
    <row r="27" spans="1:12" ht="11.45" customHeight="1" x14ac:dyDescent="0.15">
      <c r="A27" s="3">
        <v>1659</v>
      </c>
      <c r="B27" s="3" t="s">
        <v>1177</v>
      </c>
      <c r="D27" s="329">
        <v>242431.58</v>
      </c>
      <c r="E27" s="329">
        <v>239962.67</v>
      </c>
      <c r="F27" s="329">
        <v>0</v>
      </c>
      <c r="G27" s="329">
        <v>482394.25</v>
      </c>
      <c r="H27" s="329">
        <v>183645.33</v>
      </c>
      <c r="I27" s="329">
        <v>93667.13</v>
      </c>
      <c r="J27" s="329">
        <v>277312.46000000002</v>
      </c>
      <c r="K27" s="329">
        <v>0</v>
      </c>
      <c r="L27" s="329">
        <v>205081.79</v>
      </c>
    </row>
    <row r="28" spans="1:12" ht="11.45" customHeight="1" x14ac:dyDescent="0.15">
      <c r="A28" s="3">
        <v>1660</v>
      </c>
      <c r="B28" s="3" t="s">
        <v>1178</v>
      </c>
      <c r="D28" s="329">
        <v>354275.67</v>
      </c>
      <c r="E28" s="329">
        <v>283418.96000000002</v>
      </c>
      <c r="F28" s="329">
        <v>0</v>
      </c>
      <c r="G28" s="329">
        <v>637694.63</v>
      </c>
      <c r="H28" s="329">
        <v>177047.3</v>
      </c>
      <c r="I28" s="329">
        <v>26746.75</v>
      </c>
      <c r="J28" s="329">
        <v>203794.05</v>
      </c>
      <c r="K28" s="329">
        <v>0</v>
      </c>
      <c r="L28" s="329">
        <v>433900.58</v>
      </c>
    </row>
    <row r="29" spans="1:12" ht="11.45" customHeight="1" x14ac:dyDescent="0.15">
      <c r="A29" s="3">
        <v>1661</v>
      </c>
      <c r="B29" s="3" t="s">
        <v>1179</v>
      </c>
      <c r="D29" s="329">
        <v>202720.61</v>
      </c>
      <c r="E29" s="329">
        <v>9691.76</v>
      </c>
      <c r="F29" s="329">
        <v>0</v>
      </c>
      <c r="G29" s="329">
        <v>212412.37</v>
      </c>
      <c r="H29" s="329">
        <v>43482.35</v>
      </c>
      <c r="I29" s="329">
        <v>3260.4</v>
      </c>
      <c r="J29" s="329">
        <v>46742.75</v>
      </c>
      <c r="K29" s="329">
        <v>0</v>
      </c>
      <c r="L29" s="329">
        <v>165669.62</v>
      </c>
    </row>
    <row r="30" spans="1:12" ht="11.45" customHeight="1" x14ac:dyDescent="0.15">
      <c r="A30" s="3">
        <v>1665</v>
      </c>
      <c r="B30" s="3" t="s">
        <v>1764</v>
      </c>
      <c r="D30" s="329">
        <v>0</v>
      </c>
      <c r="E30" s="329">
        <v>56773.07</v>
      </c>
      <c r="F30" s="329">
        <v>0</v>
      </c>
      <c r="G30" s="329">
        <v>56773.07</v>
      </c>
      <c r="H30" s="329">
        <v>0</v>
      </c>
      <c r="I30" s="329">
        <v>0</v>
      </c>
      <c r="J30" s="329">
        <v>0</v>
      </c>
      <c r="K30" s="329">
        <v>0</v>
      </c>
      <c r="L30" s="329">
        <v>56773.07</v>
      </c>
    </row>
    <row r="31" spans="1:12" ht="11.45" customHeight="1" x14ac:dyDescent="0.15">
      <c r="A31" s="3">
        <v>1669</v>
      </c>
      <c r="B31" s="3" t="s">
        <v>1180</v>
      </c>
      <c r="D31" s="329">
        <v>19.98</v>
      </c>
      <c r="E31" s="329">
        <v>0</v>
      </c>
      <c r="F31" s="329">
        <v>0</v>
      </c>
      <c r="G31" s="329">
        <v>19.98</v>
      </c>
      <c r="H31" s="329">
        <v>0</v>
      </c>
      <c r="I31" s="329">
        <v>0</v>
      </c>
      <c r="J31" s="329">
        <v>0</v>
      </c>
      <c r="K31" s="329">
        <v>0</v>
      </c>
      <c r="L31" s="329">
        <v>19.98</v>
      </c>
    </row>
    <row r="32" spans="1:12" ht="11.45" customHeight="1" x14ac:dyDescent="0.15">
      <c r="A32" s="3">
        <v>1700</v>
      </c>
      <c r="B32" s="3" t="s">
        <v>1181</v>
      </c>
      <c r="D32" s="329">
        <v>464310.5</v>
      </c>
      <c r="E32" s="329">
        <v>43132.53</v>
      </c>
      <c r="F32" s="329">
        <v>0</v>
      </c>
      <c r="G32" s="329">
        <v>507443.03</v>
      </c>
      <c r="H32" s="329">
        <v>144696.43</v>
      </c>
      <c r="I32" s="329">
        <v>190673.69</v>
      </c>
      <c r="J32" s="329">
        <v>335370.12</v>
      </c>
      <c r="K32" s="329">
        <v>0</v>
      </c>
      <c r="L32" s="329">
        <v>172072.91</v>
      </c>
    </row>
    <row r="33" spans="1:12" x14ac:dyDescent="0.15">
      <c r="A33" s="329">
        <v>1701</v>
      </c>
      <c r="B33" s="302" t="s">
        <v>1182</v>
      </c>
      <c r="D33" s="329">
        <v>745705.66</v>
      </c>
      <c r="E33" s="329">
        <v>170837.13</v>
      </c>
      <c r="F33" s="329">
        <v>0</v>
      </c>
      <c r="G33" s="329">
        <v>916542.79</v>
      </c>
      <c r="H33" s="329">
        <v>0</v>
      </c>
      <c r="I33" s="329">
        <v>0</v>
      </c>
      <c r="J33" s="329">
        <v>0</v>
      </c>
      <c r="K33" s="329">
        <v>0</v>
      </c>
      <c r="L33" s="329">
        <v>916542.79</v>
      </c>
    </row>
    <row r="34" spans="1:12" x14ac:dyDescent="0.15">
      <c r="A34" s="3">
        <v>1704</v>
      </c>
      <c r="B34" s="3" t="s">
        <v>1183</v>
      </c>
      <c r="D34" s="329">
        <v>630140.68999999994</v>
      </c>
      <c r="E34" s="329">
        <v>401220.45</v>
      </c>
      <c r="F34" s="329">
        <v>0</v>
      </c>
      <c r="G34" s="329">
        <v>1031361.14</v>
      </c>
      <c r="H34" s="329">
        <v>105042.04</v>
      </c>
      <c r="I34" s="329">
        <v>0</v>
      </c>
      <c r="J34" s="329">
        <v>105042.04</v>
      </c>
      <c r="K34" s="329">
        <v>0</v>
      </c>
      <c r="L34" s="329">
        <v>926319.1</v>
      </c>
    </row>
    <row r="35" spans="1:12" x14ac:dyDescent="0.15">
      <c r="A35" s="3">
        <v>1706</v>
      </c>
      <c r="B35" s="3" t="s">
        <v>1184</v>
      </c>
      <c r="D35" s="329">
        <v>1169255.58</v>
      </c>
      <c r="E35" s="329">
        <v>332407.42</v>
      </c>
      <c r="F35" s="329">
        <v>0</v>
      </c>
      <c r="G35" s="329">
        <v>1501663</v>
      </c>
      <c r="H35" s="329">
        <v>251900</v>
      </c>
      <c r="I35" s="329">
        <v>0</v>
      </c>
      <c r="J35" s="329">
        <v>251900</v>
      </c>
      <c r="K35" s="329">
        <v>0</v>
      </c>
      <c r="L35" s="329">
        <v>1249763</v>
      </c>
    </row>
    <row r="36" spans="1:12" x14ac:dyDescent="0.15">
      <c r="A36" s="3">
        <v>1708</v>
      </c>
      <c r="B36" s="3" t="s">
        <v>1185</v>
      </c>
      <c r="D36" s="329">
        <v>862557.43</v>
      </c>
      <c r="E36" s="329">
        <v>276895.53000000003</v>
      </c>
      <c r="F36" s="329">
        <v>0</v>
      </c>
      <c r="G36" s="329">
        <v>1139452.96</v>
      </c>
      <c r="H36" s="329">
        <v>224658.26</v>
      </c>
      <c r="I36" s="329">
        <v>0</v>
      </c>
      <c r="J36" s="329">
        <v>224658.26</v>
      </c>
      <c r="K36" s="329">
        <v>0</v>
      </c>
      <c r="L36" s="329">
        <v>914794.7</v>
      </c>
    </row>
    <row r="37" spans="1:12" x14ac:dyDescent="0.15">
      <c r="A37" s="3">
        <v>1710</v>
      </c>
      <c r="B37" s="3" t="s">
        <v>1186</v>
      </c>
      <c r="D37" s="329">
        <v>0</v>
      </c>
      <c r="E37" s="329">
        <v>100.7</v>
      </c>
      <c r="F37" s="329">
        <v>0</v>
      </c>
      <c r="G37" s="329">
        <v>100.7</v>
      </c>
      <c r="H37" s="329">
        <v>0</v>
      </c>
      <c r="I37" s="329">
        <v>0</v>
      </c>
      <c r="J37" s="329">
        <v>0</v>
      </c>
      <c r="K37" s="329">
        <v>0</v>
      </c>
      <c r="L37" s="329">
        <v>100.7</v>
      </c>
    </row>
    <row r="38" spans="1:12" x14ac:dyDescent="0.15">
      <c r="A38" s="3">
        <v>1749</v>
      </c>
      <c r="B38" s="3" t="s">
        <v>1187</v>
      </c>
      <c r="D38" s="329">
        <v>2986430.24</v>
      </c>
      <c r="E38" s="329">
        <v>2622709.4</v>
      </c>
      <c r="F38" s="329">
        <v>0</v>
      </c>
      <c r="G38" s="329">
        <v>5609139.6399999997</v>
      </c>
      <c r="H38" s="329">
        <v>1881005.18</v>
      </c>
      <c r="I38" s="329">
        <v>92879.12</v>
      </c>
      <c r="J38" s="329">
        <v>1973884.3</v>
      </c>
      <c r="K38" s="329">
        <v>0</v>
      </c>
      <c r="L38" s="329">
        <v>3635255.34</v>
      </c>
    </row>
    <row r="39" spans="1:12" x14ac:dyDescent="0.15">
      <c r="A39" s="3">
        <v>1750</v>
      </c>
      <c r="B39" s="3" t="s">
        <v>1188</v>
      </c>
      <c r="D39" s="329">
        <v>10690.67</v>
      </c>
      <c r="E39" s="329">
        <v>739.48</v>
      </c>
      <c r="F39" s="329">
        <v>0</v>
      </c>
      <c r="G39" s="329">
        <v>11430.15</v>
      </c>
      <c r="H39" s="329">
        <v>0</v>
      </c>
      <c r="I39" s="329">
        <v>0</v>
      </c>
      <c r="J39" s="329">
        <v>0</v>
      </c>
      <c r="K39" s="329">
        <v>0</v>
      </c>
      <c r="L39" s="329">
        <v>11430.15</v>
      </c>
    </row>
    <row r="40" spans="1:12" x14ac:dyDescent="0.15">
      <c r="A40" s="3">
        <v>1751</v>
      </c>
      <c r="B40" s="3" t="s">
        <v>1189</v>
      </c>
      <c r="D40" s="329">
        <v>0</v>
      </c>
      <c r="E40" s="329">
        <v>280057.32</v>
      </c>
      <c r="F40" s="329">
        <v>0</v>
      </c>
      <c r="G40" s="329">
        <v>280057.32</v>
      </c>
      <c r="H40" s="329">
        <v>0</v>
      </c>
      <c r="I40" s="329">
        <v>0</v>
      </c>
      <c r="J40" s="329">
        <v>0</v>
      </c>
      <c r="K40" s="329">
        <v>0</v>
      </c>
      <c r="L40" s="329">
        <v>280057.32</v>
      </c>
    </row>
    <row r="41" spans="1:12" x14ac:dyDescent="0.15">
      <c r="A41" s="3">
        <v>1752</v>
      </c>
      <c r="B41" s="3" t="s">
        <v>1190</v>
      </c>
      <c r="D41" s="329">
        <v>3815.05</v>
      </c>
      <c r="E41" s="329">
        <v>9371.56</v>
      </c>
      <c r="F41" s="329">
        <v>0</v>
      </c>
      <c r="G41" s="329">
        <v>13186.61</v>
      </c>
      <c r="H41" s="329">
        <v>0</v>
      </c>
      <c r="I41" s="329">
        <v>11955.16</v>
      </c>
      <c r="J41" s="329">
        <v>11955.16</v>
      </c>
      <c r="K41" s="329">
        <v>0</v>
      </c>
      <c r="L41" s="329">
        <v>1231.45</v>
      </c>
    </row>
    <row r="42" spans="1:12" x14ac:dyDescent="0.15">
      <c r="A42" s="3">
        <v>1753</v>
      </c>
      <c r="B42" s="3" t="s">
        <v>1191</v>
      </c>
      <c r="D42" s="329">
        <v>228.75</v>
      </c>
      <c r="E42" s="329">
        <v>34152.370000000003</v>
      </c>
      <c r="F42" s="329">
        <v>0</v>
      </c>
      <c r="G42" s="329">
        <v>34381.120000000003</v>
      </c>
      <c r="H42" s="329">
        <v>0</v>
      </c>
      <c r="I42" s="329">
        <v>338.4</v>
      </c>
      <c r="J42" s="329">
        <v>338.4</v>
      </c>
      <c r="K42" s="329">
        <v>0</v>
      </c>
      <c r="L42" s="329">
        <v>34042.720000000001</v>
      </c>
    </row>
    <row r="43" spans="1:12" x14ac:dyDescent="0.15">
      <c r="A43" s="3">
        <v>1759</v>
      </c>
      <c r="B43" s="3" t="s">
        <v>1192</v>
      </c>
      <c r="D43" s="329">
        <v>1760838.74</v>
      </c>
      <c r="E43" s="329">
        <v>146411.70000000001</v>
      </c>
      <c r="F43" s="329">
        <v>0</v>
      </c>
      <c r="G43" s="329">
        <v>1907250.44</v>
      </c>
      <c r="H43" s="329">
        <v>17289.990000000002</v>
      </c>
      <c r="I43" s="329">
        <v>5678.63</v>
      </c>
      <c r="J43" s="329">
        <v>22968.62</v>
      </c>
      <c r="K43" s="329">
        <v>0</v>
      </c>
      <c r="L43" s="329">
        <v>1884281.82</v>
      </c>
    </row>
    <row r="44" spans="1:12" x14ac:dyDescent="0.15">
      <c r="A44" s="3">
        <v>1800</v>
      </c>
      <c r="B44" s="3" t="s">
        <v>1193</v>
      </c>
      <c r="D44" s="329">
        <v>49583887.549999997</v>
      </c>
      <c r="E44" s="329">
        <v>21208277.609999999</v>
      </c>
      <c r="F44" s="329">
        <v>0</v>
      </c>
      <c r="G44" s="329">
        <v>70792165.159999996</v>
      </c>
      <c r="H44" s="329">
        <v>17317380.469999999</v>
      </c>
      <c r="I44" s="329">
        <v>3172.16</v>
      </c>
      <c r="J44" s="329">
        <v>17320552.629999999</v>
      </c>
      <c r="K44" s="329">
        <v>0</v>
      </c>
      <c r="L44" s="329">
        <v>53471612.530000001</v>
      </c>
    </row>
    <row r="45" spans="1:12" x14ac:dyDescent="0.15">
      <c r="A45" s="3">
        <v>1802</v>
      </c>
      <c r="B45" s="3" t="s">
        <v>1194</v>
      </c>
      <c r="D45" s="329">
        <v>288875.88</v>
      </c>
      <c r="E45" s="329">
        <v>88275.36</v>
      </c>
      <c r="F45" s="329">
        <v>0</v>
      </c>
      <c r="G45" s="329">
        <v>377151.24</v>
      </c>
      <c r="H45" s="329">
        <v>5026.1000000000004</v>
      </c>
      <c r="I45" s="329">
        <v>836.23</v>
      </c>
      <c r="J45" s="329">
        <v>5862.33</v>
      </c>
      <c r="K45" s="329">
        <v>0</v>
      </c>
      <c r="L45" s="329">
        <v>371288.91</v>
      </c>
    </row>
    <row r="46" spans="1:12" x14ac:dyDescent="0.15">
      <c r="A46" s="3">
        <v>1869</v>
      </c>
      <c r="B46" s="3" t="s">
        <v>1195</v>
      </c>
      <c r="D46" s="329">
        <v>3455.95</v>
      </c>
      <c r="E46" s="329">
        <v>0</v>
      </c>
      <c r="F46" s="329">
        <v>0</v>
      </c>
      <c r="G46" s="329">
        <v>3455.95</v>
      </c>
      <c r="H46" s="329">
        <v>0</v>
      </c>
      <c r="I46" s="329">
        <v>0</v>
      </c>
      <c r="J46" s="329">
        <v>0</v>
      </c>
      <c r="K46" s="329">
        <v>0</v>
      </c>
      <c r="L46" s="329">
        <v>3455.95</v>
      </c>
    </row>
    <row r="48" spans="1:12" x14ac:dyDescent="0.15">
      <c r="A48" s="3" t="s">
        <v>102</v>
      </c>
      <c r="D48" s="329">
        <v>65775356.149999999</v>
      </c>
      <c r="E48" s="329">
        <v>91605278.079999998</v>
      </c>
      <c r="F48" s="329">
        <v>2803562.1</v>
      </c>
      <c r="G48" s="329">
        <v>160184196.33000001</v>
      </c>
      <c r="H48" s="329">
        <v>75599827.840000004</v>
      </c>
      <c r="I48" s="329">
        <v>10705244.970000001</v>
      </c>
      <c r="J48" s="329">
        <v>86305072.810000002</v>
      </c>
      <c r="K48" s="329">
        <v>2803562.1</v>
      </c>
      <c r="L48" s="329">
        <v>71075561.420000002</v>
      </c>
    </row>
    <row r="49" ht="11.45" customHeight="1" x14ac:dyDescent="0.15"/>
    <row r="50" ht="11.45" customHeight="1" x14ac:dyDescent="0.15"/>
    <row r="51" ht="11.45" customHeight="1" x14ac:dyDescent="0.15"/>
    <row r="52" ht="11.45" customHeight="1" x14ac:dyDescent="0.15"/>
    <row r="53" ht="11.45" customHeight="1" x14ac:dyDescent="0.15"/>
    <row r="54" ht="11.45" customHeight="1" x14ac:dyDescent="0.15"/>
    <row r="55" ht="11.45" customHeight="1" x14ac:dyDescent="0.15"/>
    <row r="56" ht="11.45" customHeight="1" x14ac:dyDescent="0.15"/>
    <row r="57" ht="11.45" customHeight="1" x14ac:dyDescent="0.15"/>
    <row r="58" ht="11.45" customHeight="1" x14ac:dyDescent="0.15"/>
    <row r="59" ht="11.45" customHeight="1" x14ac:dyDescent="0.15"/>
    <row r="60" ht="11.45" customHeight="1" x14ac:dyDescent="0.15"/>
    <row r="61" ht="11.45" customHeight="1" x14ac:dyDescent="0.15"/>
    <row r="62" ht="11.45" customHeight="1" x14ac:dyDescent="0.15"/>
    <row r="63" ht="11.45" customHeight="1" x14ac:dyDescent="0.15"/>
    <row r="64" ht="11.45" customHeight="1" x14ac:dyDescent="0.15"/>
    <row r="65" ht="11.45" customHeight="1" x14ac:dyDescent="0.15"/>
    <row r="66" ht="11.45" customHeight="1" x14ac:dyDescent="0.15"/>
    <row r="67" ht="11.45" customHeight="1" x14ac:dyDescent="0.15"/>
    <row r="68" ht="11.45" customHeight="1" x14ac:dyDescent="0.15"/>
    <row r="69" ht="11.45" customHeight="1" x14ac:dyDescent="0.15"/>
    <row r="70" ht="11.45" customHeight="1" x14ac:dyDescent="0.15"/>
    <row r="71" ht="11.45" customHeight="1" x14ac:dyDescent="0.15"/>
    <row r="72" ht="11.45" customHeight="1" x14ac:dyDescent="0.15"/>
    <row r="73" ht="11.45" customHeight="1" x14ac:dyDescent="0.15"/>
    <row r="74" ht="11.45" customHeight="1" x14ac:dyDescent="0.15"/>
    <row r="75" ht="11.45" customHeight="1" x14ac:dyDescent="0.15"/>
    <row r="76" ht="11.45" customHeight="1" x14ac:dyDescent="0.15"/>
    <row r="77" ht="11.45" customHeight="1" x14ac:dyDescent="0.15"/>
    <row r="78" ht="11.45" customHeight="1" x14ac:dyDescent="0.15"/>
    <row r="79" ht="11.45" customHeight="1" x14ac:dyDescent="0.15"/>
    <row r="80" ht="11.45" customHeight="1" x14ac:dyDescent="0.15"/>
    <row r="82" ht="11.45" customHeight="1" x14ac:dyDescent="0.15"/>
  </sheetData>
  <pageMargins left="0.511811024" right="0.511811024" top="0.78740157499999996" bottom="0.78740157499999996" header="0.31496062000000002" footer="0.31496062000000002"/>
  <pageSetup paperSize="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25</vt:i4>
      </vt:variant>
    </vt:vector>
  </HeadingPairs>
  <TitlesOfParts>
    <vt:vector size="25" baseType="lpstr">
      <vt:lpstr>RREO</vt:lpstr>
      <vt:lpstr>RGF</vt:lpstr>
      <vt:lpstr>BalOrç</vt:lpstr>
      <vt:lpstr>Funç</vt:lpstr>
      <vt:lpstr>Result</vt:lpstr>
      <vt:lpstr>FAPS</vt:lpstr>
      <vt:lpstr>Restos</vt:lpstr>
      <vt:lpstr>MDE</vt:lpstr>
      <vt:lpstr>Saúde</vt:lpstr>
      <vt:lpstr>RecDesp_Capital</vt:lpstr>
      <vt:lpstr>Alienação</vt:lpstr>
      <vt:lpstr>Demon_PPP</vt:lpstr>
      <vt:lpstr>Dívida</vt:lpstr>
      <vt:lpstr>RCL</vt:lpstr>
      <vt:lpstr>DCLP</vt:lpstr>
      <vt:lpstr>DCLP_RCL</vt:lpstr>
      <vt:lpstr>AcompFAPS</vt:lpstr>
      <vt:lpstr>Cronogra</vt:lpstr>
      <vt:lpstr>Cruz</vt:lpstr>
      <vt:lpstr>Exec_Orç</vt:lpstr>
      <vt:lpstr>Míni</vt:lpstr>
      <vt:lpstr>DespSEDUC</vt:lpstr>
      <vt:lpstr>Emp</vt:lpstr>
      <vt:lpstr>Liquid</vt:lpstr>
      <vt:lpstr>Pgtos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PMC</cp:lastModifiedBy>
  <cp:lastPrinted>2023-08-02T14:17:33Z</cp:lastPrinted>
  <dcterms:created xsi:type="dcterms:W3CDTF">2021-06-02T17:39:55Z</dcterms:created>
  <dcterms:modified xsi:type="dcterms:W3CDTF">2023-08-03T15:58:05Z</dcterms:modified>
</cp:coreProperties>
</file>