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charts/chart2.xml" ContentType="application/vnd.openxmlformats-officedocument.drawingml.chart+xml"/>
  <Override PartName="/xl/charts/chart3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75" windowWidth="28755" windowHeight="12600"/>
  </bookViews>
  <sheets>
    <sheet name="RREO" sheetId="46" r:id="rId1"/>
    <sheet name="BalOrç" sheetId="34" r:id="rId2"/>
    <sheet name="Funç" sheetId="36" r:id="rId3"/>
    <sheet name="Result" sheetId="37" r:id="rId4"/>
    <sheet name="Restos" sheetId="39" r:id="rId5"/>
    <sheet name="Alienaç" sheetId="42" r:id="rId6"/>
    <sheet name="PPP" sheetId="44" r:id="rId7"/>
    <sheet name="Dívid" sheetId="45" r:id="rId8"/>
    <sheet name="RCL" sheetId="1" r:id="rId9"/>
    <sheet name="DCLP" sheetId="2" r:id="rId10"/>
    <sheet name="DCLP_RCL" sheetId="9" r:id="rId11"/>
    <sheet name="AcompFAPS" sheetId="3" r:id="rId12"/>
    <sheet name="Cronogra" sheetId="7" r:id="rId13"/>
    <sheet name="Cruz" sheetId="8" r:id="rId14"/>
    <sheet name="Exec_Orç" sheetId="4" r:id="rId15"/>
    <sheet name="Míni" sheetId="6" r:id="rId16"/>
    <sheet name="DespSEDUC" sheetId="5" r:id="rId17"/>
    <sheet name="Emp" sheetId="11" r:id="rId18"/>
    <sheet name="Liquid" sheetId="10" r:id="rId19"/>
    <sheet name="Pgtos" sheetId="12" r:id="rId20"/>
  </sheets>
  <externalReferences>
    <externalReference r:id="rId21"/>
    <externalReference r:id="rId22"/>
  </externalReferences>
  <calcPr calcId="125725"/>
</workbook>
</file>

<file path=xl/calcChain.xml><?xml version="1.0" encoding="utf-8"?>
<calcChain xmlns="http://schemas.openxmlformats.org/spreadsheetml/2006/main">
  <c r="L19" i="6"/>
  <c r="L18"/>
  <c r="L17"/>
  <c r="L15"/>
  <c r="L14"/>
  <c r="L13"/>
  <c r="L12"/>
  <c r="L11"/>
  <c r="L10"/>
  <c r="L9"/>
  <c r="L8"/>
  <c r="J19"/>
  <c r="J18"/>
  <c r="J17"/>
  <c r="J15"/>
  <c r="J12"/>
  <c r="H19"/>
  <c r="H18"/>
  <c r="H17"/>
  <c r="H15"/>
  <c r="H14"/>
  <c r="H13"/>
  <c r="H12"/>
  <c r="H11"/>
  <c r="H10"/>
  <c r="H9"/>
  <c r="H8"/>
  <c r="F19"/>
  <c r="F18"/>
  <c r="F17"/>
  <c r="F16"/>
  <c r="F15"/>
  <c r="F14"/>
  <c r="F13"/>
  <c r="F12"/>
  <c r="F11"/>
  <c r="F10"/>
  <c r="F9"/>
  <c r="F8"/>
  <c r="B11" i="5"/>
  <c r="K33" i="6"/>
  <c r="J35"/>
  <c r="I35"/>
  <c r="G27" s="1"/>
  <c r="J25"/>
  <c r="D19"/>
  <c r="D18"/>
  <c r="D17"/>
  <c r="D15"/>
  <c r="D12"/>
  <c r="D34"/>
  <c r="B34"/>
  <c r="C34"/>
  <c r="D20"/>
  <c r="H26" i="8"/>
  <c r="H25"/>
  <c r="H16"/>
  <c r="F20" i="4"/>
  <c r="D20"/>
  <c r="I28" i="8"/>
  <c r="F12"/>
  <c r="F13"/>
  <c r="F14"/>
  <c r="F15"/>
  <c r="F16"/>
  <c r="F17"/>
  <c r="F18"/>
  <c r="F19"/>
  <c r="F20"/>
  <c r="F21"/>
  <c r="F22"/>
  <c r="F23"/>
  <c r="F24"/>
  <c r="F25"/>
  <c r="F26"/>
  <c r="F11"/>
  <c r="X85" i="7"/>
  <c r="AE66"/>
  <c r="L90"/>
  <c r="M91" s="1"/>
  <c r="AB62"/>
  <c r="AB59"/>
  <c r="AB57"/>
  <c r="AA62"/>
  <c r="AA59"/>
  <c r="AA57"/>
  <c r="D54"/>
  <c r="D50"/>
  <c r="D49"/>
  <c r="H49"/>
  <c r="AA39"/>
  <c r="AA38"/>
  <c r="AA36"/>
  <c r="AA35"/>
  <c r="AA34"/>
  <c r="AA33"/>
  <c r="AA32"/>
  <c r="AA31"/>
  <c r="AA30"/>
  <c r="AA29"/>
  <c r="AA28"/>
  <c r="AA27"/>
  <c r="AA26"/>
  <c r="AA25"/>
  <c r="AA24"/>
  <c r="H50"/>
  <c r="AB39"/>
  <c r="AB38"/>
  <c r="AB36"/>
  <c r="AB35"/>
  <c r="AB34"/>
  <c r="AB30"/>
  <c r="AB29"/>
  <c r="AB28"/>
  <c r="AB27"/>
  <c r="AB26"/>
  <c r="N6" i="9"/>
  <c r="O6"/>
  <c r="H28" i="2"/>
  <c r="H27"/>
  <c r="I5"/>
  <c r="I27"/>
  <c r="I23"/>
  <c r="I18"/>
  <c r="I12"/>
  <c r="I10"/>
  <c r="I7"/>
  <c r="K6"/>
  <c r="L6"/>
  <c r="M6"/>
  <c r="N6"/>
  <c r="P6"/>
  <c r="S6"/>
  <c r="S28" s="1"/>
  <c r="S29" s="1"/>
  <c r="T6"/>
  <c r="J7"/>
  <c r="K7"/>
  <c r="L7"/>
  <c r="M7"/>
  <c r="N7"/>
  <c r="P7"/>
  <c r="Q7"/>
  <c r="S7"/>
  <c r="T7"/>
  <c r="O8"/>
  <c r="R8"/>
  <c r="S8"/>
  <c r="J10"/>
  <c r="J8" s="1"/>
  <c r="K10"/>
  <c r="L10"/>
  <c r="L8" s="1"/>
  <c r="M10"/>
  <c r="N10"/>
  <c r="N8" s="1"/>
  <c r="P10"/>
  <c r="P8" s="1"/>
  <c r="Q10"/>
  <c r="Q8" s="1"/>
  <c r="S10"/>
  <c r="T10"/>
  <c r="T8" s="1"/>
  <c r="J12"/>
  <c r="K12"/>
  <c r="K8" s="1"/>
  <c r="L12"/>
  <c r="M12"/>
  <c r="M8" s="1"/>
  <c r="N12"/>
  <c r="Q12"/>
  <c r="S12"/>
  <c r="T12"/>
  <c r="J14"/>
  <c r="K14"/>
  <c r="L14"/>
  <c r="N14"/>
  <c r="P14"/>
  <c r="Q14"/>
  <c r="J18"/>
  <c r="K18"/>
  <c r="L18"/>
  <c r="N18"/>
  <c r="P18"/>
  <c r="Q18"/>
  <c r="S18"/>
  <c r="T18"/>
  <c r="J21"/>
  <c r="K21"/>
  <c r="L21"/>
  <c r="M21"/>
  <c r="N21"/>
  <c r="O21"/>
  <c r="P21"/>
  <c r="Q21"/>
  <c r="R21"/>
  <c r="S21"/>
  <c r="T21"/>
  <c r="J26"/>
  <c r="K26"/>
  <c r="L26"/>
  <c r="M26"/>
  <c r="N26"/>
  <c r="O26"/>
  <c r="P26"/>
  <c r="Q26"/>
  <c r="R26"/>
  <c r="S26"/>
  <c r="T26"/>
  <c r="T28"/>
  <c r="D14" i="1"/>
  <c r="D18"/>
  <c r="D16"/>
  <c r="E39"/>
  <c r="F39"/>
  <c r="G39"/>
  <c r="H39"/>
  <c r="I39"/>
  <c r="J39"/>
  <c r="K39"/>
  <c r="L39"/>
  <c r="M39"/>
  <c r="N39"/>
  <c r="O39"/>
  <c r="D25"/>
  <c r="D24"/>
  <c r="D13"/>
  <c r="D7"/>
  <c r="D6"/>
  <c r="D6" i="9"/>
  <c r="E6"/>
  <c r="F6"/>
  <c r="G6"/>
  <c r="H6"/>
  <c r="I6"/>
  <c r="J6"/>
  <c r="K6"/>
  <c r="L6"/>
  <c r="M6"/>
  <c r="J5" i="1"/>
  <c r="L5"/>
  <c r="L32" s="1"/>
  <c r="L34" s="1"/>
  <c r="L36" s="1"/>
  <c r="N5"/>
  <c r="E6"/>
  <c r="E5" s="1"/>
  <c r="E32" s="1"/>
  <c r="E34" s="1"/>
  <c r="E36" s="1"/>
  <c r="F6"/>
  <c r="G6"/>
  <c r="G5" s="1"/>
  <c r="G32" s="1"/>
  <c r="G34" s="1"/>
  <c r="G36" s="1"/>
  <c r="I6"/>
  <c r="I5" s="1"/>
  <c r="M6"/>
  <c r="M5" s="1"/>
  <c r="M32" s="1"/>
  <c r="M34" s="1"/>
  <c r="M36" s="1"/>
  <c r="N6"/>
  <c r="O6"/>
  <c r="O5" s="1"/>
  <c r="E7"/>
  <c r="F7"/>
  <c r="F5" s="1"/>
  <c r="F32" s="1"/>
  <c r="F34" s="1"/>
  <c r="F36" s="1"/>
  <c r="G7"/>
  <c r="H7"/>
  <c r="H5" s="1"/>
  <c r="H32" s="1"/>
  <c r="H34" s="1"/>
  <c r="H36" s="1"/>
  <c r="I7"/>
  <c r="K7"/>
  <c r="K5" s="1"/>
  <c r="K32" s="1"/>
  <c r="K34" s="1"/>
  <c r="K36" s="1"/>
  <c r="L7"/>
  <c r="M7"/>
  <c r="N7"/>
  <c r="O7"/>
  <c r="E9"/>
  <c r="E8" s="1"/>
  <c r="F9"/>
  <c r="G9"/>
  <c r="G8" s="1"/>
  <c r="H9"/>
  <c r="I9"/>
  <c r="I8" s="1"/>
  <c r="J9"/>
  <c r="N9"/>
  <c r="N8" s="1"/>
  <c r="O9"/>
  <c r="O8" s="1"/>
  <c r="E13"/>
  <c r="F13"/>
  <c r="G13"/>
  <c r="H13"/>
  <c r="I13"/>
  <c r="J13"/>
  <c r="K13"/>
  <c r="K8" s="1"/>
  <c r="L13"/>
  <c r="M13"/>
  <c r="M8" s="1"/>
  <c r="N13"/>
  <c r="O13"/>
  <c r="E14"/>
  <c r="F14"/>
  <c r="F8" s="1"/>
  <c r="G14"/>
  <c r="H14"/>
  <c r="H8" s="1"/>
  <c r="I14"/>
  <c r="J14"/>
  <c r="J8" s="1"/>
  <c r="K14"/>
  <c r="L14"/>
  <c r="L8" s="1"/>
  <c r="M14"/>
  <c r="N14"/>
  <c r="O14"/>
  <c r="F16"/>
  <c r="I16"/>
  <c r="L16"/>
  <c r="M16"/>
  <c r="O16"/>
  <c r="E18"/>
  <c r="F18"/>
  <c r="G18"/>
  <c r="H18"/>
  <c r="J18"/>
  <c r="K18"/>
  <c r="L18"/>
  <c r="M18"/>
  <c r="N18"/>
  <c r="O18"/>
  <c r="E19"/>
  <c r="F19"/>
  <c r="G19"/>
  <c r="I19"/>
  <c r="E24"/>
  <c r="F24"/>
  <c r="G24"/>
  <c r="H24"/>
  <c r="I24"/>
  <c r="J24"/>
  <c r="M24"/>
  <c r="N24"/>
  <c r="O24"/>
  <c r="E25"/>
  <c r="F25"/>
  <c r="G25"/>
  <c r="H25"/>
  <c r="I25"/>
  <c r="J25"/>
  <c r="K25"/>
  <c r="M25"/>
  <c r="N25"/>
  <c r="O25"/>
  <c r="H35"/>
  <c r="L52" i="3"/>
  <c r="P47"/>
  <c r="Q47"/>
  <c r="M46"/>
  <c r="L47"/>
  <c r="L46"/>
  <c r="Q43"/>
  <c r="Q36"/>
  <c r="Q35"/>
  <c r="Q34"/>
  <c r="Q37"/>
  <c r="L37"/>
  <c r="P34"/>
  <c r="M43"/>
  <c r="M36"/>
  <c r="M35"/>
  <c r="M34"/>
  <c r="L43"/>
  <c r="L36"/>
  <c r="L34"/>
  <c r="I26" i="2"/>
  <c r="I14"/>
  <c r="T29"/>
  <c r="D19" i="1"/>
  <c r="D9"/>
  <c r="H23" i="2"/>
  <c r="E32" i="5"/>
  <c r="K26"/>
  <c r="B13"/>
  <c r="B3"/>
  <c r="G26" i="6"/>
  <c r="G25"/>
  <c r="K35"/>
  <c r="J33"/>
  <c r="U20" i="4"/>
  <c r="T20"/>
  <c r="S20"/>
  <c r="Q20"/>
  <c r="P20"/>
  <c r="C4"/>
  <c r="C5"/>
  <c r="C6"/>
  <c r="C7"/>
  <c r="C8"/>
  <c r="C9"/>
  <c r="C10"/>
  <c r="C11"/>
  <c r="C12"/>
  <c r="C13"/>
  <c r="C14"/>
  <c r="C15"/>
  <c r="C16"/>
  <c r="O19"/>
  <c r="M26"/>
  <c r="L26"/>
  <c r="H26"/>
  <c r="L25"/>
  <c r="H25"/>
  <c r="H24"/>
  <c r="N8"/>
  <c r="N12"/>
  <c r="N11"/>
  <c r="K19"/>
  <c r="K20" s="1"/>
  <c r="J12"/>
  <c r="J11"/>
  <c r="N15"/>
  <c r="N14"/>
  <c r="N10"/>
  <c r="K10"/>
  <c r="N9"/>
  <c r="N7"/>
  <c r="K7"/>
  <c r="O32" i="1" l="1"/>
  <c r="O34" s="1"/>
  <c r="O36" s="1"/>
  <c r="I32"/>
  <c r="I34" s="1"/>
  <c r="I36" s="1"/>
  <c r="N32"/>
  <c r="N34" s="1"/>
  <c r="N36" s="1"/>
  <c r="J32"/>
  <c r="J34" s="1"/>
  <c r="J36" s="1"/>
  <c r="C6" i="9"/>
  <c r="H26" i="2"/>
  <c r="J91" i="7"/>
  <c r="J92"/>
  <c r="M90"/>
  <c r="O90"/>
  <c r="J90"/>
  <c r="H90"/>
  <c r="K90"/>
  <c r="K92" s="1"/>
  <c r="K91"/>
  <c r="Z62"/>
  <c r="Z59"/>
  <c r="Z57"/>
  <c r="Y62"/>
  <c r="Y59"/>
  <c r="H53"/>
  <c r="H54" s="1"/>
  <c r="H48"/>
  <c r="D47"/>
  <c r="D53"/>
  <c r="D48"/>
  <c r="P28" i="3"/>
  <c r="P51"/>
  <c r="K46"/>
  <c r="K47" s="1"/>
  <c r="J37" l="1"/>
  <c r="J36"/>
  <c r="J35"/>
  <c r="J34"/>
  <c r="J43"/>
  <c r="K43"/>
  <c r="K49" s="1"/>
  <c r="K52" s="1"/>
  <c r="K36"/>
  <c r="K35"/>
  <c r="K34"/>
  <c r="C9" i="1"/>
  <c r="C10"/>
  <c r="H22" i="2" s="1"/>
  <c r="D14" i="6"/>
  <c r="L6" i="4"/>
  <c r="N6"/>
  <c r="H92" i="7"/>
  <c r="B26" i="5"/>
  <c r="J26"/>
  <c r="I26"/>
  <c r="H26"/>
  <c r="D23" i="6" l="1"/>
  <c r="X62" i="7"/>
  <c r="X59"/>
  <c r="X57"/>
  <c r="W71"/>
  <c r="H46"/>
  <c r="D46"/>
  <c r="I46" i="3"/>
  <c r="J47" s="1"/>
  <c r="I37"/>
  <c r="I43"/>
  <c r="I36"/>
  <c r="I8" i="2" l="1"/>
  <c r="G21"/>
  <c r="A21"/>
  <c r="I21"/>
  <c r="D8" i="1"/>
  <c r="N17" i="4"/>
  <c r="I8"/>
  <c r="P19"/>
  <c r="P1"/>
  <c r="W39" i="7"/>
  <c r="W38"/>
  <c r="W36"/>
  <c r="W35"/>
  <c r="W34"/>
  <c r="W33"/>
  <c r="W32"/>
  <c r="W31"/>
  <c r="W30"/>
  <c r="W29"/>
  <c r="W28"/>
  <c r="W27"/>
  <c r="W26"/>
  <c r="W25"/>
  <c r="W62"/>
  <c r="W59"/>
  <c r="W57"/>
  <c r="H45"/>
  <c r="D45"/>
  <c r="H46" i="3"/>
  <c r="I47" s="1"/>
  <c r="C8" i="1" l="1"/>
  <c r="C31"/>
  <c r="C28"/>
  <c r="H15" i="2"/>
  <c r="I33" i="6"/>
  <c r="G23" s="1"/>
  <c r="F90" i="7"/>
  <c r="V4" i="4"/>
  <c r="J19"/>
  <c r="J20" s="1"/>
  <c r="H27" l="1"/>
  <c r="L27"/>
  <c r="D92" i="7" l="1"/>
  <c r="F91"/>
  <c r="E91"/>
  <c r="E90"/>
  <c r="G90"/>
  <c r="D90"/>
  <c r="V62"/>
  <c r="V59"/>
  <c r="V57"/>
  <c r="D43"/>
  <c r="G91" l="1"/>
  <c r="G92"/>
  <c r="G46" i="3"/>
  <c r="H47" s="1"/>
  <c r="F46"/>
  <c r="F43"/>
  <c r="F36"/>
  <c r="F35"/>
  <c r="F34"/>
  <c r="G43"/>
  <c r="G49" s="1"/>
  <c r="G52" s="1"/>
  <c r="G36"/>
  <c r="G35"/>
  <c r="G34"/>
  <c r="C24" i="1"/>
  <c r="C12" i="6"/>
  <c r="K5" i="2"/>
  <c r="N5"/>
  <c r="L5"/>
  <c r="O5"/>
  <c r="P5"/>
  <c r="Q5"/>
  <c r="R5"/>
  <c r="S5"/>
  <c r="S20" s="1"/>
  <c r="T5"/>
  <c r="T20" s="1"/>
  <c r="J5"/>
  <c r="M5"/>
  <c r="D5" i="1"/>
  <c r="D32" s="1"/>
  <c r="H6" i="2"/>
  <c r="B15" i="5"/>
  <c r="B40"/>
  <c r="E15"/>
  <c r="D15"/>
  <c r="C15"/>
  <c r="I19" i="6"/>
  <c r="I18"/>
  <c r="I17"/>
  <c r="I15"/>
  <c r="I12"/>
  <c r="C19"/>
  <c r="C18"/>
  <c r="C17"/>
  <c r="C15"/>
  <c r="C14"/>
  <c r="C13"/>
  <c r="C11"/>
  <c r="C10"/>
  <c r="C9"/>
  <c r="L36" i="7"/>
  <c r="L25"/>
  <c r="L26"/>
  <c r="L27"/>
  <c r="L28"/>
  <c r="L29"/>
  <c r="L30"/>
  <c r="L31"/>
  <c r="L32"/>
  <c r="L33"/>
  <c r="L24"/>
  <c r="L23"/>
  <c r="L22"/>
  <c r="J36"/>
  <c r="J33"/>
  <c r="J30"/>
  <c r="J28"/>
  <c r="J25"/>
  <c r="F33"/>
  <c r="H32"/>
  <c r="F31"/>
  <c r="H30"/>
  <c r="F30"/>
  <c r="B30"/>
  <c r="H29"/>
  <c r="D29"/>
  <c r="D28"/>
  <c r="H27"/>
  <c r="H26"/>
  <c r="F26"/>
  <c r="H25"/>
  <c r="B25"/>
  <c r="B34" s="1"/>
  <c r="F24"/>
  <c r="F34" s="1"/>
  <c r="H23"/>
  <c r="D23"/>
  <c r="D34" s="1"/>
  <c r="H22"/>
  <c r="H34" s="1"/>
  <c r="F16"/>
  <c r="H15"/>
  <c r="F14"/>
  <c r="D14"/>
  <c r="H13"/>
  <c r="F13"/>
  <c r="D13"/>
  <c r="H12"/>
  <c r="B12"/>
  <c r="H11"/>
  <c r="H10"/>
  <c r="F10"/>
  <c r="D10"/>
  <c r="H9"/>
  <c r="F9"/>
  <c r="D9"/>
  <c r="E9" s="1"/>
  <c r="B9"/>
  <c r="H8"/>
  <c r="F8"/>
  <c r="B7"/>
  <c r="B17" s="1"/>
  <c r="H6"/>
  <c r="H17" s="1"/>
  <c r="F6"/>
  <c r="F17" s="1"/>
  <c r="D6"/>
  <c r="D17" s="1"/>
  <c r="J16"/>
  <c r="J13"/>
  <c r="J12"/>
  <c r="J11"/>
  <c r="J8"/>
  <c r="J7"/>
  <c r="I20" i="6" l="1"/>
  <c r="I21"/>
  <c r="M20" i="2"/>
  <c r="M27"/>
  <c r="M29" s="1"/>
  <c r="R27"/>
  <c r="R29" s="1"/>
  <c r="R20"/>
  <c r="P27"/>
  <c r="P20"/>
  <c r="L27"/>
  <c r="L20"/>
  <c r="K20"/>
  <c r="K27"/>
  <c r="J27"/>
  <c r="J20"/>
  <c r="Q20"/>
  <c r="Q27"/>
  <c r="O20"/>
  <c r="O27"/>
  <c r="O29" s="1"/>
  <c r="N27"/>
  <c r="N20"/>
  <c r="I29"/>
  <c r="I20"/>
  <c r="P29"/>
  <c r="L29"/>
  <c r="K29"/>
  <c r="J29"/>
  <c r="Q29"/>
  <c r="N29"/>
  <c r="H5"/>
  <c r="C34" i="7"/>
  <c r="C30"/>
  <c r="C29"/>
  <c r="C33"/>
  <c r="C32"/>
  <c r="C31"/>
  <c r="C26"/>
  <c r="C23"/>
  <c r="C22"/>
  <c r="C28"/>
  <c r="C27"/>
  <c r="C24"/>
  <c r="E34"/>
  <c r="E33"/>
  <c r="E32"/>
  <c r="E31"/>
  <c r="E29"/>
  <c r="E28"/>
  <c r="E30"/>
  <c r="E27"/>
  <c r="E24"/>
  <c r="E26"/>
  <c r="E25"/>
  <c r="E22"/>
  <c r="G34"/>
  <c r="G33"/>
  <c r="G31"/>
  <c r="G27"/>
  <c r="G26"/>
  <c r="G32"/>
  <c r="G29"/>
  <c r="G28"/>
  <c r="G25"/>
  <c r="G22"/>
  <c r="G23"/>
  <c r="G30"/>
  <c r="E23"/>
  <c r="G24"/>
  <c r="C25"/>
  <c r="G17"/>
  <c r="G16"/>
  <c r="G13"/>
  <c r="G7"/>
  <c r="G15"/>
  <c r="G11"/>
  <c r="G14"/>
  <c r="G12"/>
  <c r="G8"/>
  <c r="G5"/>
  <c r="C17"/>
  <c r="C16"/>
  <c r="C15"/>
  <c r="C11"/>
  <c r="C10"/>
  <c r="C8"/>
  <c r="C6"/>
  <c r="C14"/>
  <c r="C13"/>
  <c r="C12"/>
  <c r="C7"/>
  <c r="C5"/>
  <c r="E17"/>
  <c r="E12"/>
  <c r="E7"/>
  <c r="E5"/>
  <c r="E16"/>
  <c r="E15"/>
  <c r="E14"/>
  <c r="E13"/>
  <c r="E11"/>
  <c r="E8"/>
  <c r="G10"/>
  <c r="C9"/>
  <c r="G9"/>
  <c r="E10"/>
  <c r="E6"/>
  <c r="G6"/>
  <c r="G24" i="6" l="1"/>
  <c r="G28" s="1"/>
  <c r="G29" s="1"/>
  <c r="J36"/>
  <c r="I49" i="2"/>
  <c r="H29"/>
  <c r="J17" i="7"/>
  <c r="L10"/>
  <c r="L8"/>
  <c r="L9"/>
  <c r="L11"/>
  <c r="L12"/>
  <c r="L13"/>
  <c r="L14"/>
  <c r="L15"/>
  <c r="L16"/>
  <c r="L7"/>
  <c r="D91"/>
  <c r="B91"/>
  <c r="I19" i="4"/>
  <c r="I20" s="1"/>
  <c r="T4"/>
  <c r="U4"/>
  <c r="V6"/>
  <c r="V5"/>
  <c r="H20"/>
  <c r="K18"/>
  <c r="H18"/>
  <c r="H17"/>
  <c r="I16"/>
  <c r="H16"/>
  <c r="H15"/>
  <c r="H14"/>
  <c r="H13"/>
  <c r="H12"/>
  <c r="H11"/>
  <c r="H10"/>
  <c r="I9"/>
  <c r="H9"/>
  <c r="H8"/>
  <c r="I7"/>
  <c r="H7"/>
  <c r="I6"/>
  <c r="H6"/>
  <c r="I5"/>
  <c r="H5"/>
  <c r="H4"/>
  <c r="B92" i="7"/>
  <c r="A90"/>
  <c r="C90"/>
  <c r="B90"/>
  <c r="B118"/>
  <c r="B120"/>
  <c r="A73"/>
  <c r="A74"/>
  <c r="A75"/>
  <c r="A76"/>
  <c r="A77"/>
  <c r="A78"/>
  <c r="A79"/>
  <c r="A80"/>
  <c r="A81"/>
  <c r="A82"/>
  <c r="A83"/>
  <c r="A84"/>
  <c r="A85"/>
  <c r="A86"/>
  <c r="A87"/>
  <c r="A88"/>
  <c r="A72"/>
  <c r="A118"/>
  <c r="C118"/>
  <c r="D118"/>
  <c r="E118"/>
  <c r="F119" s="1"/>
  <c r="F118"/>
  <c r="G118"/>
  <c r="H118"/>
  <c r="J118"/>
  <c r="K118"/>
  <c r="L118"/>
  <c r="M118"/>
  <c r="N118"/>
  <c r="O119" s="1"/>
  <c r="O118"/>
  <c r="O121" s="1"/>
  <c r="D119"/>
  <c r="K119"/>
  <c r="L121"/>
  <c r="T72"/>
  <c r="S72"/>
  <c r="U72"/>
  <c r="V72"/>
  <c r="W72"/>
  <c r="X72"/>
  <c r="Y72"/>
  <c r="Z72"/>
  <c r="AA72"/>
  <c r="AB72"/>
  <c r="T62"/>
  <c r="T59"/>
  <c r="T57"/>
  <c r="S59"/>
  <c r="S57"/>
  <c r="S39"/>
  <c r="S38"/>
  <c r="S36"/>
  <c r="S35"/>
  <c r="S34"/>
  <c r="S33"/>
  <c r="S32"/>
  <c r="S31"/>
  <c r="S30"/>
  <c r="S29"/>
  <c r="S28"/>
  <c r="S27"/>
  <c r="S26"/>
  <c r="S25"/>
  <c r="S24"/>
  <c r="T38"/>
  <c r="T36"/>
  <c r="T35"/>
  <c r="T34"/>
  <c r="T33"/>
  <c r="T32"/>
  <c r="T31"/>
  <c r="T30"/>
  <c r="T29"/>
  <c r="T28"/>
  <c r="T27"/>
  <c r="T26"/>
  <c r="T25"/>
  <c r="T24"/>
  <c r="AD4"/>
  <c r="T4"/>
  <c r="U4"/>
  <c r="V4"/>
  <c r="W4"/>
  <c r="X4"/>
  <c r="Y4"/>
  <c r="Z4"/>
  <c r="AA4"/>
  <c r="AB4"/>
  <c r="AC4"/>
  <c r="S4"/>
  <c r="H42"/>
  <c r="H41" s="1"/>
  <c r="D42"/>
  <c r="D41" s="1"/>
  <c r="E46" i="3"/>
  <c r="D47"/>
  <c r="E37"/>
  <c r="D37"/>
  <c r="P37" s="1"/>
  <c r="E36"/>
  <c r="E43"/>
  <c r="E49" s="1"/>
  <c r="E52" s="1"/>
  <c r="E35"/>
  <c r="E34"/>
  <c r="D43"/>
  <c r="D49" s="1"/>
  <c r="D52" s="1"/>
  <c r="D36"/>
  <c r="D35"/>
  <c r="D34"/>
  <c r="O47"/>
  <c r="G47"/>
  <c r="M47"/>
  <c r="O49"/>
  <c r="N49"/>
  <c r="M49"/>
  <c r="L49"/>
  <c r="H49"/>
  <c r="H52" s="1"/>
  <c r="F49"/>
  <c r="F52" s="1"/>
  <c r="M38"/>
  <c r="M40" s="1"/>
  <c r="J38"/>
  <c r="J40" s="1"/>
  <c r="G38"/>
  <c r="G40" s="1"/>
  <c r="F38"/>
  <c r="E38"/>
  <c r="E40" s="1"/>
  <c r="D38"/>
  <c r="L38"/>
  <c r="L40" s="1"/>
  <c r="O38"/>
  <c r="N38"/>
  <c r="K38"/>
  <c r="K40" s="1"/>
  <c r="H38"/>
  <c r="O40"/>
  <c r="N40"/>
  <c r="G30" i="6" l="1"/>
  <c r="F47" i="3"/>
  <c r="E47"/>
  <c r="N121" i="7"/>
  <c r="N119"/>
  <c r="L119"/>
  <c r="J119"/>
  <c r="G119"/>
  <c r="E119"/>
  <c r="M119"/>
  <c r="H119"/>
  <c r="B119"/>
  <c r="P35" i="3"/>
  <c r="J49"/>
  <c r="J52" s="1"/>
  <c r="I49"/>
  <c r="I52" s="1"/>
  <c r="P52" s="1"/>
  <c r="I38"/>
  <c r="I40" s="1"/>
  <c r="D40"/>
  <c r="F40"/>
  <c r="H40"/>
  <c r="P43"/>
  <c r="P36"/>
  <c r="L49" i="2"/>
  <c r="N49"/>
  <c r="P49"/>
  <c r="R49"/>
  <c r="T49"/>
  <c r="K49"/>
  <c r="M49"/>
  <c r="O49"/>
  <c r="Q49"/>
  <c r="S49"/>
  <c r="J38" i="1"/>
  <c r="N38"/>
  <c r="P38" i="3" l="1"/>
  <c r="P49"/>
  <c r="P45"/>
  <c r="E41"/>
  <c r="F41" s="1"/>
  <c r="G41" s="1"/>
  <c r="H41" s="1"/>
  <c r="I41" s="1"/>
  <c r="J41" s="1"/>
  <c r="K41" s="1"/>
  <c r="L41" s="1"/>
  <c r="M41" s="1"/>
  <c r="N41" s="1"/>
  <c r="O41" s="1"/>
  <c r="P40"/>
  <c r="H38" i="1"/>
  <c r="M38"/>
  <c r="G38"/>
  <c r="L38"/>
  <c r="I38"/>
  <c r="O38"/>
  <c r="K38"/>
  <c r="F38"/>
  <c r="E38"/>
  <c r="X4" i="4"/>
  <c r="X5"/>
  <c r="X6"/>
  <c r="X7"/>
  <c r="X8"/>
  <c r="X9"/>
  <c r="X10"/>
  <c r="X11"/>
  <c r="X12"/>
  <c r="X13"/>
  <c r="X14"/>
  <c r="X15"/>
  <c r="X16"/>
  <c r="X17"/>
  <c r="X18"/>
  <c r="V12"/>
  <c r="V13"/>
  <c r="V14"/>
  <c r="V15"/>
  <c r="V16"/>
  <c r="V17"/>
  <c r="V18"/>
  <c r="V10"/>
  <c r="V11"/>
  <c r="V9"/>
  <c r="U5"/>
  <c r="U6"/>
  <c r="U7"/>
  <c r="U8"/>
  <c r="U9"/>
  <c r="U10"/>
  <c r="U11"/>
  <c r="U12"/>
  <c r="U13"/>
  <c r="U14"/>
  <c r="U15"/>
  <c r="U16"/>
  <c r="U17"/>
  <c r="U18"/>
  <c r="T5"/>
  <c r="T6"/>
  <c r="T7"/>
  <c r="T8"/>
  <c r="T9"/>
  <c r="T10"/>
  <c r="T11"/>
  <c r="T12"/>
  <c r="T13"/>
  <c r="T14"/>
  <c r="T15"/>
  <c r="T16"/>
  <c r="T17"/>
  <c r="T18"/>
  <c r="R19"/>
  <c r="R20" s="1"/>
  <c r="Q19"/>
  <c r="S19"/>
  <c r="K15" i="5"/>
  <c r="J15"/>
  <c r="J17" s="1"/>
  <c r="I15"/>
  <c r="H15"/>
  <c r="AC72" i="7" l="1"/>
  <c r="X19" i="4"/>
  <c r="U19"/>
  <c r="T19"/>
  <c r="N7" i="9"/>
  <c r="M7"/>
  <c r="L7"/>
  <c r="K7"/>
  <c r="J7"/>
  <c r="I7"/>
  <c r="H7"/>
  <c r="G7"/>
  <c r="F7"/>
  <c r="E7"/>
  <c r="O7"/>
  <c r="H7" i="2"/>
  <c r="H14"/>
  <c r="H13"/>
  <c r="L17" i="4"/>
  <c r="J37" i="6" l="1"/>
  <c r="E35" s="1"/>
  <c r="K27"/>
  <c r="J31" i="4" l="1"/>
  <c r="I31"/>
  <c r="L5"/>
  <c r="N5" s="1"/>
  <c r="V8"/>
  <c r="V7"/>
  <c r="V19" l="1"/>
  <c r="E26" i="3"/>
  <c r="E29" s="1"/>
  <c r="O24"/>
  <c r="O14"/>
  <c r="O20"/>
  <c r="O26" s="1"/>
  <c r="O29" s="1"/>
  <c r="O13"/>
  <c r="O15" s="1"/>
  <c r="O12"/>
  <c r="O11"/>
  <c r="G8" i="6"/>
  <c r="E8"/>
  <c r="L4" i="4"/>
  <c r="J32"/>
  <c r="K32"/>
  <c r="J33"/>
  <c r="K33"/>
  <c r="I33"/>
  <c r="I32"/>
  <c r="I34" s="1"/>
  <c r="K31"/>
  <c r="K34" s="1"/>
  <c r="J34"/>
  <c r="L11"/>
  <c r="D26" i="5"/>
  <c r="D28" s="1"/>
  <c r="F25"/>
  <c r="L25"/>
  <c r="C26"/>
  <c r="E26"/>
  <c r="L13"/>
  <c r="J36" i="8" l="1"/>
  <c r="C52" i="7"/>
  <c r="O17" i="3"/>
  <c r="H18" i="2"/>
  <c r="C31" i="4"/>
  <c r="D5" i="9" l="1"/>
  <c r="N24" i="3"/>
  <c r="O91" i="7" l="1"/>
  <c r="N20" i="3"/>
  <c r="N26" s="1"/>
  <c r="N29" s="1"/>
  <c r="N14"/>
  <c r="N13"/>
  <c r="N12"/>
  <c r="N11"/>
  <c r="N15" l="1"/>
  <c r="N17" s="1"/>
  <c r="C35" i="1"/>
  <c r="C7"/>
  <c r="C6"/>
  <c r="F24" i="5"/>
  <c r="L12" i="4" l="1"/>
  <c r="L16"/>
  <c r="N16" s="1"/>
  <c r="J23" i="6"/>
  <c r="M20" i="3" l="1"/>
  <c r="M26" s="1"/>
  <c r="M29" s="1"/>
  <c r="M15"/>
  <c r="M17" s="1"/>
  <c r="B29" i="6" l="1"/>
  <c r="H27" i="8"/>
  <c r="AE24" i="7"/>
  <c r="L23" i="3"/>
  <c r="M24" s="1"/>
  <c r="L14"/>
  <c r="L15" s="1"/>
  <c r="L17" s="1"/>
  <c r="L20"/>
  <c r="L26" s="1"/>
  <c r="L29" s="1"/>
  <c r="L24" l="1"/>
  <c r="H29" i="8"/>
  <c r="C5" i="1"/>
  <c r="H19" i="2"/>
  <c r="D33" i="4"/>
  <c r="D32"/>
  <c r="D31"/>
  <c r="D19"/>
  <c r="AE42" i="7"/>
  <c r="D34" i="4" l="1"/>
  <c r="K20" i="3"/>
  <c r="K26" s="1"/>
  <c r="K29" s="1"/>
  <c r="K13"/>
  <c r="K15" s="1"/>
  <c r="K17" s="1"/>
  <c r="L15" i="4" l="1"/>
  <c r="L8"/>
  <c r="L7"/>
  <c r="L9"/>
  <c r="L10"/>
  <c r="L13"/>
  <c r="N13" s="1"/>
  <c r="L14"/>
  <c r="L18"/>
  <c r="M17"/>
  <c r="C33"/>
  <c r="H19"/>
  <c r="C18"/>
  <c r="C17"/>
  <c r="J23" i="3"/>
  <c r="I23"/>
  <c r="I24" s="1"/>
  <c r="J20"/>
  <c r="J26" s="1"/>
  <c r="J29" s="1"/>
  <c r="G15"/>
  <c r="I14"/>
  <c r="P14" s="1"/>
  <c r="Q14" s="1"/>
  <c r="J15"/>
  <c r="J17" s="1"/>
  <c r="L58" i="7" l="1"/>
  <c r="M18" i="4"/>
  <c r="L33"/>
  <c r="L19"/>
  <c r="L20" s="1"/>
  <c r="L31"/>
  <c r="L34" s="1"/>
  <c r="J24" i="3"/>
  <c r="K24"/>
  <c r="L32" i="4"/>
  <c r="M7"/>
  <c r="J58" i="7"/>
  <c r="J57" s="1"/>
  <c r="J59" s="1"/>
  <c r="M15" i="4"/>
  <c r="M14"/>
  <c r="M12"/>
  <c r="M10"/>
  <c r="M9"/>
  <c r="M6"/>
  <c r="M5"/>
  <c r="M13"/>
  <c r="M11"/>
  <c r="M16"/>
  <c r="M8"/>
  <c r="M4"/>
  <c r="L57" i="7" l="1"/>
  <c r="M19" i="4"/>
  <c r="H24" i="3"/>
  <c r="I20"/>
  <c r="I26" s="1"/>
  <c r="I29" s="1"/>
  <c r="I15"/>
  <c r="C32" i="4"/>
  <c r="I17" i="3" l="1"/>
  <c r="F31" i="4"/>
  <c r="G24" i="3"/>
  <c r="H12"/>
  <c r="H11"/>
  <c r="P11" s="1"/>
  <c r="H20"/>
  <c r="H26" s="1"/>
  <c r="H29" s="1"/>
  <c r="H13"/>
  <c r="P13" s="1"/>
  <c r="Q13" s="1"/>
  <c r="I48" i="2"/>
  <c r="H21"/>
  <c r="C14" i="1"/>
  <c r="C13"/>
  <c r="C4"/>
  <c r="AD119" i="7"/>
  <c r="AC119"/>
  <c r="AD126" s="1"/>
  <c r="AB119"/>
  <c r="AA119"/>
  <c r="Z119"/>
  <c r="Y119"/>
  <c r="X119"/>
  <c r="W119"/>
  <c r="T119"/>
  <c r="S119"/>
  <c r="AE94"/>
  <c r="AD94"/>
  <c r="AC94"/>
  <c r="AB94"/>
  <c r="AA94"/>
  <c r="Z94"/>
  <c r="Y94"/>
  <c r="X94"/>
  <c r="W94"/>
  <c r="V94"/>
  <c r="U94"/>
  <c r="T94"/>
  <c r="S94"/>
  <c r="AD89"/>
  <c r="AC89"/>
  <c r="AB89"/>
  <c r="AA89"/>
  <c r="Z89"/>
  <c r="Y89"/>
  <c r="X89"/>
  <c r="W89"/>
  <c r="T89"/>
  <c r="S89"/>
  <c r="R89"/>
  <c r="Q89"/>
  <c r="R81"/>
  <c r="Q81"/>
  <c r="AE78"/>
  <c r="AD78"/>
  <c r="AC78"/>
  <c r="AB78"/>
  <c r="AA78"/>
  <c r="Z78"/>
  <c r="Y78"/>
  <c r="X78"/>
  <c r="W78"/>
  <c r="V78"/>
  <c r="U78"/>
  <c r="T78"/>
  <c r="S78"/>
  <c r="AE63"/>
  <c r="AE62"/>
  <c r="AE61"/>
  <c r="AD60"/>
  <c r="AC60"/>
  <c r="AB60"/>
  <c r="AA60"/>
  <c r="Z60"/>
  <c r="Y60"/>
  <c r="X60"/>
  <c r="W60"/>
  <c r="V60"/>
  <c r="U60"/>
  <c r="T60"/>
  <c r="S60"/>
  <c r="AE59"/>
  <c r="AE58"/>
  <c r="AE57"/>
  <c r="AD56"/>
  <c r="AD71" s="1"/>
  <c r="AC56"/>
  <c r="AC71" s="1"/>
  <c r="AB56"/>
  <c r="AB71" s="1"/>
  <c r="AB73" s="1"/>
  <c r="AA56"/>
  <c r="AA71" s="1"/>
  <c r="Z56"/>
  <c r="Z71" s="1"/>
  <c r="Z73" s="1"/>
  <c r="Y56"/>
  <c r="Y71" s="1"/>
  <c r="Y73" s="1"/>
  <c r="X56"/>
  <c r="X71" s="1"/>
  <c r="X73" s="1"/>
  <c r="W56"/>
  <c r="W73" s="1"/>
  <c r="V56"/>
  <c r="V71" s="1"/>
  <c r="V73" s="1"/>
  <c r="U56"/>
  <c r="U71" s="1"/>
  <c r="U73" s="1"/>
  <c r="T56"/>
  <c r="T71" s="1"/>
  <c r="T73" s="1"/>
  <c r="S56"/>
  <c r="S71" s="1"/>
  <c r="S73" s="1"/>
  <c r="L52"/>
  <c r="L51"/>
  <c r="L50"/>
  <c r="L49"/>
  <c r="L48"/>
  <c r="L47"/>
  <c r="L46"/>
  <c r="L45"/>
  <c r="L44"/>
  <c r="L42"/>
  <c r="J42"/>
  <c r="F42"/>
  <c r="L41"/>
  <c r="J41"/>
  <c r="F41"/>
  <c r="AD40"/>
  <c r="AD87" s="1"/>
  <c r="AC40"/>
  <c r="AC87" s="1"/>
  <c r="AB40"/>
  <c r="AB87" s="1"/>
  <c r="AA40"/>
  <c r="AA87" s="1"/>
  <c r="Z40"/>
  <c r="Z87" s="1"/>
  <c r="Y40"/>
  <c r="Y87" s="1"/>
  <c r="X40"/>
  <c r="W40"/>
  <c r="W87" s="1"/>
  <c r="T40"/>
  <c r="T87" s="1"/>
  <c r="S40"/>
  <c r="S87" s="1"/>
  <c r="AE39"/>
  <c r="AE38"/>
  <c r="AE37"/>
  <c r="G24" i="8" s="1"/>
  <c r="AE36" i="7"/>
  <c r="AE35"/>
  <c r="AE34"/>
  <c r="V89"/>
  <c r="U89"/>
  <c r="J52"/>
  <c r="V119"/>
  <c r="U119"/>
  <c r="AE31"/>
  <c r="AE30"/>
  <c r="AE29"/>
  <c r="AE28"/>
  <c r="U40"/>
  <c r="AE26"/>
  <c r="AE25"/>
  <c r="V40"/>
  <c r="N22"/>
  <c r="J34"/>
  <c r="O21"/>
  <c r="N21"/>
  <c r="L21"/>
  <c r="J21"/>
  <c r="H21"/>
  <c r="F21"/>
  <c r="D21"/>
  <c r="B21"/>
  <c r="F52"/>
  <c r="N6"/>
  <c r="N5"/>
  <c r="O5" s="1"/>
  <c r="AE4"/>
  <c r="I37" i="6"/>
  <c r="I38" s="1"/>
  <c r="L35"/>
  <c r="L34"/>
  <c r="E34"/>
  <c r="K38"/>
  <c r="K39" s="1"/>
  <c r="D33"/>
  <c r="C33"/>
  <c r="B33"/>
  <c r="D32"/>
  <c r="C32"/>
  <c r="B32"/>
  <c r="K28"/>
  <c r="J26"/>
  <c r="L26" s="1"/>
  <c r="L25"/>
  <c r="L24"/>
  <c r="E16"/>
  <c r="K15"/>
  <c r="G15"/>
  <c r="E15"/>
  <c r="K14"/>
  <c r="G14"/>
  <c r="E14"/>
  <c r="K13"/>
  <c r="G13"/>
  <c r="E13"/>
  <c r="K12"/>
  <c r="G12"/>
  <c r="E12"/>
  <c r="K11"/>
  <c r="G11"/>
  <c r="E11"/>
  <c r="K10"/>
  <c r="G10"/>
  <c r="E10"/>
  <c r="K8"/>
  <c r="D31"/>
  <c r="B37" i="5"/>
  <c r="C34" s="1"/>
  <c r="E36"/>
  <c r="C36"/>
  <c r="E35"/>
  <c r="C35"/>
  <c r="E34"/>
  <c r="E33"/>
  <c r="C33"/>
  <c r="K33"/>
  <c r="J33"/>
  <c r="I33"/>
  <c r="L24"/>
  <c r="L23"/>
  <c r="F23"/>
  <c r="L22"/>
  <c r="F22"/>
  <c r="L21"/>
  <c r="F21"/>
  <c r="L20"/>
  <c r="F20"/>
  <c r="L19"/>
  <c r="F19"/>
  <c r="C41"/>
  <c r="L14"/>
  <c r="F14"/>
  <c r="F13"/>
  <c r="L12"/>
  <c r="F12"/>
  <c r="L11"/>
  <c r="F11"/>
  <c r="L10"/>
  <c r="F10"/>
  <c r="F32" i="4"/>
  <c r="G32" s="1"/>
  <c r="F33"/>
  <c r="G26" i="3"/>
  <c r="G29" s="1"/>
  <c r="F24"/>
  <c r="E24"/>
  <c r="P24" s="1"/>
  <c r="Q24" s="1"/>
  <c r="F20"/>
  <c r="F26" s="1"/>
  <c r="F29" s="1"/>
  <c r="D20"/>
  <c r="P20" s="1"/>
  <c r="G17"/>
  <c r="F15"/>
  <c r="E15"/>
  <c r="E17" s="1"/>
  <c r="D15"/>
  <c r="F12"/>
  <c r="P12" s="1"/>
  <c r="Q12" s="1"/>
  <c r="J48" i="2"/>
  <c r="K48"/>
  <c r="L48"/>
  <c r="G5" i="9" s="1"/>
  <c r="G9" s="1"/>
  <c r="M48" i="2"/>
  <c r="N48"/>
  <c r="O48"/>
  <c r="P48"/>
  <c r="Q48"/>
  <c r="R48"/>
  <c r="S48"/>
  <c r="T48"/>
  <c r="H47"/>
  <c r="H46"/>
  <c r="H45"/>
  <c r="H44"/>
  <c r="H43"/>
  <c r="H42"/>
  <c r="H41"/>
  <c r="H40"/>
  <c r="H39"/>
  <c r="H38"/>
  <c r="H37"/>
  <c r="H36"/>
  <c r="H35"/>
  <c r="H34"/>
  <c r="H33"/>
  <c r="H32"/>
  <c r="H31"/>
  <c r="H30"/>
  <c r="H25"/>
  <c r="H24"/>
  <c r="H16"/>
  <c r="H12"/>
  <c r="H10"/>
  <c r="J3"/>
  <c r="E3" i="9" s="1"/>
  <c r="K3" i="2"/>
  <c r="F3" i="9" s="1"/>
  <c r="L3" i="2"/>
  <c r="G3" i="9" s="1"/>
  <c r="M3" i="2"/>
  <c r="H3" i="9" s="1"/>
  <c r="N3" i="2"/>
  <c r="I3" i="9" s="1"/>
  <c r="O3" i="2"/>
  <c r="J3" i="9" s="1"/>
  <c r="P3" i="2"/>
  <c r="K3" i="9" s="1"/>
  <c r="Q3" i="2"/>
  <c r="L3" i="9" s="1"/>
  <c r="R3" i="2"/>
  <c r="M3" i="9" s="1"/>
  <c r="S3" i="2"/>
  <c r="N3" i="9" s="1"/>
  <c r="T3" i="2"/>
  <c r="O3" i="9" s="1"/>
  <c r="I3" i="2"/>
  <c r="D3" i="9" s="1"/>
  <c r="C15" i="1"/>
  <c r="C16"/>
  <c r="C17"/>
  <c r="C18"/>
  <c r="C19"/>
  <c r="C20"/>
  <c r="C22"/>
  <c r="C23"/>
  <c r="C25"/>
  <c r="C26"/>
  <c r="C27"/>
  <c r="C29"/>
  <c r="C30"/>
  <c r="C33"/>
  <c r="C37"/>
  <c r="L26" i="5" l="1"/>
  <c r="F26"/>
  <c r="Z126" i="7"/>
  <c r="X87"/>
  <c r="X120" s="1"/>
  <c r="X41"/>
  <c r="K34"/>
  <c r="G33" i="4"/>
  <c r="M33"/>
  <c r="M32"/>
  <c r="M31"/>
  <c r="G31"/>
  <c r="G34" s="1"/>
  <c r="K22" i="7"/>
  <c r="L91"/>
  <c r="K26"/>
  <c r="N9"/>
  <c r="O9" s="1"/>
  <c r="Q20" i="3"/>
  <c r="P22"/>
  <c r="O22" s="1"/>
  <c r="H20" i="2"/>
  <c r="K32" i="5"/>
  <c r="I32"/>
  <c r="I34" s="1"/>
  <c r="E37"/>
  <c r="K17" s="1"/>
  <c r="I5" i="9"/>
  <c r="I9" s="1"/>
  <c r="M5"/>
  <c r="M9" s="1"/>
  <c r="J5"/>
  <c r="J9" s="1"/>
  <c r="F5"/>
  <c r="F9" s="1"/>
  <c r="L5"/>
  <c r="L9" s="1"/>
  <c r="K5"/>
  <c r="K9" s="1"/>
  <c r="H5"/>
  <c r="H9" s="1"/>
  <c r="D17" i="5"/>
  <c r="J32"/>
  <c r="J34" s="1"/>
  <c r="D17" i="3"/>
  <c r="D26"/>
  <c r="Q11"/>
  <c r="H91" i="7"/>
  <c r="AD99"/>
  <c r="O5" i="9"/>
  <c r="O9" s="1"/>
  <c r="N5"/>
  <c r="N9" s="1"/>
  <c r="G41" i="5"/>
  <c r="G22" i="8"/>
  <c r="E15" i="4" s="1"/>
  <c r="G23" i="8"/>
  <c r="E16" i="4" s="1"/>
  <c r="G26" i="8"/>
  <c r="E18" i="4" s="1"/>
  <c r="W18" s="1"/>
  <c r="Y18" s="1"/>
  <c r="G25" i="8"/>
  <c r="E17" i="4" s="1"/>
  <c r="W17" s="1"/>
  <c r="Y17" s="1"/>
  <c r="G21" i="8"/>
  <c r="E14" i="4" s="1"/>
  <c r="G18" i="8"/>
  <c r="E11" i="4" s="1"/>
  <c r="G17" i="8"/>
  <c r="E10" i="4" s="1"/>
  <c r="G16" i="8"/>
  <c r="E9" i="4" s="1"/>
  <c r="G15" i="8"/>
  <c r="E8" i="4" s="1"/>
  <c r="G13" i="8"/>
  <c r="E6" i="4" s="1"/>
  <c r="G12" i="8"/>
  <c r="E5" i="4" s="1"/>
  <c r="AA73" i="7"/>
  <c r="AE71"/>
  <c r="J27" i="6"/>
  <c r="J28" s="1"/>
  <c r="K34" i="5"/>
  <c r="Z99" i="7"/>
  <c r="L15" i="5"/>
  <c r="F15"/>
  <c r="C21" i="6"/>
  <c r="L23"/>
  <c r="L27" s="1"/>
  <c r="L28" s="1"/>
  <c r="F17" i="3"/>
  <c r="H15"/>
  <c r="H17" s="1"/>
  <c r="C19" i="4"/>
  <c r="I39" i="6"/>
  <c r="E33"/>
  <c r="E32"/>
  <c r="I27" i="8"/>
  <c r="B36" i="7"/>
  <c r="F45"/>
  <c r="J49"/>
  <c r="N7"/>
  <c r="O7" s="1"/>
  <c r="N30"/>
  <c r="O30" s="1"/>
  <c r="J43"/>
  <c r="V87"/>
  <c r="V120" s="1"/>
  <c r="V41"/>
  <c r="V126"/>
  <c r="V99"/>
  <c r="AE60"/>
  <c r="O6"/>
  <c r="N8"/>
  <c r="N12"/>
  <c r="O12" s="1"/>
  <c r="N16"/>
  <c r="O16" s="1"/>
  <c r="I14"/>
  <c r="K23"/>
  <c r="N23"/>
  <c r="O23" s="1"/>
  <c r="N24"/>
  <c r="O24" s="1"/>
  <c r="N25"/>
  <c r="N26"/>
  <c r="K27"/>
  <c r="K28"/>
  <c r="K29"/>
  <c r="K30"/>
  <c r="K31"/>
  <c r="N32"/>
  <c r="O32" s="1"/>
  <c r="AE32"/>
  <c r="N33"/>
  <c r="O33" s="1"/>
  <c r="AE33"/>
  <c r="F43"/>
  <c r="T120"/>
  <c r="Z120"/>
  <c r="AB120"/>
  <c r="AD120"/>
  <c r="U87"/>
  <c r="U90" s="1"/>
  <c r="U41"/>
  <c r="V90"/>
  <c r="AE56"/>
  <c r="I8"/>
  <c r="N10"/>
  <c r="O22"/>
  <c r="K24"/>
  <c r="K25"/>
  <c r="AE27"/>
  <c r="N31"/>
  <c r="K32"/>
  <c r="K33"/>
  <c r="T90"/>
  <c r="Z90"/>
  <c r="AB90"/>
  <c r="AD90"/>
  <c r="T41"/>
  <c r="Z41"/>
  <c r="AB41"/>
  <c r="AD41"/>
  <c r="L43"/>
  <c r="L53" s="1"/>
  <c r="S64"/>
  <c r="S65" s="1"/>
  <c r="U64"/>
  <c r="U65" s="1"/>
  <c r="W64"/>
  <c r="W65" s="1"/>
  <c r="Y64"/>
  <c r="Y65" s="1"/>
  <c r="AA64"/>
  <c r="AA65" s="1"/>
  <c r="AC64"/>
  <c r="AC65" s="1"/>
  <c r="S90"/>
  <c r="W90"/>
  <c r="Y90"/>
  <c r="AA90"/>
  <c r="AC90"/>
  <c r="T99"/>
  <c r="X99"/>
  <c r="AB99"/>
  <c r="S120"/>
  <c r="W120"/>
  <c r="Y120"/>
  <c r="AA120"/>
  <c r="AC120"/>
  <c r="T126"/>
  <c r="X126"/>
  <c r="AB126"/>
  <c r="S41"/>
  <c r="W41"/>
  <c r="Y41"/>
  <c r="AA41"/>
  <c r="AC41"/>
  <c r="F44"/>
  <c r="T64"/>
  <c r="T65" s="1"/>
  <c r="V64"/>
  <c r="V65" s="1"/>
  <c r="X64"/>
  <c r="X65" s="1"/>
  <c r="Z64"/>
  <c r="Z65" s="1"/>
  <c r="AB64"/>
  <c r="AB65" s="1"/>
  <c r="AD64"/>
  <c r="AD65" s="1"/>
  <c r="AE119"/>
  <c r="W122" s="1"/>
  <c r="E9" i="6"/>
  <c r="G9"/>
  <c r="K9"/>
  <c r="E17"/>
  <c r="G17"/>
  <c r="K17"/>
  <c r="E18"/>
  <c r="G18"/>
  <c r="K18"/>
  <c r="E19"/>
  <c r="G19"/>
  <c r="K19"/>
  <c r="D21"/>
  <c r="D22" s="1"/>
  <c r="C29"/>
  <c r="B30"/>
  <c r="D30"/>
  <c r="C31"/>
  <c r="D29"/>
  <c r="C30"/>
  <c r="B31"/>
  <c r="L33"/>
  <c r="C32" i="5"/>
  <c r="F34" i="4"/>
  <c r="C34"/>
  <c r="F19"/>
  <c r="E18" i="3"/>
  <c r="H48" i="2"/>
  <c r="C40" i="5" l="1"/>
  <c r="C42" s="1"/>
  <c r="E17"/>
  <c r="L35" i="4"/>
  <c r="J55" i="7"/>
  <c r="D29" i="3"/>
  <c r="P29" s="1"/>
  <c r="P26"/>
  <c r="H41" i="5"/>
  <c r="H40"/>
  <c r="X90" i="7"/>
  <c r="S85"/>
  <c r="D34" i="1"/>
  <c r="I22" i="7"/>
  <c r="I23"/>
  <c r="I24"/>
  <c r="I25"/>
  <c r="I26"/>
  <c r="I29"/>
  <c r="I30"/>
  <c r="I31"/>
  <c r="I32"/>
  <c r="I33"/>
  <c r="I27"/>
  <c r="I28"/>
  <c r="J44"/>
  <c r="M34" i="4"/>
  <c r="I13" i="7"/>
  <c r="O31"/>
  <c r="N13"/>
  <c r="O13" s="1"/>
  <c r="J49" i="2"/>
  <c r="G6" i="4"/>
  <c r="W6"/>
  <c r="Y6" s="1"/>
  <c r="G9"/>
  <c r="W9"/>
  <c r="Y9" s="1"/>
  <c r="G11"/>
  <c r="W11"/>
  <c r="Y11" s="1"/>
  <c r="G16"/>
  <c r="W16"/>
  <c r="Y16" s="1"/>
  <c r="G5"/>
  <c r="W5"/>
  <c r="Y5" s="1"/>
  <c r="G8"/>
  <c r="W8"/>
  <c r="Y8" s="1"/>
  <c r="G10"/>
  <c r="W10"/>
  <c r="Y10" s="1"/>
  <c r="G14"/>
  <c r="W14"/>
  <c r="Y14" s="1"/>
  <c r="G15"/>
  <c r="W15"/>
  <c r="Y15" s="1"/>
  <c r="D33" i="5"/>
  <c r="F33" s="1"/>
  <c r="D32"/>
  <c r="F32" s="1"/>
  <c r="P17" i="3"/>
  <c r="P15"/>
  <c r="H8" i="9"/>
  <c r="G11" i="8"/>
  <c r="E33" i="4"/>
  <c r="H33" s="1"/>
  <c r="G18"/>
  <c r="F18" i="3"/>
  <c r="G18" s="1"/>
  <c r="H18" s="1"/>
  <c r="I18" s="1"/>
  <c r="J18" s="1"/>
  <c r="K18" s="1"/>
  <c r="L18" s="1"/>
  <c r="M18" s="1"/>
  <c r="N18" s="1"/>
  <c r="O18" s="1"/>
  <c r="F8" i="9"/>
  <c r="C20" i="4"/>
  <c r="L37" i="6"/>
  <c r="C43" i="7"/>
  <c r="C44"/>
  <c r="E32" i="4"/>
  <c r="H32" s="1"/>
  <c r="G17"/>
  <c r="G20" i="8"/>
  <c r="G19"/>
  <c r="G14"/>
  <c r="AE40" i="7"/>
  <c r="AE41" s="1"/>
  <c r="D36" i="5"/>
  <c r="F36" s="1"/>
  <c r="D34"/>
  <c r="F34" s="1"/>
  <c r="D35"/>
  <c r="F35" s="1"/>
  <c r="AC122" i="7"/>
  <c r="X122"/>
  <c r="Y122"/>
  <c r="AB122"/>
  <c r="M8" i="9"/>
  <c r="K8"/>
  <c r="G8"/>
  <c r="J8"/>
  <c r="L8"/>
  <c r="H8" i="2"/>
  <c r="N8" i="9"/>
  <c r="I8"/>
  <c r="O8"/>
  <c r="I52" i="7"/>
  <c r="I51"/>
  <c r="I50"/>
  <c r="I49"/>
  <c r="I48"/>
  <c r="I47"/>
  <c r="I46"/>
  <c r="I45"/>
  <c r="G53"/>
  <c r="I43"/>
  <c r="I42"/>
  <c r="I41"/>
  <c r="J48"/>
  <c r="J47"/>
  <c r="J46"/>
  <c r="F50"/>
  <c r="F47"/>
  <c r="J18"/>
  <c r="K17"/>
  <c r="K16"/>
  <c r="K15"/>
  <c r="K14"/>
  <c r="K11"/>
  <c r="K10"/>
  <c r="K9"/>
  <c r="K7"/>
  <c r="K5"/>
  <c r="F36"/>
  <c r="F18"/>
  <c r="AE122"/>
  <c r="C51"/>
  <c r="C50"/>
  <c r="C49"/>
  <c r="C48"/>
  <c r="C47"/>
  <c r="C46"/>
  <c r="C45"/>
  <c r="C42"/>
  <c r="C41"/>
  <c r="J50"/>
  <c r="F51"/>
  <c r="F46"/>
  <c r="O10"/>
  <c r="AE64"/>
  <c r="I34"/>
  <c r="AE89"/>
  <c r="J51"/>
  <c r="J45"/>
  <c r="H36"/>
  <c r="I17"/>
  <c r="I12"/>
  <c r="I7"/>
  <c r="I5"/>
  <c r="H18"/>
  <c r="I16"/>
  <c r="I15"/>
  <c r="I11"/>
  <c r="I10"/>
  <c r="I9"/>
  <c r="D36"/>
  <c r="D18"/>
  <c r="F49"/>
  <c r="F48"/>
  <c r="AE126"/>
  <c r="U120"/>
  <c r="N29"/>
  <c r="O29" s="1"/>
  <c r="N28"/>
  <c r="O28" s="1"/>
  <c r="N14"/>
  <c r="O14" s="1"/>
  <c r="K8"/>
  <c r="K6"/>
  <c r="I44"/>
  <c r="AD122"/>
  <c r="Z122"/>
  <c r="T122"/>
  <c r="AE99"/>
  <c r="AA122"/>
  <c r="S122"/>
  <c r="K12"/>
  <c r="V122"/>
  <c r="U122"/>
  <c r="L34"/>
  <c r="N27"/>
  <c r="O26"/>
  <c r="N15"/>
  <c r="O15" s="1"/>
  <c r="N11"/>
  <c r="I6"/>
  <c r="L17"/>
  <c r="O25"/>
  <c r="K13"/>
  <c r="O8"/>
  <c r="J21" i="6"/>
  <c r="H21"/>
  <c r="E21"/>
  <c r="L21"/>
  <c r="F21"/>
  <c r="K21"/>
  <c r="G21"/>
  <c r="C37" i="5"/>
  <c r="G40"/>
  <c r="G42" s="1"/>
  <c r="H42" l="1"/>
  <c r="C32" i="1"/>
  <c r="D36"/>
  <c r="C34"/>
  <c r="M28" i="7"/>
  <c r="N34"/>
  <c r="M11"/>
  <c r="Y18" s="1"/>
  <c r="L19"/>
  <c r="Y19"/>
  <c r="AE67"/>
  <c r="U85" s="1"/>
  <c r="T85" s="1"/>
  <c r="N17"/>
  <c r="H49" i="2"/>
  <c r="E5" i="9"/>
  <c r="E9" s="1"/>
  <c r="F37" i="5"/>
  <c r="AC73" i="7"/>
  <c r="AE65"/>
  <c r="H35" i="8"/>
  <c r="C35" s="1"/>
  <c r="E4" i="4"/>
  <c r="G4" s="1"/>
  <c r="J11" i="8"/>
  <c r="G27"/>
  <c r="H34" s="1"/>
  <c r="E7" i="4"/>
  <c r="E12"/>
  <c r="E13"/>
  <c r="F53" i="7"/>
  <c r="AF60"/>
  <c r="J53"/>
  <c r="AF24"/>
  <c r="C53"/>
  <c r="AF33"/>
  <c r="AF32"/>
  <c r="AF27"/>
  <c r="S95"/>
  <c r="AA95"/>
  <c r="V95"/>
  <c r="X95"/>
  <c r="AB95"/>
  <c r="Y95"/>
  <c r="U95"/>
  <c r="W95"/>
  <c r="T95"/>
  <c r="Z95"/>
  <c r="AD95"/>
  <c r="AC95"/>
  <c r="V85"/>
  <c r="Y85" s="1"/>
  <c r="AF62"/>
  <c r="AF58"/>
  <c r="AF61"/>
  <c r="AF59"/>
  <c r="AF57"/>
  <c r="AF63"/>
  <c r="M10"/>
  <c r="M31"/>
  <c r="O27"/>
  <c r="O34" s="1"/>
  <c r="I53"/>
  <c r="M17"/>
  <c r="M5"/>
  <c r="L18"/>
  <c r="M6"/>
  <c r="M7"/>
  <c r="M9"/>
  <c r="M16"/>
  <c r="M34"/>
  <c r="M23"/>
  <c r="M22"/>
  <c r="M30"/>
  <c r="M24"/>
  <c r="M33"/>
  <c r="AE87"/>
  <c r="AE120" s="1"/>
  <c r="AF40"/>
  <c r="AF31"/>
  <c r="AF28"/>
  <c r="AF29"/>
  <c r="AF30"/>
  <c r="AF39"/>
  <c r="AF34"/>
  <c r="AF36"/>
  <c r="AF25"/>
  <c r="AF26"/>
  <c r="AF38"/>
  <c r="AF35"/>
  <c r="AF37"/>
  <c r="M25"/>
  <c r="M8"/>
  <c r="M12"/>
  <c r="M13"/>
  <c r="M26"/>
  <c r="M32"/>
  <c r="AF56"/>
  <c r="M15"/>
  <c r="O11"/>
  <c r="O17" s="1"/>
  <c r="M14"/>
  <c r="M27"/>
  <c r="M29"/>
  <c r="D37" i="5"/>
  <c r="E38" s="1"/>
  <c r="AF64" i="7" l="1"/>
  <c r="D38" i="1"/>
  <c r="D39" s="1"/>
  <c r="C36"/>
  <c r="N36" i="7"/>
  <c r="Y7"/>
  <c r="Y6"/>
  <c r="Y5"/>
  <c r="Y15"/>
  <c r="Y8"/>
  <c r="Y10"/>
  <c r="Y9"/>
  <c r="Y11"/>
  <c r="Y14"/>
  <c r="Y12"/>
  <c r="Y110" s="1"/>
  <c r="Y17"/>
  <c r="N18"/>
  <c r="Y13"/>
  <c r="Y81" s="1"/>
  <c r="Y102" s="1"/>
  <c r="Y16"/>
  <c r="Z15"/>
  <c r="Z7"/>
  <c r="Z5"/>
  <c r="Z19"/>
  <c r="Z18"/>
  <c r="Z17"/>
  <c r="Z16"/>
  <c r="Z14"/>
  <c r="Z13"/>
  <c r="Z81" s="1"/>
  <c r="Z12"/>
  <c r="Z11"/>
  <c r="Z10"/>
  <c r="Z9"/>
  <c r="Z8"/>
  <c r="Z6"/>
  <c r="W19"/>
  <c r="W18"/>
  <c r="W17"/>
  <c r="W16"/>
  <c r="W15"/>
  <c r="W14"/>
  <c r="W13"/>
  <c r="W12"/>
  <c r="W11"/>
  <c r="W10"/>
  <c r="W9"/>
  <c r="W8"/>
  <c r="W6"/>
  <c r="W7"/>
  <c r="W5"/>
  <c r="T19"/>
  <c r="T18"/>
  <c r="T17"/>
  <c r="T16"/>
  <c r="T15"/>
  <c r="T14"/>
  <c r="T13"/>
  <c r="T12"/>
  <c r="T11"/>
  <c r="T10"/>
  <c r="T9"/>
  <c r="T8"/>
  <c r="T7"/>
  <c r="T6"/>
  <c r="T5"/>
  <c r="S19"/>
  <c r="S18"/>
  <c r="S17"/>
  <c r="S16"/>
  <c r="S15"/>
  <c r="S14"/>
  <c r="S13"/>
  <c r="S12"/>
  <c r="S11"/>
  <c r="S10"/>
  <c r="S9"/>
  <c r="S8"/>
  <c r="S7"/>
  <c r="S6"/>
  <c r="S5"/>
  <c r="AB15"/>
  <c r="AB7"/>
  <c r="AB5"/>
  <c r="AB19"/>
  <c r="AB18"/>
  <c r="AB17"/>
  <c r="AB16"/>
  <c r="AB14"/>
  <c r="AB13"/>
  <c r="AB81" s="1"/>
  <c r="AB12"/>
  <c r="AB11"/>
  <c r="AB10"/>
  <c r="AB9"/>
  <c r="AB8"/>
  <c r="AB6"/>
  <c r="AC19"/>
  <c r="AC18"/>
  <c r="AC17"/>
  <c r="AC16"/>
  <c r="AC14"/>
  <c r="AC13"/>
  <c r="AC12"/>
  <c r="AC11"/>
  <c r="AC10"/>
  <c r="AC9"/>
  <c r="AC8"/>
  <c r="AC6"/>
  <c r="AC15"/>
  <c r="AC7"/>
  <c r="AC5"/>
  <c r="AA19"/>
  <c r="AA18"/>
  <c r="AA17"/>
  <c r="AA16"/>
  <c r="AA14"/>
  <c r="AA13"/>
  <c r="AA81" s="1"/>
  <c r="AA12"/>
  <c r="AA11"/>
  <c r="AA10"/>
  <c r="AA9"/>
  <c r="AA8"/>
  <c r="AA6"/>
  <c r="AA15"/>
  <c r="AA7"/>
  <c r="AA5"/>
  <c r="V7"/>
  <c r="V5"/>
  <c r="V19"/>
  <c r="V18"/>
  <c r="V17"/>
  <c r="V16"/>
  <c r="V15"/>
  <c r="V14"/>
  <c r="V13"/>
  <c r="V81" s="1"/>
  <c r="V12"/>
  <c r="V11"/>
  <c r="V10"/>
  <c r="V9"/>
  <c r="V8"/>
  <c r="V6"/>
  <c r="AD15"/>
  <c r="AD7"/>
  <c r="AD5"/>
  <c r="AD19"/>
  <c r="AD18"/>
  <c r="AD17"/>
  <c r="AD16"/>
  <c r="AD14"/>
  <c r="AD13"/>
  <c r="AD81" s="1"/>
  <c r="AD12"/>
  <c r="AD11"/>
  <c r="AD10"/>
  <c r="AD9"/>
  <c r="AD8"/>
  <c r="AD6"/>
  <c r="U19"/>
  <c r="U18"/>
  <c r="U17"/>
  <c r="U16"/>
  <c r="U15"/>
  <c r="U14"/>
  <c r="U13"/>
  <c r="U81" s="1"/>
  <c r="U12"/>
  <c r="U11"/>
  <c r="U10"/>
  <c r="U9"/>
  <c r="U8"/>
  <c r="U6"/>
  <c r="U7"/>
  <c r="U5"/>
  <c r="X7"/>
  <c r="X5"/>
  <c r="X19"/>
  <c r="X18"/>
  <c r="X17"/>
  <c r="X16"/>
  <c r="X15"/>
  <c r="X14"/>
  <c r="X13"/>
  <c r="X81" s="1"/>
  <c r="X12"/>
  <c r="X11"/>
  <c r="X10"/>
  <c r="X9"/>
  <c r="X8"/>
  <c r="X6"/>
  <c r="C5" i="9"/>
  <c r="E8"/>
  <c r="G13" i="4"/>
  <c r="W13"/>
  <c r="Y13" s="1"/>
  <c r="G12"/>
  <c r="W12"/>
  <c r="Y12" s="1"/>
  <c r="G7"/>
  <c r="W7"/>
  <c r="Y7" s="1"/>
  <c r="W4"/>
  <c r="F38" i="5"/>
  <c r="C34" i="8"/>
  <c r="K11"/>
  <c r="L19"/>
  <c r="E31" i="4"/>
  <c r="H31" s="1"/>
  <c r="H34" s="1"/>
  <c r="L25" i="8"/>
  <c r="L16"/>
  <c r="L22"/>
  <c r="L11"/>
  <c r="L20"/>
  <c r="L21"/>
  <c r="L12"/>
  <c r="L23"/>
  <c r="L24"/>
  <c r="L13"/>
  <c r="L26"/>
  <c r="L18"/>
  <c r="L15"/>
  <c r="L17"/>
  <c r="L14"/>
  <c r="G29"/>
  <c r="E19" i="4"/>
  <c r="E20" s="1"/>
  <c r="H30" i="6"/>
  <c r="W85" i="7"/>
  <c r="D38" i="5"/>
  <c r="J38" i="6"/>
  <c r="J39" s="1"/>
  <c r="L36"/>
  <c r="L38" s="1"/>
  <c r="L39" s="1"/>
  <c r="O36" i="7"/>
  <c r="O18"/>
  <c r="AC81"/>
  <c r="W81"/>
  <c r="T81"/>
  <c r="Y115"/>
  <c r="AE90"/>
  <c r="W19" i="4" l="1"/>
  <c r="I78" i="8" s="1"/>
  <c r="AD72" i="7"/>
  <c r="D7" i="9"/>
  <c r="C38" i="1"/>
  <c r="Y20" i="7"/>
  <c r="G19" i="4"/>
  <c r="G20" s="1"/>
  <c r="W20" i="7"/>
  <c r="W79" s="1"/>
  <c r="W82" s="1"/>
  <c r="AC20"/>
  <c r="AC79" s="1"/>
  <c r="AC82" s="1"/>
  <c r="V20"/>
  <c r="V79" s="1"/>
  <c r="V82" s="1"/>
  <c r="J19" i="8"/>
  <c r="K19" s="1"/>
  <c r="J23"/>
  <c r="K23" s="1"/>
  <c r="J26"/>
  <c r="K26" s="1"/>
  <c r="J14"/>
  <c r="K14" s="1"/>
  <c r="J17"/>
  <c r="K17" s="1"/>
  <c r="J21"/>
  <c r="K21" s="1"/>
  <c r="J25"/>
  <c r="K25" s="1"/>
  <c r="J15"/>
  <c r="K15" s="1"/>
  <c r="J20"/>
  <c r="K20" s="1"/>
  <c r="J24"/>
  <c r="K24" s="1"/>
  <c r="J13"/>
  <c r="K13" s="1"/>
  <c r="J16"/>
  <c r="K16" s="1"/>
  <c r="J18"/>
  <c r="K18" s="1"/>
  <c r="J22"/>
  <c r="K22" s="1"/>
  <c r="Y4" i="4"/>
  <c r="Y19" s="1"/>
  <c r="Y20" s="1"/>
  <c r="E34"/>
  <c r="H35" s="1"/>
  <c r="L27" i="8"/>
  <c r="Z85" i="7"/>
  <c r="AA85" s="1"/>
  <c r="I40" i="6"/>
  <c r="K40"/>
  <c r="J40"/>
  <c r="AD115" i="7"/>
  <c r="AD110"/>
  <c r="Z102"/>
  <c r="V115"/>
  <c r="V110"/>
  <c r="AB102"/>
  <c r="Y79"/>
  <c r="Y82" s="1"/>
  <c r="AE5"/>
  <c r="S20"/>
  <c r="S115"/>
  <c r="S110"/>
  <c r="AE12"/>
  <c r="T102"/>
  <c r="W115"/>
  <c r="W110"/>
  <c r="AA102"/>
  <c r="AC115"/>
  <c r="AC110"/>
  <c r="AE16"/>
  <c r="AE19"/>
  <c r="AE7"/>
  <c r="AE10"/>
  <c r="AE14"/>
  <c r="AE18"/>
  <c r="X115"/>
  <c r="X110"/>
  <c r="U102"/>
  <c r="X102"/>
  <c r="U115"/>
  <c r="U110"/>
  <c r="AD102"/>
  <c r="Z115"/>
  <c r="Z110"/>
  <c r="V102"/>
  <c r="AB115"/>
  <c r="AB110"/>
  <c r="S81"/>
  <c r="AE13"/>
  <c r="T115"/>
  <c r="T110"/>
  <c r="W102"/>
  <c r="AA115"/>
  <c r="AA110"/>
  <c r="AC102"/>
  <c r="X20"/>
  <c r="AD20"/>
  <c r="U20"/>
  <c r="Z20"/>
  <c r="AB20"/>
  <c r="AE8"/>
  <c r="AE17"/>
  <c r="AE6"/>
  <c r="AE9"/>
  <c r="AE11"/>
  <c r="AE15"/>
  <c r="T20"/>
  <c r="AA20"/>
  <c r="D9" i="9" l="1"/>
  <c r="D8"/>
  <c r="AD73" i="7"/>
  <c r="AE72"/>
  <c r="AE73" s="1"/>
  <c r="C7" i="9"/>
  <c r="C9" s="1"/>
  <c r="W111" i="7"/>
  <c r="AC111"/>
  <c r="F27" i="8"/>
  <c r="J12"/>
  <c r="T79" i="7"/>
  <c r="T82" s="1"/>
  <c r="Z79"/>
  <c r="Z82" s="1"/>
  <c r="AD79"/>
  <c r="AD82" s="1"/>
  <c r="AE81"/>
  <c r="AE110"/>
  <c r="AE20"/>
  <c r="AA79"/>
  <c r="AA82" s="1"/>
  <c r="AB22"/>
  <c r="AB79"/>
  <c r="AB82" s="1"/>
  <c r="U79"/>
  <c r="U82" s="1"/>
  <c r="V22"/>
  <c r="X79"/>
  <c r="X82" s="1"/>
  <c r="S102"/>
  <c r="S79"/>
  <c r="S82" s="1"/>
  <c r="T22"/>
  <c r="AE115"/>
  <c r="Z22"/>
  <c r="Y111"/>
  <c r="AD22"/>
  <c r="X22"/>
  <c r="V111"/>
  <c r="C8" i="9" l="1"/>
  <c r="S111" i="7"/>
  <c r="AB111"/>
  <c r="AA21"/>
  <c r="AF17"/>
  <c r="AF10"/>
  <c r="AF7"/>
  <c r="S21"/>
  <c r="X21"/>
  <c r="AF19"/>
  <c r="AF18"/>
  <c r="AF15"/>
  <c r="Z111"/>
  <c r="AF6"/>
  <c r="AD111"/>
  <c r="U111"/>
  <c r="AA111"/>
  <c r="K12" i="8"/>
  <c r="J27"/>
  <c r="T111" i="7"/>
  <c r="AE79"/>
  <c r="AE111" s="1"/>
  <c r="AE21"/>
  <c r="AF4"/>
  <c r="AE95"/>
  <c r="Y21"/>
  <c r="W21"/>
  <c r="AC21"/>
  <c r="V21"/>
  <c r="AF12"/>
  <c r="AF13"/>
  <c r="AD21"/>
  <c r="T21"/>
  <c r="AE102"/>
  <c r="X111"/>
  <c r="AF9"/>
  <c r="AF16"/>
  <c r="AF14"/>
  <c r="AF8"/>
  <c r="AF11"/>
  <c r="AE22"/>
  <c r="U21"/>
  <c r="AB21"/>
  <c r="AF5"/>
  <c r="Z21"/>
  <c r="U51" l="1"/>
  <c r="U50"/>
  <c r="U49"/>
  <c r="U47"/>
  <c r="U46"/>
  <c r="U45"/>
  <c r="AD51"/>
  <c r="AD50"/>
  <c r="AD49"/>
  <c r="AD47"/>
  <c r="AD46"/>
  <c r="AD45"/>
  <c r="AC51"/>
  <c r="AC50"/>
  <c r="AC49"/>
  <c r="AC47"/>
  <c r="AC46"/>
  <c r="AC45"/>
  <c r="Y51"/>
  <c r="Y50"/>
  <c r="Y49"/>
  <c r="Y47"/>
  <c r="Y46"/>
  <c r="Y45"/>
  <c r="S51"/>
  <c r="S50"/>
  <c r="S49"/>
  <c r="S47"/>
  <c r="S46"/>
  <c r="S45"/>
  <c r="Z51"/>
  <c r="Z50"/>
  <c r="Z49"/>
  <c r="Z47"/>
  <c r="Z46"/>
  <c r="Z45"/>
  <c r="AB51"/>
  <c r="AB50"/>
  <c r="AB49"/>
  <c r="AB47"/>
  <c r="AB46"/>
  <c r="AB45"/>
  <c r="T51"/>
  <c r="T50"/>
  <c r="T49"/>
  <c r="T47"/>
  <c r="T46"/>
  <c r="T45"/>
  <c r="V51"/>
  <c r="V50"/>
  <c r="V49"/>
  <c r="V47"/>
  <c r="V46"/>
  <c r="V45"/>
  <c r="W51"/>
  <c r="W50"/>
  <c r="W49"/>
  <c r="W47"/>
  <c r="W46"/>
  <c r="W45"/>
  <c r="X51"/>
  <c r="X50"/>
  <c r="X49"/>
  <c r="X47"/>
  <c r="X46"/>
  <c r="X45"/>
  <c r="AA51"/>
  <c r="AA50"/>
  <c r="AA49"/>
  <c r="AA47"/>
  <c r="AA46"/>
  <c r="AA45"/>
  <c r="AA44" s="1"/>
  <c r="AE82"/>
  <c r="AF20"/>
  <c r="AA48" l="1"/>
  <c r="AA52" s="1"/>
  <c r="AA53" s="1"/>
  <c r="X48"/>
  <c r="W48"/>
  <c r="V48"/>
  <c r="T48"/>
  <c r="AB48"/>
  <c r="Z48"/>
  <c r="S48"/>
  <c r="Y48"/>
  <c r="AC48"/>
  <c r="AD48"/>
  <c r="U48"/>
  <c r="S44"/>
  <c r="X44"/>
  <c r="X52" s="1"/>
  <c r="X53" s="1"/>
  <c r="AE47"/>
  <c r="AE49"/>
  <c r="AE51"/>
  <c r="U44"/>
  <c r="AE46"/>
  <c r="Y44"/>
  <c r="AE50"/>
  <c r="AC44"/>
  <c r="AD44"/>
  <c r="AD52" s="1"/>
  <c r="AD53" s="1"/>
  <c r="AB44"/>
  <c r="AB52" s="1"/>
  <c r="AB53" s="1"/>
  <c r="AE45"/>
  <c r="W44"/>
  <c r="V44"/>
  <c r="T44"/>
  <c r="Z44"/>
  <c r="Z52" s="1"/>
  <c r="Z53" s="1"/>
  <c r="V52" l="1"/>
  <c r="V53" s="1"/>
  <c r="T52"/>
  <c r="T53" s="1"/>
  <c r="W52"/>
  <c r="W53" s="1"/>
  <c r="Y52"/>
  <c r="Y53" s="1"/>
  <c r="AC52"/>
  <c r="AC53" s="1"/>
  <c r="U52"/>
  <c r="U53" s="1"/>
  <c r="AA54"/>
  <c r="S52"/>
  <c r="S53" s="1"/>
  <c r="X54"/>
  <c r="AE44"/>
  <c r="AE48"/>
  <c r="Y54"/>
  <c r="AB54"/>
  <c r="Z54"/>
  <c r="V54"/>
  <c r="T54" l="1"/>
  <c r="W54"/>
  <c r="U54"/>
  <c r="S54"/>
  <c r="AE52"/>
  <c r="AC54"/>
  <c r="AD54"/>
  <c r="AE53" l="1"/>
  <c r="AE54"/>
</calcChain>
</file>

<file path=xl/sharedStrings.xml><?xml version="1.0" encoding="utf-8"?>
<sst xmlns="http://schemas.openxmlformats.org/spreadsheetml/2006/main" count="3013" uniqueCount="1672">
  <si>
    <t>Lei Complementar Federal Nº 101/2000 - Inciso I do Artigo 53</t>
  </si>
  <si>
    <t>DEMONSTRATIVO DA RECEITA CORRENTE LÍQUIDA</t>
  </si>
  <si>
    <t>I - RECEITAS CORRENTES</t>
  </si>
  <si>
    <t>Receitas Correntes</t>
  </si>
  <si>
    <t>(R)  Deduções das Receitas Correntes</t>
  </si>
  <si>
    <t>II - DEDUÇÕES</t>
  </si>
  <si>
    <t>Contribuições para Custeio dos Sistemas Previdenciário e Assistencial</t>
  </si>
  <si>
    <t>Contribuições Sociais Específicas de Estados, DF e Municípios</t>
  </si>
  <si>
    <t>Compensação Previdenciária ao RPPS</t>
  </si>
  <si>
    <t>Receitas do RPPS - Remuneração e Outras Receitas</t>
  </si>
  <si>
    <t>TOTAIS:</t>
  </si>
  <si>
    <t>Período:</t>
  </si>
  <si>
    <t>Receitas do Fundo de Assistência Social Social dos Servidores</t>
  </si>
  <si>
    <t>Remuneração de Depósitos Bancários de Recursos Vinculados - Fundo de Assistência Social</t>
  </si>
  <si>
    <t>Receitas Diretamente Arrecadadas pelo Fundo de Assistência Social dos Servidores</t>
  </si>
  <si>
    <t>Receitas do Fundo de Assistência à Saúde do Servidor</t>
  </si>
  <si>
    <t>Outras Contribuições Sociais (1)</t>
  </si>
  <si>
    <t>( - ) Contribuição dos Inativos e Pensionistas à Prefeitura Municipal</t>
  </si>
  <si>
    <t>( R ) Todas as contas dedutoras de receita correspondentes às utilizadas acima</t>
  </si>
  <si>
    <t>III - SUBTOTAL (III = I - II)</t>
  </si>
  <si>
    <t>IV - ( + ) Perda para o FUNDEB</t>
  </si>
  <si>
    <t>V - RECEITA CORRENTE LÍQUIDA (V = III + V)</t>
  </si>
  <si>
    <t>VI - Valor das Emendas Parlamentares de Individuais</t>
  </si>
  <si>
    <t>VIII - Valor das Emendas Parlamentares de Bancada</t>
  </si>
  <si>
    <t>IX - RECEITA CORRENTE LIQUIDA (Despesas com Pessoal) (IX = VII - VIII)</t>
  </si>
  <si>
    <t>( 1 ) A Natureza de Receita 1.2.9.99.1.0.00.00.00 - Demais Contribuições Socias deverá ser detalhada conforme a necessidade do Orgão para a contabilização das contribuições para Fundos de Assitência Médica dos Servidores Municipais.</t>
  </si>
  <si>
    <t>1.2.1.8.00.0.0.00.00.00</t>
  </si>
  <si>
    <t>1.3.2.1.00.4.0.00.00.00</t>
  </si>
  <si>
    <t>1.9.9.0.99.1.X.01.00.00</t>
  </si>
  <si>
    <t>1.9.9.0.99.1.X.02.00.00</t>
  </si>
  <si>
    <t>1.9.9.0.99.1.X.03.00.00</t>
  </si>
  <si>
    <t>1.2.1.9.00.0.0.00.00.00</t>
  </si>
  <si>
    <t>(1.2.1.9.99.1.X.02.00.00)</t>
  </si>
  <si>
    <t>(1.2.1.9.99.1.X.01.00.00)</t>
  </si>
  <si>
    <t>12º Mês</t>
  </si>
  <si>
    <t>11º mês</t>
  </si>
  <si>
    <t>10º Mês</t>
  </si>
  <si>
    <t>9º Mês</t>
  </si>
  <si>
    <t>8º Mês</t>
  </si>
  <si>
    <t>7º Mês</t>
  </si>
  <si>
    <t>Discriminação</t>
  </si>
  <si>
    <t>Códificação:</t>
  </si>
  <si>
    <t>1.0.0.0.0.00.00.00</t>
  </si>
  <si>
    <t>9.1.0.0.0.00.0.0.00.00.00.00</t>
  </si>
  <si>
    <t>Modelo 2 - Demonstrativo da Despesa com Pessoal</t>
  </si>
  <si>
    <t>Lei Complementar Federal nº 101/2000, artigo 54 e alínea "a" do inciso I do artigo 55</t>
  </si>
  <si>
    <t>Despesa Líquidada</t>
  </si>
  <si>
    <t>I - NATUREZA DE DESPESA</t>
  </si>
  <si>
    <t>Pessoal e encargos sociais</t>
  </si>
  <si>
    <t>Outras Despesas de Pessoal de Contratos de Terceirização - Substituição de mão de obra (art. 18, § 1º da LRF)</t>
  </si>
  <si>
    <t>Pensões do RPPS e do Militar (com Recursos do RPPS)</t>
  </si>
  <si>
    <t>Despesas de Exercícios Anteriores</t>
  </si>
  <si>
    <t>Indenizações e Restituições Trabalhistas</t>
  </si>
  <si>
    <t>III - TOTAL DAS NATUREZAS DE DESPESA (I - II)</t>
  </si>
  <si>
    <t>Recursos para cobertura de Insuficências Financeiras</t>
  </si>
  <si>
    <t>Recursos para cobertura de Déficit Financeiro</t>
  </si>
  <si>
    <t>Cálculo Despesa c/ Pessoal 1º e 2º Quadrimestre/1º Semestre: Emp. Não Liquidados</t>
  </si>
  <si>
    <t>Cálculo Despesa c/ Pessoal 3º Quadrimestre/2º Semestre: Restos a Pagar Não Processados</t>
  </si>
  <si>
    <t>V - TOTAL DOS EMPENHOS NÃO LÍQUIDADOS - RESTOS A PAGAR NÃO PROCESSADOS</t>
  </si>
  <si>
    <t>Informação da Execução do Consórcio p/ consolidação - maio a Dez</t>
  </si>
  <si>
    <t>Informação da Execução do Consórcio p/ consolidação - Exercício atual - 1º Bimestre</t>
  </si>
  <si>
    <t>8.5.3.2.4.01.01</t>
  </si>
  <si>
    <t>8.5.3.2.4.02.01</t>
  </si>
  <si>
    <t>Informação da Execução do Consórcio p/ consolidação - Exercício atual - 2º Bimestre</t>
  </si>
  <si>
    <t>8.5.3.2.4.02.02</t>
  </si>
  <si>
    <t>Contas Aplicáveis ao 1º Quadrimestre (1)</t>
  </si>
  <si>
    <t>Contas Aplicáveis ao 1º Semestre (1)</t>
  </si>
  <si>
    <t>Informação da Execução do Consórcio p/ consolidação - julho a Dez</t>
  </si>
  <si>
    <t>8.5.3.2.4.01.02</t>
  </si>
  <si>
    <t>Informação da Execução do Consórcio p/ consolidação - Exercício atual - 3º Bimestre</t>
  </si>
  <si>
    <t>8.5.3.2.4.02.03</t>
  </si>
  <si>
    <t>Informação da Execução do Consórcio p/ consolidação - Setembro a Dez</t>
  </si>
  <si>
    <t>8.5.3.2.4.01.03</t>
  </si>
  <si>
    <t>8.5.3.2.4.02.04</t>
  </si>
  <si>
    <t>Informação da Execução do Consórcio p/ consolidação - Exercício atual - 4º Bimestre</t>
  </si>
  <si>
    <t>Informação da Execução do Consórcio p/ consolidação - Exercício atual - 5º Bimestre</t>
  </si>
  <si>
    <t>8.5.3.2.4.02.05</t>
  </si>
  <si>
    <t>Informação da Execução do Consórcio p/ consolidação - Exercício atual - 6º Bimestre</t>
  </si>
  <si>
    <t>8.5.3.2.4.02.06</t>
  </si>
  <si>
    <t>VI - TOTAL DAS CONTAS CONTÁBEIS DE CPONTROLE</t>
  </si>
  <si>
    <t>Codificação:</t>
  </si>
  <si>
    <t>Cálculo das contas das naturezas de despesas de pessoal dos Itens I e II</t>
  </si>
  <si>
    <t>IV - TOTAL DAS CONTAS PATRIMONIAIS</t>
  </si>
  <si>
    <t>6º Mês</t>
  </si>
  <si>
    <t>5º Mês</t>
  </si>
  <si>
    <t>4º Mês</t>
  </si>
  <si>
    <t>3º Mês</t>
  </si>
  <si>
    <t>2º Mês</t>
  </si>
  <si>
    <t>1º Mês</t>
  </si>
  <si>
    <t>Total dos últimos</t>
  </si>
  <si>
    <t>12 meses</t>
  </si>
  <si>
    <t>VII - TOTAL DA DESPESA COM PESSOAL ATIVO / INATIVO DA ENTIDADE VII = (III + IV + V - VI)</t>
  </si>
  <si>
    <t>Detalhamento:</t>
  </si>
  <si>
    <t>3.1.9.0.94</t>
  </si>
  <si>
    <t>Aposentadoria do RPPS, Reserva Remunerada e Reformas dos Militares (com recursos do RPPS)</t>
  </si>
  <si>
    <t>Giovani Amestoy da Silva</t>
  </si>
  <si>
    <t>Ihoko Nakashima Mota</t>
  </si>
  <si>
    <t>Arlei Lopes Souza</t>
  </si>
  <si>
    <t>Prefeito Municipal</t>
  </si>
  <si>
    <t>Secret. de Município da Fazenda</t>
  </si>
  <si>
    <t>Contador - CRC/RS: 068452/O-6</t>
  </si>
  <si>
    <t>3.1.90.01</t>
  </si>
  <si>
    <t>3.1.90.03</t>
  </si>
  <si>
    <t>3.1.90.92</t>
  </si>
  <si>
    <t>3.5.1.3.2.01.01</t>
  </si>
  <si>
    <t>3.5.1.3.2.02.01</t>
  </si>
  <si>
    <t>3.1.00.00.00.00</t>
  </si>
  <si>
    <t>3.3.XX.34.01.00</t>
  </si>
  <si>
    <t>Aliquotas vigentes em 2021 do FAPS/RPPS</t>
  </si>
  <si>
    <t>ENTE</t>
  </si>
  <si>
    <t>SEGURADO</t>
  </si>
  <si>
    <t>Normal</t>
  </si>
  <si>
    <t>Média dos Segurados</t>
  </si>
  <si>
    <t>Janeiro</t>
  </si>
  <si>
    <t>Fevereiro</t>
  </si>
  <si>
    <t>Março</t>
  </si>
  <si>
    <t>Abril</t>
  </si>
  <si>
    <t>7.9.9.0.01.1.1</t>
  </si>
  <si>
    <t>7.9.9.0.01.1.3</t>
  </si>
  <si>
    <t>(- )</t>
  </si>
  <si>
    <t>Valor do déficit para cobertura do Passivo Atuarial:</t>
  </si>
  <si>
    <t>( = )</t>
  </si>
  <si>
    <t>Rendimentos Líquidos Auferidos do Período:</t>
  </si>
  <si>
    <t>Saldo dos Valores Aplicados:</t>
  </si>
  <si>
    <t>Percentual dos Rendimentos em relação ao Saldo:</t>
  </si>
  <si>
    <t>Seq.</t>
  </si>
  <si>
    <t>ÓRGÃOS</t>
  </si>
  <si>
    <t>Dotações:</t>
  </si>
  <si>
    <t>Liquidado</t>
  </si>
  <si>
    <t>Câmara</t>
  </si>
  <si>
    <t>Gabinete</t>
  </si>
  <si>
    <t>SGM</t>
  </si>
  <si>
    <t>SMCP</t>
  </si>
  <si>
    <t>SMA</t>
  </si>
  <si>
    <t>SMF</t>
  </si>
  <si>
    <t>SMTur</t>
  </si>
  <si>
    <t>SMTSUI</t>
  </si>
  <si>
    <t>SEDUC</t>
  </si>
  <si>
    <t>SMSMA</t>
  </si>
  <si>
    <t>SMAS</t>
  </si>
  <si>
    <t>SMAIC</t>
  </si>
  <si>
    <t>Encargos</t>
  </si>
  <si>
    <t>FAPS</t>
  </si>
  <si>
    <t>FASM</t>
  </si>
  <si>
    <t>A Pagar</t>
  </si>
  <si>
    <t>Pref.</t>
  </si>
  <si>
    <t>Total:</t>
  </si>
  <si>
    <t>Data Base:</t>
  </si>
  <si>
    <t>09 SECRETARIA DE MUNIC. DA EDUCACAO</t>
  </si>
  <si>
    <t>09.01 ENSINO FUNDAMENTAL</t>
  </si>
  <si>
    <t>09.02 ENSINO INFANTIL PRE-ESCOLA</t>
  </si>
  <si>
    <t>09.03 ENSINO INFANTIL - CRECHE</t>
  </si>
  <si>
    <t>09.05 ENSINO ESPECIAL</t>
  </si>
  <si>
    <t>09.07 ENSINO JOVENS E ADULTOS - EJA</t>
  </si>
  <si>
    <t>2.021 - 367</t>
  </si>
  <si>
    <t>Atividades:</t>
  </si>
  <si>
    <t>Emp</t>
  </si>
  <si>
    <t>Líq</t>
  </si>
  <si>
    <t>Pgtos</t>
  </si>
  <si>
    <t>Saldo Dotações:</t>
  </si>
  <si>
    <t>SubTotais:01</t>
  </si>
  <si>
    <t>SubTotais: 03</t>
  </si>
  <si>
    <t>60% FUNDEB</t>
  </si>
  <si>
    <t>40% FUNDEB:</t>
  </si>
  <si>
    <t>SubTotais:02</t>
  </si>
  <si>
    <t>SubTotais: 04</t>
  </si>
  <si>
    <t>Descrição:</t>
  </si>
  <si>
    <t>Matrículas</t>
  </si>
  <si>
    <t>Proporção</t>
  </si>
  <si>
    <t>MDE e FUNDEB</t>
  </si>
  <si>
    <t>FUNDEB: Liquidada</t>
  </si>
  <si>
    <t>MDE+Livre: Liquidada</t>
  </si>
  <si>
    <t>Fundamental</t>
  </si>
  <si>
    <t>Fundeb:</t>
  </si>
  <si>
    <t>Pré</t>
  </si>
  <si>
    <t>MDE:</t>
  </si>
  <si>
    <t>Creche</t>
  </si>
  <si>
    <t>Total Geral:</t>
  </si>
  <si>
    <t>EJA</t>
  </si>
  <si>
    <t>Especial</t>
  </si>
  <si>
    <t>Fonte SIOPE</t>
  </si>
  <si>
    <t>Despesa Liquidada:</t>
  </si>
  <si>
    <t>Percentual s/ Total</t>
  </si>
  <si>
    <t>Repasses FUNDEB</t>
  </si>
  <si>
    <t>Total Liquidado do FUNDEB:</t>
  </si>
  <si>
    <t>CALCULO DOS PERCENTUAIS MÍNIMOS LEGAIS</t>
  </si>
  <si>
    <t>PERÍODO:</t>
  </si>
  <si>
    <t>Artigos 198 e 212 da CF/88 e E/C nº 29</t>
  </si>
  <si>
    <t>Análise Horizontal das Receitas em relação ao montante arrecadado no mês em uma previsão de arrecadação de um doze avos ao mês.</t>
  </si>
  <si>
    <t>Os valores na coluna "Excesso" entre parenteses significa que foi arrecado valor maior que um doze avos ao mês na Receita Realizada.</t>
  </si>
  <si>
    <t>1. NÍVEIS:</t>
  </si>
  <si>
    <t>2. RECEITAS</t>
  </si>
  <si>
    <t>3. PREVISTO</t>
  </si>
  <si>
    <t>4. Realizado:</t>
  </si>
  <si>
    <t>LIVRE: 60% Excesso/Déficit</t>
  </si>
  <si>
    <t>MDE:25%/5%  Excesso/Déficit</t>
  </si>
  <si>
    <t>FUNDEB 20% Excesso/Déficit</t>
  </si>
  <si>
    <t>ASPS: 15%</t>
  </si>
  <si>
    <t>Excesso/Déficit</t>
  </si>
  <si>
    <t>1.1.1.3.03.1</t>
  </si>
  <si>
    <t>IRRF</t>
  </si>
  <si>
    <t>1.1.1.8.01.1</t>
  </si>
  <si>
    <t>IPTU</t>
  </si>
  <si>
    <t>1.1.1.8.01.4</t>
  </si>
  <si>
    <t>ITBI</t>
  </si>
  <si>
    <t>1.1.1.8.02.3</t>
  </si>
  <si>
    <t>ISQN</t>
  </si>
  <si>
    <t>1.7.1.8.01.2</t>
  </si>
  <si>
    <t>FPM</t>
  </si>
  <si>
    <t>1.7.1.8.01.3</t>
  </si>
  <si>
    <t>1% FPM</t>
  </si>
  <si>
    <t>1.7.1.8.01.4</t>
  </si>
  <si>
    <t>1.7.1.8.01.5.1</t>
  </si>
  <si>
    <t>ITR</t>
  </si>
  <si>
    <t>1.7.1.8.06.1.1</t>
  </si>
  <si>
    <t>L.C. No 87/96</t>
  </si>
  <si>
    <t>1.7.2.8.01.1.1</t>
  </si>
  <si>
    <t>ICMS</t>
  </si>
  <si>
    <t>1.7.2.8.01.2.1</t>
  </si>
  <si>
    <t>IPVA</t>
  </si>
  <si>
    <t>1.7.2.8.01.3.1</t>
  </si>
  <si>
    <t>IPI Exp.</t>
  </si>
  <si>
    <t>1.7.5.8.01.1.1</t>
  </si>
  <si>
    <t>FUNDEB</t>
  </si>
  <si>
    <t>Percentual da Receita Realizada em relação a Prevista:</t>
  </si>
  <si>
    <t>Verificação:</t>
  </si>
  <si>
    <t>Cálculo:</t>
  </si>
  <si>
    <t>RECURSOS:</t>
  </si>
  <si>
    <t>ASPS</t>
  </si>
  <si>
    <t>LIVRE</t>
  </si>
  <si>
    <t>% da Despesa liquidada sobre a Receita realizada do FUNDEB</t>
  </si>
  <si>
    <t>Total da MDE</t>
  </si>
  <si>
    <t>DESPESA</t>
  </si>
  <si>
    <t>(-) Plus Fundeb</t>
  </si>
  <si>
    <t>MDE</t>
  </si>
  <si>
    <t>(-)Rend. da MDE</t>
  </si>
  <si>
    <t>( - ) 3.1.91.13.20</t>
  </si>
  <si>
    <t>EMPENHADO</t>
  </si>
  <si>
    <t>(-)Rend. do FUNDEB</t>
  </si>
  <si>
    <t>( - ) 3.3.91.08</t>
  </si>
  <si>
    <t>LIQUIDADO</t>
  </si>
  <si>
    <t>( - ) Rendimento</t>
  </si>
  <si>
    <t>PAGO</t>
  </si>
  <si>
    <t>Valor a aplicado</t>
  </si>
  <si>
    <t>( = ) TOTAIS:</t>
  </si>
  <si>
    <t>% Emp.</t>
  </si>
  <si>
    <t>% da Educação</t>
  </si>
  <si>
    <t>índice Apurado:</t>
  </si>
  <si>
    <t>% Liq. + Rep</t>
  </si>
  <si>
    <t>APLICAÇÃO:</t>
  </si>
  <si>
    <t>%pago</t>
  </si>
  <si>
    <t>TOTAIS</t>
  </si>
  <si>
    <t>a Liquidar</t>
  </si>
  <si>
    <t>a Pagar</t>
  </si>
  <si>
    <t>RENDIM.:</t>
  </si>
  <si>
    <t>( - ) Plus do FUNDEB</t>
  </si>
  <si>
    <t>Índice Apurado:</t>
  </si>
  <si>
    <t>Cronograma</t>
  </si>
  <si>
    <t>RECEITA CONSOLIDADA REALIZADA</t>
  </si>
  <si>
    <t>PREVISTO</t>
  </si>
  <si>
    <t>REESTIMADA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</si>
  <si>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</si>
  <si>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</si>
  <si>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</si>
  <si>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</si>
  <si>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</si>
  <si>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</si>
  <si>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</si>
  <si>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</si>
  <si>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</si>
  <si>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</si>
  <si>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</si>
  <si>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</si>
  <si>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</t>
  </si>
  <si>
    <t>MESES</t>
  </si>
  <si>
    <t>%</t>
  </si>
  <si>
    <t>Maio</t>
  </si>
  <si>
    <t>Junho</t>
  </si>
  <si>
    <t>Julho</t>
  </si>
  <si>
    <t>Agosto</t>
  </si>
  <si>
    <t>Setembro</t>
  </si>
  <si>
    <t>SMS</t>
  </si>
  <si>
    <t>Outubro</t>
  </si>
  <si>
    <t>Novembro</t>
  </si>
  <si>
    <t>Dezembro</t>
  </si>
  <si>
    <t>Reserva</t>
  </si>
  <si>
    <t>% em relação ao ano anterior</t>
  </si>
  <si>
    <t>DESPESA CONSOLIDA LIQUIDADA</t>
  </si>
  <si>
    <t>=</t>
  </si>
  <si>
    <t>% ao mês</t>
  </si>
  <si>
    <t>Total por Bimestre</t>
  </si>
  <si>
    <t>1º Bimestre</t>
  </si>
  <si>
    <t>2º Bimestre</t>
  </si>
  <si>
    <t>3º Bimestre</t>
  </si>
  <si>
    <t>4º Bimestre</t>
  </si>
  <si>
    <t>5º Bimestre</t>
  </si>
  <si>
    <t>6º Bimestre</t>
  </si>
  <si>
    <t>Superávit</t>
  </si>
  <si>
    <t>A Vertic</t>
  </si>
  <si>
    <t>DIFERENÇA</t>
  </si>
  <si>
    <t>SUPERÁVIT/DÉFICIT</t>
  </si>
  <si>
    <t>REALIZADA</t>
  </si>
  <si>
    <t>RECEITA</t>
  </si>
  <si>
    <t>EXECUTADA</t>
  </si>
  <si>
    <t>AO MÊS</t>
  </si>
  <si>
    <t>CRONOGRAMA DA DESPESA POR CATEGORIA</t>
  </si>
  <si>
    <t>3.</t>
  </si>
  <si>
    <t>DESPESA CORRENTE</t>
  </si>
  <si>
    <t>3.1.</t>
  </si>
  <si>
    <t>Vencimento e Encargos</t>
  </si>
  <si>
    <t>3.2.</t>
  </si>
  <si>
    <t>Juros e Encargo Dív.</t>
  </si>
  <si>
    <t>3.3.</t>
  </si>
  <si>
    <t>Outras Desp. Corrente</t>
  </si>
  <si>
    <t>4.</t>
  </si>
  <si>
    <t>DESPESA DE CAPITAL</t>
  </si>
  <si>
    <t>4.4.</t>
  </si>
  <si>
    <t>Investimentos</t>
  </si>
  <si>
    <t>4.5.</t>
  </si>
  <si>
    <t>Inversões Financeira</t>
  </si>
  <si>
    <t>4.6.</t>
  </si>
  <si>
    <t>Amortização da Dívida</t>
  </si>
  <si>
    <t>TOTAL DA DESPESA FIXADA</t>
  </si>
  <si>
    <t>9.9.</t>
  </si>
  <si>
    <t>Reserva de Contigência</t>
  </si>
  <si>
    <t>TOTAL GERAL PREVISTO</t>
  </si>
  <si>
    <t>+/-</t>
  </si>
  <si>
    <t>SOBRE A DESPESA LIQUIDADA.</t>
  </si>
  <si>
    <t>Restos a Pagar Processados de Exercícios Anteriores Pagos:</t>
  </si>
  <si>
    <t>a Pagar:</t>
  </si>
  <si>
    <t>Restos a Pagar Não Processados de Exercícios Anteriores Pagos:</t>
  </si>
  <si>
    <t>Totais:</t>
  </si>
  <si>
    <t>Total da Despesa Liquidada:</t>
  </si>
  <si>
    <r>
      <t>Nota:</t>
    </r>
    <r>
      <rPr>
        <sz val="6"/>
        <rFont val="Arial"/>
        <family val="2"/>
      </rPr>
      <t xml:space="preserve"> + Despesa não Liquidada:</t>
    </r>
  </si>
  <si>
    <t>Total da DespesaEmpenhada:</t>
  </si>
  <si>
    <t>EVOLUÇÃO DOS SALDOS DOS RESTOS A PAGAR DO PERÍODO:</t>
  </si>
  <si>
    <t>Ano: 2020</t>
  </si>
  <si>
    <t xml:space="preserve"> Janeiro</t>
  </si>
  <si>
    <t>Ano</t>
  </si>
  <si>
    <t>% da DC s/ RC:</t>
  </si>
  <si>
    <t>SECRETARIA MUNICIPAL DA SAÚDE E MEIO AMBIENTE - SMSMA</t>
  </si>
  <si>
    <t>COMPARATIVO DA DESPESA PREVISTA CONSOLIDADA COM A DESPESA PREVISTA PARA A SAÚDE</t>
  </si>
  <si>
    <t>PREVISTO:</t>
  </si>
  <si>
    <t>I</t>
  </si>
  <si>
    <t>% s/ Consolidado</t>
  </si>
  <si>
    <t>Bal. Orçamentário</t>
  </si>
  <si>
    <t>Créditos Orçam.</t>
  </si>
  <si>
    <t>Disponib. Dotaç.</t>
  </si>
  <si>
    <t>Empenhado</t>
  </si>
  <si>
    <t>A Liquidar</t>
  </si>
  <si>
    <t>Pago</t>
  </si>
  <si>
    <t>Pgtos a EFetuar</t>
  </si>
  <si>
    <t>Balcte Orçam.:</t>
  </si>
  <si>
    <t>Valores:</t>
  </si>
  <si>
    <t>COMPARATIVO DA DESPESA REALIZADA CONSOLIDADA COM A DESPESA REALIZADA NA SAÚDE</t>
  </si>
  <si>
    <t>REALIZADO</t>
  </si>
  <si>
    <t>II</t>
  </si>
  <si>
    <t>Pagos:</t>
  </si>
  <si>
    <t>Não Process.:</t>
  </si>
  <si>
    <t>% s/ o Total</t>
  </si>
  <si>
    <t>DESPESA REALIZADO POR BIMESTRE NA SAÚDE  EM 2.021</t>
  </si>
  <si>
    <t>DIFERENÇA:</t>
  </si>
  <si>
    <t>SECRETARIA MUNICIPAL DA EDUCAÇÃO - SEDUC</t>
  </si>
  <si>
    <t>COMPARATIVO DA DESPESA PREVISTA CONSOLIDADA COM A DESPESA PREVISTA PARA A EDUCAÇÃO NO PERÍODO: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</si>
  <si>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</si>
  <si>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</si>
  <si>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</si>
  <si>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</si>
  <si>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</si>
  <si>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</si>
  <si>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</si>
  <si>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</si>
  <si>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</si>
  <si>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</si>
  <si>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</si>
  <si>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</si>
  <si>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TOTAL:</t>
  </si>
  <si>
    <t>COMPARATIVO DA DESPESA REALIZADA CONSOLIDADA COM A DESPESA REALIZADA NA EDUCAÇÃO</t>
  </si>
  <si>
    <t>% ao mês s/ Total realiz.</t>
  </si>
  <si>
    <t>TOTAL DO PERIÓDO</t>
  </si>
  <si>
    <t>PREFEITURA MUNICIPAL DE CAÇAPAVA DO SUL/RS.</t>
  </si>
  <si>
    <t>CNPJ:</t>
  </si>
  <si>
    <t>88142302/0001-45</t>
  </si>
  <si>
    <t>Endereço: RUA XV DE NOVEMBRO, Nº 438 / CENTRO / CAÇAPAVA DO SUL / RS / CEP: 96.570-000</t>
  </si>
  <si>
    <t>CONTROLE DO DÉFICIT ORÇAMENTÁRIO</t>
  </si>
  <si>
    <r>
      <t xml:space="preserve">INSTRUMENTO DE CONTROLE: </t>
    </r>
    <r>
      <rPr>
        <b/>
        <sz val="10"/>
        <rFont val="Arial"/>
        <family val="2"/>
      </rPr>
      <t>TERMÔMETRO DE CRUZ</t>
    </r>
  </si>
  <si>
    <t>PREVISTA</t>
  </si>
  <si>
    <t>ATUALIZADA</t>
  </si>
  <si>
    <t>DESPESAS CONSOLIDADAS</t>
  </si>
  <si>
    <t>Cota Mensal</t>
  </si>
  <si>
    <t>Valor Líquidado</t>
  </si>
  <si>
    <t>Receita</t>
  </si>
  <si>
    <t>Orçado para</t>
  </si>
  <si>
    <t>Déficit ou</t>
  </si>
  <si>
    <t>Estouro ou</t>
  </si>
  <si>
    <t>%   s/</t>
  </si>
  <si>
    <t>Órgãos de Governo</t>
  </si>
  <si>
    <t>Acumulada</t>
  </si>
  <si>
    <t>Até o mês</t>
  </si>
  <si>
    <t>até o Mês</t>
  </si>
  <si>
    <t>o Exercício</t>
  </si>
  <si>
    <t>Economia</t>
  </si>
  <si>
    <t>Total de C</t>
  </si>
  <si>
    <t>Nº</t>
  </si>
  <si>
    <t>[A]</t>
  </si>
  <si>
    <t>[B]</t>
  </si>
  <si>
    <t>[C]</t>
  </si>
  <si>
    <t>[D]</t>
  </si>
  <si>
    <t>[E]</t>
  </si>
  <si>
    <r>
      <t xml:space="preserve">[F] </t>
    </r>
    <r>
      <rPr>
        <b/>
        <sz val="8"/>
        <rFont val="Arial"/>
        <family val="2"/>
      </rPr>
      <t>B - C</t>
    </r>
  </si>
  <si>
    <r>
      <t xml:space="preserve">[G]  </t>
    </r>
    <r>
      <rPr>
        <b/>
        <sz val="8"/>
        <rFont val="Arial"/>
        <family val="2"/>
      </rPr>
      <t>F / B</t>
    </r>
  </si>
  <si>
    <t>[H]</t>
  </si>
  <si>
    <t>Câmara Municipal</t>
  </si>
  <si>
    <t>Gabinete do Prefeito</t>
  </si>
  <si>
    <t>Secretaria Geral do Município</t>
  </si>
  <si>
    <t>Secretaria da Planejamento  e Meio Ambiente</t>
  </si>
  <si>
    <t>Secretaria de Municipio da Administração</t>
  </si>
  <si>
    <t>Secretaria da Fazenda</t>
  </si>
  <si>
    <t>Secretaria de Municipio da Cultura e do Turismo</t>
  </si>
  <si>
    <t>Secretaria de Transporte, Serviços Urbanos e Interior</t>
  </si>
  <si>
    <t>Secretaria da Educação</t>
  </si>
  <si>
    <t>Secretaria de Municipio da Saúde</t>
  </si>
  <si>
    <t>Secretaria de Município da Ação Social</t>
  </si>
  <si>
    <t>Secretaria de Munic. da Agropecuária Industria e Comércio</t>
  </si>
  <si>
    <t>Encargos Gerais do Município</t>
  </si>
  <si>
    <t>Reserva de Contigências</t>
  </si>
  <si>
    <t>Regime Próprio de Previdência</t>
  </si>
  <si>
    <t>Fundo de assistência a Saúde do Servidor Municipal</t>
  </si>
  <si>
    <t>Total</t>
  </si>
  <si>
    <t>FONTES:</t>
  </si>
  <si>
    <t>Demonstrativos da Despesas Fixada e Liquidada por Órgão e Receita Efetivamente Realizada.</t>
  </si>
  <si>
    <t>NOTAS:   1 -</t>
  </si>
  <si>
    <t xml:space="preserve">Na coluna: "% s/ Total de C " consta o percentual que cada Órgão representa em relação ao total da Despesa Liquidada, conforme se verifica nos Órgãos de nº 9 que lida </t>
  </si>
  <si>
    <t>2 -</t>
  </si>
  <si>
    <t>O valor constante na coluna: "Cota Mensal Acumulada" foi apurado em conformidade com o Decreto de Desembolso Financeiro e Orçamentário, publicado em janeiro</t>
  </si>
  <si>
    <t>do corrente ano, que regula os quantitativos referentes ao Cronograma das saídas de acordo com as entradas(Pagamentos igual ou menor que os Recebimentos).</t>
  </si>
  <si>
    <t>3 -</t>
  </si>
  <si>
    <t>SOBRE A DESPESA LIQUIDADA CONSOLIDADA.</t>
  </si>
  <si>
    <t>4 -</t>
  </si>
  <si>
    <t>5 -</t>
  </si>
  <si>
    <t>OBSERVAÇÕES:</t>
  </si>
  <si>
    <t>1ª - Os Órgãos que apresentam Déficit Orçamentário estão abaixo do ponto zero na representação gráfica com a coluna invertida para baixo.</t>
  </si>
  <si>
    <t>2ª - Os Órgãos que apresentam Superávit Orçamentário e, consequentemente,estão situados acima do ponto zero na representação gráfica, coluna para cima.</t>
  </si>
  <si>
    <t>09º mês</t>
  </si>
  <si>
    <t>08º Mês</t>
  </si>
  <si>
    <t>07º mês</t>
  </si>
  <si>
    <t>06º Mês</t>
  </si>
  <si>
    <t>05º Mês</t>
  </si>
  <si>
    <t>04º Mês</t>
  </si>
  <si>
    <t>03º Mês</t>
  </si>
  <si>
    <t>02º Mês</t>
  </si>
  <si>
    <t>01º Mês</t>
  </si>
  <si>
    <t>1.3.2.1.00.1.1.01.10</t>
  </si>
  <si>
    <t>1.3.2.1.00.1.X.01.10.00</t>
  </si>
  <si>
    <t>1.9.9.0.03.1.1.00.00.00</t>
  </si>
  <si>
    <t>1.3.2.1.00.1.X.01.09</t>
  </si>
  <si>
    <t>Contribuição para o RPPS do Servidor Público</t>
  </si>
  <si>
    <t>1.2.1.8.01</t>
  </si>
  <si>
    <t>1.2.1.9.99.1.1.03 e .04</t>
  </si>
  <si>
    <t xml:space="preserve">Evolução Mensal da Despesa Liquidada com Pessoal </t>
  </si>
  <si>
    <t>TOTAIS DOS ÚLTIMOS 12 MESES</t>
  </si>
  <si>
    <t>Despesa Liquida c/ Pessoal</t>
  </si>
  <si>
    <t>Receita Corrente Líquida</t>
  </si>
  <si>
    <t>Índice da DCLP s/ a RCL</t>
  </si>
  <si>
    <t>Limite Máximo do Índice</t>
  </si>
  <si>
    <t>Fonte:</t>
  </si>
  <si>
    <t>EXECUÇÃO DOS CONSÓRCIOS PÚBLICOS</t>
  </si>
  <si>
    <t>Página: 1/2</t>
  </si>
  <si>
    <t>Página: 2/2</t>
  </si>
  <si>
    <t>9000 - Prefeitura e Fundos:</t>
  </si>
  <si>
    <t>1.Receita Realizada:</t>
  </si>
  <si>
    <t>70,00% para as aplicaçoes mínimas no FUNDEB</t>
  </si>
  <si>
    <t>Mínimo Anual de 70% do FUNDEB na Remuneração do Magistério</t>
  </si>
  <si>
    <t>Ano: 2021</t>
  </si>
  <si>
    <t>Progressão do Déficit no período</t>
  </si>
  <si>
    <t>MDE: 0020</t>
  </si>
  <si>
    <t>Ens.Especial2021</t>
  </si>
  <si>
    <t>Ens.Especial2120</t>
  </si>
  <si>
    <t>Instrução Normativa TCE/RS nº 18/2020 - índices da Saúde e do Ensino.</t>
  </si>
  <si>
    <t>Estado do Rio Grande do Sul - Prefeitura Municipal de Cacapava do Sul</t>
  </si>
  <si>
    <t xml:space="preserve">Unidade Gestora: </t>
  </si>
  <si>
    <t>CONSOLIDADO</t>
  </si>
  <si>
    <t>Saldo Inicial Vinc. em C/C Bancária</t>
  </si>
  <si>
    <t>Receita Realizada no Exercício</t>
  </si>
  <si>
    <t>Transferências Recebidas</t>
  </si>
  <si>
    <t>Total do Recurso Vinculado</t>
  </si>
  <si>
    <t>Liquidações Orçam. Efetuados</t>
  </si>
  <si>
    <t>Liquidações de Restos Efetuadas</t>
  </si>
  <si>
    <t>Total das Liquidações</t>
  </si>
  <si>
    <t>Transferências Devolvidas</t>
  </si>
  <si>
    <t>Saldo P/Utilização Recurso Vinculado</t>
  </si>
  <si>
    <t>Fonte de Recursos</t>
  </si>
  <si>
    <t>Recurso Livre - Administração Direta Municipal</t>
  </si>
  <si>
    <t>MDE - Manutenção e Desenvolvimento Ensino</t>
  </si>
  <si>
    <t>FUNDEB (a partir de 01/01/2007 - Instituído pela EC n° 53/2006)</t>
  </si>
  <si>
    <t>ASPS - Ações de Serviços Públicos de Saúde</t>
  </si>
  <si>
    <t>RPPS (instituído como FUNDO dentro da Administração Direta)</t>
  </si>
  <si>
    <t>COVID-19</t>
  </si>
  <si>
    <t>PROGRAMA NACIONAL DE ALIMENTACAO ESCOLAR PNAE/FNDE.</t>
  </si>
  <si>
    <t>SALARIO EDUCACAO</t>
  </si>
  <si>
    <t>TRANSPORTE ESCOLAR</t>
  </si>
  <si>
    <t>CONVENIO UNIAO FUNDACAO NACIONAL DE DESENVOLVIMENTO DA EDUCACAO - FNDE</t>
  </si>
  <si>
    <t>Recursos do PEATE/RS</t>
  </si>
  <si>
    <t>RECURSOS CREDITO EDUCATIVO FUNCRED</t>
  </si>
  <si>
    <t>CEF-DESENVOLVIMENTO DA AGROPECUÁRIA</t>
  </si>
  <si>
    <t>SERVIÇOS AGROPECUARIOS</t>
  </si>
  <si>
    <t>CONVÊNIO-UNIÃO C/ FUNDO DE ASSISTÊNCIA SOCIAL</t>
  </si>
  <si>
    <t>CONVÊNIO-ESTADO C/ FUNDO DE ASSISTÊNCIA SOCIAL</t>
  </si>
  <si>
    <t>Fundo Municipal da Criança e do Adolescente</t>
  </si>
  <si>
    <t>Programa Habitar Brasil</t>
  </si>
  <si>
    <t>RECURSOS DA INFRA-ESTRUTURA</t>
  </si>
  <si>
    <t>COTA-PARTE DA MULTA DE TRANSITO</t>
  </si>
  <si>
    <t>Recursos destinados a açoes valtadas ao meio ambiente e a infra infraestrutura.</t>
  </si>
  <si>
    <t>Construção, Ampliação, Moderniação e Reforma de Modulos Esportivos</t>
  </si>
  <si>
    <t>Estacionamento Rotativo</t>
  </si>
  <si>
    <t>FUNREBOM</t>
  </si>
  <si>
    <t>CONVENIO COM O ESTADO PARA INFRA-ESTRUTU</t>
  </si>
  <si>
    <t>Exec. de Ações de prev. e preparação p/ emergências e desastres</t>
  </si>
  <si>
    <t>Obras /plano Estadual de Enfrentamento de Desastres Amientais</t>
  </si>
  <si>
    <t>Pavimentação Ruas Ijuí, Dagoberto e Retaxerxes</t>
  </si>
  <si>
    <t>Pavimentação Rua Silva Jardim</t>
  </si>
  <si>
    <t>Pavimentação da Rua do Aterro</t>
  </si>
  <si>
    <t>Pavimentação da Rua Xiru Meireles</t>
  </si>
  <si>
    <t>Pav. Rua Tiradentes</t>
  </si>
  <si>
    <t>GESTÃO DO SUS</t>
  </si>
  <si>
    <t>Outras receitas municipais aplicadas em Saúde</t>
  </si>
  <si>
    <t>Atenção Básica - PIES / Núcleo de Apoio à Atenção Básica - NAAB / Oficinas Terapêuticas / Redução de Danos / Rede Cegonha - exames pré-natais / Tele D</t>
  </si>
  <si>
    <t>INVERNO GAUCHO</t>
  </si>
  <si>
    <t>Farmácia Básica / Plantas Medicinais e Fitoterápicos / Diabetes Mellitus / Fraldas e outros insumos</t>
  </si>
  <si>
    <t>Recursos para Medicamentos de Mellitus</t>
  </si>
  <si>
    <t>PACS</t>
  </si>
  <si>
    <t>PSF / NASF / ESF Quilombola / ESF Indígena / Saúde Bucal / Saúde Bucal Indígena / PACS / ESF Prisional / Residência Médica / Combate ao Racismo Instit</t>
  </si>
  <si>
    <t>PIM - Primeira Infância Melhor</t>
  </si>
  <si>
    <t>SAMU / UPA - Urgências - Remoção PAC</t>
  </si>
  <si>
    <t>Vigilância em Saúde / Laboratório de Entomologia / Dengue / Desastres Ambientais</t>
  </si>
  <si>
    <t>CAPS - Centro de Atenção Psicossocial</t>
  </si>
  <si>
    <t>REGIONALIZAÇÃO - aquisição de ambulância</t>
  </si>
  <si>
    <t>CUCA LEGAL (CAPS)</t>
  </si>
  <si>
    <t>SANEAMENTO BÁSICO</t>
  </si>
  <si>
    <t>Aquisição de Veículos</t>
  </si>
  <si>
    <t>Aquisição de Equipamentos e Material Permanente</t>
  </si>
  <si>
    <t>Construções ou Ampliações</t>
  </si>
  <si>
    <t>Reformas</t>
  </si>
  <si>
    <t>CUSTEIO - Atenção Básica</t>
  </si>
  <si>
    <t>CUSTEIO - Atenção de média e alta complexidade ambulatorial e hospitalar</t>
  </si>
  <si>
    <t>CUSTEIO - Vigilância em Saúde</t>
  </si>
  <si>
    <t xml:space="preserve">CUSTEIO - Assistência Farmacêutica </t>
  </si>
  <si>
    <t>CUSTEIO - Gestão do SUS</t>
  </si>
  <si>
    <t>INVESTIMENTO - Atenção Básica</t>
  </si>
  <si>
    <t>INVESTIMENTO - Atenção Especializada</t>
  </si>
  <si>
    <t>INVESTIMENTO - Vigilância em Saúde</t>
  </si>
  <si>
    <t>INVESTIMENTO - Gestão do SUS</t>
  </si>
  <si>
    <t>CUSTEIO - Outros programas financiados por transferências fundo a fundo</t>
  </si>
  <si>
    <t>INVESTIMENTO - Outras transferências</t>
  </si>
  <si>
    <t>Recurso Federal - CAPS</t>
  </si>
  <si>
    <t>Recursos Extraorçamentários</t>
  </si>
  <si>
    <t>RECURSO-EXTRAORÇAMENTÁRIO - TRANSPORTE ESCOLAR</t>
  </si>
  <si>
    <t>RECURSO EXTRAORÇAMENTÁRIO DO RPPS</t>
  </si>
  <si>
    <t>Pagamentos Orçam. Efetuados</t>
  </si>
  <si>
    <t>Pagamentos de Restos Efetuados</t>
  </si>
  <si>
    <t>Total dos Pagamentos</t>
  </si>
  <si>
    <t>Empenhos de restos a Pagar</t>
  </si>
  <si>
    <t>1. Dotações:</t>
  </si>
  <si>
    <t>VII - RECEITA CORRENTE LÍQUIDA Endividamento) (VIII = V - VI)</t>
  </si>
  <si>
    <t>30,00% para as aplicaçoes maximas no FUNDEB</t>
  </si>
  <si>
    <t>Contas Aplicáveis ao 2º Quadrimestre (1)</t>
  </si>
  <si>
    <t>Contas Aplicáveis ao 3º Quadrimestre e ao 2º Semestre (1)</t>
  </si>
  <si>
    <t>³ 6.3.2.2 - RP PROCESSADOS PAGOS</t>
  </si>
  <si>
    <r>
      <rPr>
        <vertAlign val="superscript"/>
        <sz val="8"/>
        <color theme="1"/>
        <rFont val="Calibri"/>
        <family val="2"/>
        <scheme val="minor"/>
      </rPr>
      <t>4</t>
    </r>
    <r>
      <rPr>
        <sz val="8"/>
        <color theme="1"/>
        <rFont val="Calibri"/>
        <family val="2"/>
        <scheme val="minor"/>
      </rPr>
      <t xml:space="preserve"> 6.3.2.9. - RP PROCESSADOS CANCELADOS</t>
    </r>
  </si>
  <si>
    <t xml:space="preserve"> Amortiz Deficit Atuarial</t>
  </si>
  <si>
    <t>Aportes Periodicos</t>
  </si>
  <si>
    <t>Deficit Atuarial - Div Ativa</t>
  </si>
  <si>
    <t>1. Receitas Totais</t>
  </si>
  <si>
    <t>2. Total da Despesa Paga</t>
  </si>
  <si>
    <t>3. Resultado: 1. - 2. =</t>
  </si>
  <si>
    <t>L. M. Nº 4.244  de 22/07/2021 - Art. 4º - Aliquota do Passivo Atuarial.</t>
  </si>
  <si>
    <t>L. M. Nº 4167  de 04/08/2020 - Art. 4º - Aliquota do Passivo Atuarial.</t>
  </si>
  <si>
    <t>Verificação dos saldos Contábeis com o Relatório "Situacao de Empenhos de Restos a Pagar"</t>
  </si>
  <si>
    <t>3.Desp. Liquidada</t>
  </si>
  <si>
    <t>4.Despesa Paga:</t>
  </si>
  <si>
    <t>2. Empenhado</t>
  </si>
  <si>
    <t>5.Resultado: 1-4</t>
  </si>
  <si>
    <t>6.A Pagar: 3-4</t>
  </si>
  <si>
    <t>2. Empenhado:</t>
  </si>
  <si>
    <t>3. Liquidado</t>
  </si>
  <si>
    <t>4. Pago:</t>
  </si>
  <si>
    <t>5. A Pagar = 3 - 4</t>
  </si>
  <si>
    <t>6.Empenhado¹</t>
  </si>
  <si>
    <t>7. Liquidado</t>
  </si>
  <si>
    <r>
      <t>8. Cancelado</t>
    </r>
    <r>
      <rPr>
        <vertAlign val="superscript"/>
        <sz val="8"/>
        <color theme="1"/>
        <rFont val="Calibri"/>
        <family val="2"/>
        <scheme val="minor"/>
      </rPr>
      <t>4</t>
    </r>
    <r>
      <rPr>
        <sz val="8"/>
        <color theme="1"/>
        <rFont val="Calibri"/>
        <family val="2"/>
        <scheme val="minor"/>
      </rPr>
      <t xml:space="preserve"> </t>
    </r>
  </si>
  <si>
    <t>9. Pago³</t>
  </si>
  <si>
    <t>30% - 361 - 2.014</t>
  </si>
  <si>
    <t>30% PRE 2.016</t>
  </si>
  <si>
    <t>30% CRECHE 2.018</t>
  </si>
  <si>
    <t>30% EJA 2.023</t>
  </si>
  <si>
    <t>30%-361-2.023MDE</t>
  </si>
  <si>
    <t>70% - 361 - 2.013</t>
  </si>
  <si>
    <t>70% - PRE - 2.015</t>
  </si>
  <si>
    <t>70% CRECHE 2.017</t>
  </si>
  <si>
    <t>70% Especial 2.021</t>
  </si>
  <si>
    <t>70% EJA 2.022</t>
  </si>
  <si>
    <t>(-) 3.3.91.08</t>
  </si>
  <si>
    <t>Empenhos Orçam. Efetuados</t>
  </si>
  <si>
    <t>Total Empenhado</t>
  </si>
  <si>
    <t>FUNDEF</t>
  </si>
  <si>
    <t>Pavimentação da Av. João Manuel de Lima e Silva</t>
  </si>
  <si>
    <t>Pav. João Batista Poglia</t>
  </si>
  <si>
    <t>Drenagem Av. Castelo Branco</t>
  </si>
  <si>
    <t>PAB  Fixo / Telessaúde / Acolhimento Infanto Juvenil</t>
  </si>
  <si>
    <t>Limite financeiro da Vigilância em Saúde -  Incentivo para ações de prevenção de acidentes e violência / Ações práticas corporais - atividade física</t>
  </si>
  <si>
    <t>Demonstrativos apurados pela Contabilidade da Receita Corrente Realizada e da Despesa Líquidada Orçamentarias.</t>
  </si>
  <si>
    <t>Consolidadas</t>
  </si>
  <si>
    <t>Rec. Corrente - Deduções</t>
  </si>
  <si>
    <t>Análise da relação da Despesa Corrente Liquidada em relação a Receita Orçamentária sem os valores das Receitas Intraorçamentária e de Capital</t>
  </si>
  <si>
    <t>Despesas Corr. Líquidada</t>
  </si>
  <si>
    <t>Remuneração de Depósito Bancários de Recursos Vínculados - Fundo de Assistência à Saúde do Servidor (341)</t>
  </si>
  <si>
    <t>Cancelados:</t>
  </si>
  <si>
    <t xml:space="preserve">OBS.: </t>
  </si>
  <si>
    <t>Fonte: Demonstrativo da Despesa Orçamentária Empenhada e liquidada ao Mês e a Metodologia a  fonte é o TCE/RS.</t>
  </si>
  <si>
    <t>30%-361 -2.014 Livre</t>
  </si>
  <si>
    <t>Programa PRODESA/MAPA</t>
  </si>
  <si>
    <t>AUXÍLIO À CULTURA</t>
  </si>
  <si>
    <t>Inversões Financeiras</t>
  </si>
  <si>
    <t>7.Empenhado¹</t>
  </si>
  <si>
    <t>8. Liquidado</t>
  </si>
  <si>
    <t>10. A Pagar²= 7 - 9</t>
  </si>
  <si>
    <t>Execução orçamentária</t>
  </si>
  <si>
    <t>Execução dos Restos a Pagar Processados e não Processados</t>
  </si>
  <si>
    <t>10. A Pagar²= 9 - 10</t>
  </si>
  <si>
    <t>11. Resultado:</t>
  </si>
  <si>
    <t>¹ 5.3.0.0 - INSCRIÇÃO DE RESTOS A PAGAR do exercício anterior</t>
  </si>
  <si>
    <t>O resultado apurado na tabela acima é sobre a despesa paga, sobre a despesa liquidada o resultado é</t>
  </si>
  <si>
    <t>3.1.X.X.91</t>
  </si>
  <si>
    <t>INSTRUÇÃO NORMATIVA nº 18/2021 - TCE/RS.</t>
  </si>
  <si>
    <t>Sentenças Judiciais</t>
  </si>
  <si>
    <t>Emenda Parlamentar - Investimento Público</t>
  </si>
  <si>
    <t>Ens. Espec 2.032</t>
  </si>
  <si>
    <t>Livre-2.248</t>
  </si>
  <si>
    <t>2.019MDE30%Gabinet</t>
  </si>
  <si>
    <t>(-) 9419 Demais Variações Monetárias Negativas</t>
  </si>
  <si>
    <t>08/09/2021 Arrecadacao da Receita Ref correcao contribuicoes repassadas ao RPPS compensando os juros pelo atraso ao FAPS pela Camara de Vereadores emp extra 119/2021 Correcao SELIC contribuicao patronal contido R$ 160,40</t>
  </si>
  <si>
    <t>Dot. Atualizada</t>
  </si>
  <si>
    <t>Reserva de Contin.</t>
  </si>
  <si>
    <t>A liquidar:</t>
  </si>
  <si>
    <t>Despesas Intraorçamentárias</t>
  </si>
  <si>
    <t>Remuneração dos Recurso do Regime Próprio de Previdências Social - RPPS (1)</t>
  </si>
  <si>
    <t>Receitas Diretamente Arrecadadas pelo Fundo de Assistência à Saúde dos Servidores (198)</t>
  </si>
  <si>
    <r>
      <t xml:space="preserve">Outras Receitas Receitas Diretamente Arrecadadas pelo RPPS </t>
    </r>
    <r>
      <rPr>
        <sz val="6"/>
        <color theme="1"/>
        <rFont val="Calibri"/>
        <family val="2"/>
        <scheme val="minor"/>
      </rPr>
      <t>(1.2.1.8.03.1.1) 8</t>
    </r>
  </si>
  <si>
    <t>Ano: 2022</t>
  </si>
  <si>
    <t>Anos:</t>
  </si>
  <si>
    <t>Suplementar:</t>
  </si>
  <si>
    <t>ANEXO II DO CRONOGRAMA DE DESEMBOLSO PARA 2022</t>
  </si>
  <si>
    <t>ANEXO III - CRONOGRAMA DE REEMBOLSO E DESEMBOLSO AO MÊS PARA 2022</t>
  </si>
  <si>
    <t>CRONOGRAMA DE DESEMBOLSO POR ORGÃO PARA O EXERCÍCIO DE 2022</t>
  </si>
  <si>
    <t>EXERCÍCIO DE 2022</t>
  </si>
  <si>
    <t>RECEITA/2022</t>
  </si>
  <si>
    <t>DESPESA/2022</t>
  </si>
  <si>
    <t>EXERCICIO DE 2022</t>
  </si>
  <si>
    <t>3ª - O déficit é provocado pelo despêndio maior que o previsto para o periodo no Orçamento e Regumentado no Decreto Executivo  nº 4865, de 03 Fevereiro de 2022.</t>
  </si>
  <si>
    <t>DESPESAS ORÇAMENTÁRIAS, EXCETO AS DESPESAS INTRAORÇAMENTÁRIAS</t>
  </si>
  <si>
    <t>2.032 30% Ens Esp.</t>
  </si>
  <si>
    <t>Empenhos Restos em 31/12/2021</t>
  </si>
  <si>
    <t>EVOLUÇÃO DOS SALDOS DOS RESTOS A PAGAR PROCESSADOS E NÃO PROCESSADOS DO PERÍODO:</t>
  </si>
  <si>
    <t>Convênio na área de Cultura eTurismo</t>
  </si>
  <si>
    <t>Custeio (medicamentos, exames e/ou consultas especializadas)</t>
  </si>
  <si>
    <t>( 3 ) Valor correspondente à Soma das Receitas Arrecadadas no período com os complementos de recurso vínculado código 3120 - transferências da União decorrentes de Emendas Parlamentares de bancada e 3150 - Transferências da União decorrentes de Emendas Parlamentares Individuais e de Bancada - COVID-19.</t>
  </si>
  <si>
    <t>( 2 ) Valor correspondente à Soma das Receitas Arrecadadas no período com os complementos de recurso vínculado código 3110 - transferências da União decorrentes de Emendas Pralamentares Individuais e 3410 - Transferências da União decorrentes de Emendas Parlamentares Individuais - COVID-19.</t>
  </si>
  <si>
    <t>Receita de Capital</t>
  </si>
  <si>
    <t>1.9.9.0.99.1.3.03</t>
  </si>
  <si>
    <t>1.9.9.0.99.1.3.04</t>
  </si>
  <si>
    <t>Recei. Dire. Fundo Assis. Saude Servi. - Divida Ativa</t>
  </si>
  <si>
    <t>Recei. Fundo Saude Servi.- Divida Ativa - Multas e Juros (199)</t>
  </si>
  <si>
    <t>( - ) Compensação Previdenciárfia à Prefeitura Municipal (243)</t>
  </si>
  <si>
    <t>4ª - Percent da Despesa Corrente s/ a Receita Corrente, exceto a Despesa e a Receita Intras - § 6º do art. 167-A da CF:</t>
  </si>
  <si>
    <t>ATOS POTENCIAIS PASSIVOS</t>
  </si>
  <si>
    <t>1.7.1.8.03.1.1.01.02.01</t>
  </si>
  <si>
    <t>... Não inclusão no cálculo para fins de despesa com pessoal ...  Previsão: EC. Nº 120/22</t>
  </si>
  <si>
    <t>Prefeitura Municipal de Cacapava do Sul - RS</t>
  </si>
  <si>
    <t>Relatório Resumido da Execução Orçamentária</t>
  </si>
  <si>
    <t>Demonstrativo Simplificado do Relatório Resumido da Execução Orçamentária</t>
  </si>
  <si>
    <t>Orçamentos Fiscal e da Seguridade Social</t>
  </si>
  <si>
    <t>RREO - Anexo 14 (LRF, Art. 48)</t>
  </si>
  <si>
    <t>Em Reais</t>
  </si>
  <si>
    <t>BALANÇO ORÇAMENTÁRIO</t>
  </si>
  <si>
    <t>Até o bimestre</t>
  </si>
  <si>
    <t>RECEITAS</t>
  </si>
  <si>
    <t>Previsão Inicial</t>
  </si>
  <si>
    <t>Previsão Atualizada</t>
  </si>
  <si>
    <t>Receitas Realizadas</t>
  </si>
  <si>
    <t>Déficit Orçamentário</t>
  </si>
  <si>
    <t>-</t>
  </si>
  <si>
    <t>Saldos de Exercícios Anteriores(Utilizados para Créditos Adicionais)</t>
  </si>
  <si>
    <t>DESPESAS</t>
  </si>
  <si>
    <t>Dotação Inicial</t>
  </si>
  <si>
    <t>Dotação Atualizada</t>
  </si>
  <si>
    <t>Despesas Empenhadas</t>
  </si>
  <si>
    <t>Despesas Liquidadas</t>
  </si>
  <si>
    <t>Despesas Pagas</t>
  </si>
  <si>
    <t>Superávit Orçamentário</t>
  </si>
  <si>
    <t>DESPESAS POR FUNÇÃO/SUBFUNÇÃO</t>
  </si>
  <si>
    <t>Receita Corrente Líquida Ajustada para Cálculo dos Limites de Endividamento</t>
  </si>
  <si>
    <t>Receita Corrente Líquida Ajustada para Cálculo dos Limites da Despesa com Pessoal</t>
  </si>
  <si>
    <t>RECEITAS E DESPESAS DO REGIME PRÓPRIO DE PREVIDÊNCIA DOS SERVIDORES</t>
  </si>
  <si>
    <t>Fundo em Capitalização (PLANO PREVIDENCIÁRIO)</t>
  </si>
  <si>
    <t>Receitas Previdenciárias Realizadas</t>
  </si>
  <si>
    <t>Despesas Previdenciárias Empenhadas</t>
  </si>
  <si>
    <t>Despesas Previdenciárias Liquidadas</t>
  </si>
  <si>
    <t>Despesas Previdenciárias Pagas</t>
  </si>
  <si>
    <t>Resultado Previdenciário</t>
  </si>
  <si>
    <t>Fundo em Repartição (PLANO FINANCEIRO)</t>
  </si>
  <si>
    <t>RESULTADOS PRIMÁRIO E NOMINAL</t>
  </si>
  <si>
    <t>Meta Fixada no</t>
  </si>
  <si>
    <t>Resultado Apurado</t>
  </si>
  <si>
    <t>% em Relação à Meta</t>
  </si>
  <si>
    <t>Anexo de Metas</t>
  </si>
  <si>
    <t>Até o Bimestre</t>
  </si>
  <si>
    <t>Fiscais da LDO</t>
  </si>
  <si>
    <t>(a)</t>
  </si>
  <si>
    <t>(b)</t>
  </si>
  <si>
    <t>(b/a)</t>
  </si>
  <si>
    <t>Resultado Primário</t>
  </si>
  <si>
    <t>Resultado Nominal</t>
  </si>
  <si>
    <t>RESTOS A PAGAR POR PODER E MINISTÉRIO PÚBLICO</t>
  </si>
  <si>
    <t>Inscrição</t>
  </si>
  <si>
    <t>Cancelamento</t>
  </si>
  <si>
    <t>Pagamento</t>
  </si>
  <si>
    <t>Saldo</t>
  </si>
  <si>
    <t>RESTOS A PAGAR PROCESSADOS</t>
  </si>
  <si>
    <t>Poder Executivo</t>
  </si>
  <si>
    <t>Poder Legislativo</t>
  </si>
  <si>
    <t>RESTOS A PAGAR NÃO-PROCESSADOS</t>
  </si>
  <si>
    <t>DESPESAS COM MANUTENÇÃO E DESENVOLVIMENTO DO ENSINO</t>
  </si>
  <si>
    <t>Valor Apurado</t>
  </si>
  <si>
    <t>% Mínimo a</t>
  </si>
  <si>
    <t>% Aplicado Até o</t>
  </si>
  <si>
    <t>Aplicar no Exercício</t>
  </si>
  <si>
    <t>Bimestre</t>
  </si>
  <si>
    <t>Mínimo Anual de 25% das Receitas de Impostos na Manutenção e Desenvolvimento do Ensino</t>
  </si>
  <si>
    <t>Mínimo Anual de 70% do FUNDEB na Remuneração dos Profissionais da Educação Básica</t>
  </si>
  <si>
    <t>Percentual de 50% da Complementação da União ao FUNDEB (VAAT) na Educação Infantil</t>
  </si>
  <si>
    <t>Mínimo de 15% da Complementação da União ao FUNDEB (VAAT) em Despesas de Capital</t>
  </si>
  <si>
    <t>Limite Constitucional Anual</t>
  </si>
  <si>
    <t>% Aplicado Até o Bimestre</t>
  </si>
  <si>
    <t>Aplicar no exercicio</t>
  </si>
  <si>
    <t>Despesas com Ações e Serviços Públicos de Saúde executadas com recursos de impostos</t>
  </si>
  <si>
    <t>DESPESAS DE CARÁTER CONTINUADO DERIVADAS DE PPP</t>
  </si>
  <si>
    <t>Valor Apurado no Exercício Corrente</t>
  </si>
  <si>
    <t>Total das Despesas Consideradas para o Limite / RCL (%)</t>
  </si>
  <si>
    <t>Compensação Financeira entre o Regime Geral e os Regimes Próprios de Previdência dos Servidores (03)</t>
  </si>
  <si>
    <t>Fonte da Metodologia TCE/RS. (OBS.: Foi deduzidos os valores das Emendas Parlamentares os valores referentes a EC Nº 120/2022 dos ACS)</t>
  </si>
  <si>
    <t>Repasses p/Assist. Financ. Complementar - ACS (321) - da EC. Nº 120/22</t>
  </si>
  <si>
    <t>No Valor da RCL foi deduzidos os valores das Emendandas Parlamentares e os Repasses p/Assist. Financ. Complementar - ACS (321) - da EC. Nº 120/22 do Período.</t>
  </si>
  <si>
    <t>RELATÓRIO DE GESTÃO FISCAL</t>
  </si>
  <si>
    <t>ORÇAMENTOS FISCAL E DA SEGURIDADE SOCIAL</t>
  </si>
  <si>
    <t>R$ 1,00</t>
  </si>
  <si>
    <t>DÍVIDA CONSOLIDADA</t>
  </si>
  <si>
    <t>(19.985.370,72)</t>
  </si>
  <si>
    <t>(15,89)</t>
  </si>
  <si>
    <t>Prefeitura Municipal de Cacapava do Sul-RS</t>
  </si>
  <si>
    <t>Página 1 de 3</t>
  </si>
  <si>
    <t>Balanço Orçamentário</t>
  </si>
  <si>
    <t>Orçamento Fiscal e da Seguridade Socials</t>
  </si>
  <si>
    <t>RREO - Anexo 1 (LRF, Art. 52, inciso I, alineas "a" e "b" do inciso II e §1º)</t>
  </si>
  <si>
    <t>PREVISÃO INICIAL</t>
  </si>
  <si>
    <t>PREVISÃO ATUALIZADA
(a)</t>
  </si>
  <si>
    <t>RECEITAS REALIZADAS</t>
  </si>
  <si>
    <t>SALDO
(a-c)</t>
  </si>
  <si>
    <t>No Bimestre
(b)</t>
  </si>
  <si>
    <t>%
(b/a)</t>
  </si>
  <si>
    <t>Até o Bimestre
(c)</t>
  </si>
  <si>
    <t>%
(c/a)</t>
  </si>
  <si>
    <t>RECEITAS (EXCETO INTRA-ORÇAMENTÁRIAS) (I)</t>
  </si>
  <si>
    <t>148.475.673,85</t>
  </si>
  <si>
    <t>141.631.504,86</t>
  </si>
  <si>
    <t>18.205.576,49</t>
  </si>
  <si>
    <t>14.575.490,45</t>
  </si>
  <si>
    <t>1.587.992,34</t>
  </si>
  <si>
    <t>2.042.093,70</t>
  </si>
  <si>
    <t>8.138.213,42</t>
  </si>
  <si>
    <t>6.974.325,00</t>
  </si>
  <si>
    <t>1.163.888,42</t>
  </si>
  <si>
    <t>5.094.630,65</t>
  </si>
  <si>
    <t>24.672,38</t>
  </si>
  <si>
    <t>5.069.958,27</t>
  </si>
  <si>
    <t>138.999,83</t>
  </si>
  <si>
    <t>552.523,71</t>
  </si>
  <si>
    <t>378.187,76</t>
  </si>
  <si>
    <t>107.251.746,38</t>
  </si>
  <si>
    <t>35.150.723,78</t>
  </si>
  <si>
    <t>38.353.393,79</t>
  </si>
  <si>
    <t>5.933.174,00</t>
  </si>
  <si>
    <t>27.814.454,81</t>
  </si>
  <si>
    <t>2.249.814,38</t>
  </si>
  <si>
    <t>2.315.919,28</t>
  </si>
  <si>
    <t>56.796,74</t>
  </si>
  <si>
    <t>122.901,64</t>
  </si>
  <si>
    <t>2.193.017,64</t>
  </si>
  <si>
    <t>6.844.168,99</t>
  </si>
  <si>
    <t>5.000.000,00</t>
  </si>
  <si>
    <t>6.081,85</t>
  </si>
  <si>
    <t>1.828.578,44</t>
  </si>
  <si>
    <t>4.719,90</t>
  </si>
  <si>
    <t>9.508,70</t>
  </si>
  <si>
    <t>RECEITAS (INTRA-ORÇAMENTÁRIAS) (II)</t>
  </si>
  <si>
    <t>31.731.831,03</t>
  </si>
  <si>
    <t>SUBTOTAL DAS RECEITAS (III) = (I + II)</t>
  </si>
  <si>
    <t>180.207.504,88</t>
  </si>
  <si>
    <t>Página 2 de 3</t>
  </si>
  <si>
    <t>TOTAL DAS RECEITAS (V) = (III + IV)</t>
  </si>
  <si>
    <t>17,56</t>
  </si>
  <si>
    <t>DÉFICIT (VI)</t>
  </si>
  <si>
    <t>TOTAL COM DÉFICIT (VII) = (V + VI)</t>
  </si>
  <si>
    <t>SALDOS DE EXERCÍCIOS ANTERIORES</t>
  </si>
  <si>
    <t>DOTAÇÃO
INICIAL
(d)</t>
  </si>
  <si>
    <t>DOTAÇÃO ATUALIZADA
(e)</t>
  </si>
  <si>
    <t>DESPESAS EMPENHADAS</t>
  </si>
  <si>
    <t>SALDO
(g)=(e-f)</t>
  </si>
  <si>
    <t>DESPESAS LIQUIDADAS</t>
  </si>
  <si>
    <t>SALDO
(i)=(e-h)</t>
  </si>
  <si>
    <t>DESPESAS PAGAS ATÉ O BIMESTRE
(j)</t>
  </si>
  <si>
    <t>INSCRITAS EM RESTOS A PAGAR NÃO PROCESSADOS
(k)</t>
  </si>
  <si>
    <t>No Bimestre</t>
  </si>
  <si>
    <t>Até o Bimestre
(f)</t>
  </si>
  <si>
    <t>Até o Bimestre
(h)</t>
  </si>
  <si>
    <t>DESPESAS (EXCETO INTRAORÇAMENTÁRIAS) (VIII)</t>
  </si>
  <si>
    <t>134.785.727,71</t>
  </si>
  <si>
    <t>124.519.989,17</t>
  </si>
  <si>
    <t>90.210.130,70</t>
  </si>
  <si>
    <t>608.240,00</t>
  </si>
  <si>
    <t>10.160,72</t>
  </si>
  <si>
    <t>33.701.618,47</t>
  </si>
  <si>
    <t>10.265.028,69</t>
  </si>
  <si>
    <t>10.263.193,69</t>
  </si>
  <si>
    <t>1.552,00</t>
  </si>
  <si>
    <t>1.252,00</t>
  </si>
  <si>
    <t>RESERVA DE CONTINGÊNCIA</t>
  </si>
  <si>
    <t>DESPESAS (INTRAORÇAMENTÁRIAS) (IX)</t>
  </si>
  <si>
    <t>31.912.416,76</t>
  </si>
  <si>
    <t>SUBTOTAL DAS DESPESAS (X) = (VIII + IX)</t>
  </si>
  <si>
    <t>166.698.144,47</t>
  </si>
  <si>
    <t>AMORTIZAÇÃO DA DÍV. / REFINANCIAMENTO (XI)</t>
  </si>
  <si>
    <t>TOTAL DAS DESPESAS (XII) = (X + XI)</t>
  </si>
  <si>
    <t>SUPERÁVIT (XIII)</t>
  </si>
  <si>
    <t>TOTAL COM SUPERÁVIT (XIV) = (XII + XIII)</t>
  </si>
  <si>
    <t>RESERVA DO RPPS</t>
  </si>
  <si>
    <t>13.509.360,41</t>
  </si>
  <si>
    <t>RECEITAS INTRAORÇAMENTÁRIAS</t>
  </si>
  <si>
    <t>12.154.868,64</t>
  </si>
  <si>
    <t>19.576.962,39</t>
  </si>
  <si>
    <t>Página 3 de 3</t>
  </si>
  <si>
    <t>DESPESAS INTRAORÇAMENTÁRIAS</t>
  </si>
  <si>
    <t>31.912.114,76</t>
  </si>
  <si>
    <t>29.268.591,32</t>
  </si>
  <si>
    <t>1,00</t>
  </si>
  <si>
    <t>2.643.222,44</t>
  </si>
  <si>
    <t>2,00</t>
  </si>
  <si>
    <t>1 O déficit será apurado pela diferença entre a receita realizada e a despesa liquidada nos cinco primeiros bimestres e a despesa empenhada no último bimestre.</t>
  </si>
  <si>
    <t>Relatório Resumido de Execução Orçamentária</t>
  </si>
  <si>
    <t>Demonstrativo da Execução das Despesas por Função/Subfunção</t>
  </si>
  <si>
    <t>Orçamento Fiscal e da Seguridade Social</t>
  </si>
  <si>
    <t>RREO - ANEXO 2 (LRF, Art. 52, inciso II, alínea 'c')</t>
  </si>
  <si>
    <t>FUNÇÃO/SUBFUNÇÃO</t>
  </si>
  <si>
    <t>Dotação</t>
  </si>
  <si>
    <t>SALDO</t>
  </si>
  <si>
    <t xml:space="preserve">Saldo </t>
  </si>
  <si>
    <t>Inicial</t>
  </si>
  <si>
    <t>Atualizada</t>
  </si>
  <si>
    <t xml:space="preserve"> </t>
  </si>
  <si>
    <t>(b/total b)</t>
  </si>
  <si>
    <t>(c)=(a-b)</t>
  </si>
  <si>
    <t>(d)</t>
  </si>
  <si>
    <t>(d/Total d)</t>
  </si>
  <si>
    <t>(e)=(a-d)</t>
  </si>
  <si>
    <t>DESPESAS(EXCETO INTRAORÇAMENTÁRIAS)(I)</t>
  </si>
  <si>
    <t>Legislativa</t>
  </si>
  <si>
    <t>Ação Legislativa</t>
  </si>
  <si>
    <t>Essencial à Justiça</t>
  </si>
  <si>
    <t>Representação Judicial e Extrajudicial</t>
  </si>
  <si>
    <t>Administração</t>
  </si>
  <si>
    <t>Planejamento e Orçamento</t>
  </si>
  <si>
    <t>Administração Geral</t>
  </si>
  <si>
    <t>Administração Financeira</t>
  </si>
  <si>
    <t>Controle Interno</t>
  </si>
  <si>
    <t>Normatização e Fiscalização</t>
  </si>
  <si>
    <t>Tecnologia da Informação</t>
  </si>
  <si>
    <t>Formação de Recursos Humanos</t>
  </si>
  <si>
    <t>Administração de Receitas</t>
  </si>
  <si>
    <t>Comunicação Social</t>
  </si>
  <si>
    <t>Previdência Básica</t>
  </si>
  <si>
    <t>Previdência Complementar</t>
  </si>
  <si>
    <t>Proteção e Benefícios ao Trabalhador</t>
  </si>
  <si>
    <t>Turismo</t>
  </si>
  <si>
    <t>Segurança Pública</t>
  </si>
  <si>
    <t>Policiamento</t>
  </si>
  <si>
    <t>Defesa Civil</t>
  </si>
  <si>
    <t>Assistência Social</t>
  </si>
  <si>
    <t>Assistência ao Idoso</t>
  </si>
  <si>
    <t>Assistência ao Portador de Deficiência</t>
  </si>
  <si>
    <t>Assistência à Criança e ao Adolescente</t>
  </si>
  <si>
    <t>Assistência Comunitária</t>
  </si>
  <si>
    <t>Habitação Rural</t>
  </si>
  <si>
    <t>Habitação Urbana</t>
  </si>
  <si>
    <t>Previdência Social</t>
  </si>
  <si>
    <t>Previdência do Regime Estatutário</t>
  </si>
  <si>
    <t>Assistência Hospitalar e Ambulatorial</t>
  </si>
  <si>
    <t>Saúde</t>
  </si>
  <si>
    <t>Atenção Básica</t>
  </si>
  <si>
    <t>Suporte Profilático e Terapêutico</t>
  </si>
  <si>
    <t>Vigilância Sanitária</t>
  </si>
  <si>
    <t>Vigilância Epidemiológica</t>
  </si>
  <si>
    <t>Educação</t>
  </si>
  <si>
    <t>Ensino Fundamental</t>
  </si>
  <si>
    <t>Ensino Médio</t>
  </si>
  <si>
    <t>Educação Infantil</t>
  </si>
  <si>
    <t>Educação de Jovens e Adultos</t>
  </si>
  <si>
    <t>Educação Especial</t>
  </si>
  <si>
    <t>Educação Básica</t>
  </si>
  <si>
    <t>Cultura</t>
  </si>
  <si>
    <t>Patrimônio Histórico, Artístico e Arqueológico</t>
  </si>
  <si>
    <t>Difusão Cultural</t>
  </si>
  <si>
    <t>Direitos da Cidadania</t>
  </si>
  <si>
    <t>Direitos Individuais, Coletivos e Difusos</t>
  </si>
  <si>
    <t>Urbanismo</t>
  </si>
  <si>
    <t>Infra-estrutura Urbana</t>
  </si>
  <si>
    <t>Serviços Urbanos</t>
  </si>
  <si>
    <t>Habitação</t>
  </si>
  <si>
    <t>Saneamento</t>
  </si>
  <si>
    <t>Saneamento Básico Rural</t>
  </si>
  <si>
    <t>Saneamento Básico Urbano</t>
  </si>
  <si>
    <t>Gestão Ambiental</t>
  </si>
  <si>
    <t>Preservação e Conservação Ambiental</t>
  </si>
  <si>
    <t>Controle Ambiental</t>
  </si>
  <si>
    <t>Recursos Hídricos</t>
  </si>
  <si>
    <t>Agricultura</t>
  </si>
  <si>
    <t>Abastecimento</t>
  </si>
  <si>
    <t>Extensão Rural</t>
  </si>
  <si>
    <t>Promoção da Produção Agropecuária</t>
  </si>
  <si>
    <t>Defesa Agropecuária</t>
  </si>
  <si>
    <t>Indústria</t>
  </si>
  <si>
    <t>Promoção Industrial</t>
  </si>
  <si>
    <t>Comércio e Serviços</t>
  </si>
  <si>
    <t>Promoção Comercial</t>
  </si>
  <si>
    <t>Comunicações</t>
  </si>
  <si>
    <t>Telecomunicações</t>
  </si>
  <si>
    <t>Transporte</t>
  </si>
  <si>
    <t>Transporte Rodoviário</t>
  </si>
  <si>
    <t>Desporto e Lazer</t>
  </si>
  <si>
    <t>Desporto Comunitário</t>
  </si>
  <si>
    <t>Encargos Especiais</t>
  </si>
  <si>
    <t>Serviço da Dívida Interna</t>
  </si>
  <si>
    <t>Outros Encargos Especiais</t>
  </si>
  <si>
    <t>Reserva de Contingência</t>
  </si>
  <si>
    <t>DESPESAS INTRAORÇAMENTÁRIAS (II)</t>
  </si>
  <si>
    <t>TOTAL (III)=(I+II)</t>
  </si>
  <si>
    <t>DESPESAS(INTRAORÇAMENTÁRIAS) (II)</t>
  </si>
  <si>
    <t xml:space="preserve">          __________________________________     __________________________________     __________________________________          </t>
  </si>
  <si>
    <t xml:space="preserve">               GIOVANI AMESTOY DA SILVA                 IHOKO NAKASHIMA MOTA                    ARLEI LOPES SOUZA                   </t>
  </si>
  <si>
    <t xml:space="preserve">                  PREFEITO MUNICIPAL             SECRETARIA DE MUNICIPIO DA FAZENDA               610.320.420-87                    </t>
  </si>
  <si>
    <t xml:space="preserve">                  CPF: 009.854.830-16                    CPF: 390.226.680-53                  CONTADOR: RS-068452/O-6               </t>
  </si>
  <si>
    <t>Página 1 de 2</t>
  </si>
  <si>
    <t>Demonstrativo dos Resultados Primário e Nominal</t>
  </si>
  <si>
    <t>RREO - ANEXO VI(LRF, art. 53, inciso III)</t>
  </si>
  <si>
    <t>ACIMA DA LINHA</t>
  </si>
  <si>
    <t>RECEITAS PRIMÁRIAS</t>
  </si>
  <si>
    <t>Até o Bimestre/2022</t>
  </si>
  <si>
    <t>RECEITAS CORRENTES(I)</t>
  </si>
  <si>
    <t>3.467.839,35</t>
  </si>
  <si>
    <t>5.814.310,60</t>
  </si>
  <si>
    <t>1.378.438,67</t>
  </si>
  <si>
    <t>3.914.901,83</t>
  </si>
  <si>
    <t>3.630.086,04</t>
  </si>
  <si>
    <t>25.646.029,06</t>
  </si>
  <si>
    <t>30.597.437,09</t>
  </si>
  <si>
    <t>3.122.275,09</t>
  </si>
  <si>
    <t>951.759,41</t>
  </si>
  <si>
    <t>448.945,94</t>
  </si>
  <si>
    <t>6.928,52</t>
  </si>
  <si>
    <t>RECEITAS PRIMÁRIAS CORRENTES (IV) = (I - II - III)</t>
  </si>
  <si>
    <t>RECEITAS DE CAPITAL (V)</t>
  </si>
  <si>
    <t>1.522.293,90</t>
  </si>
  <si>
    <t>RECEITAS PRIMÁRIAS DE CAPITAL (XI) = (V - VI - VII - VIII - IX - X)</t>
  </si>
  <si>
    <t>RECEITA PRIMÁRIA TOTAL (XII) = (IV + XI)</t>
  </si>
  <si>
    <t>DESPESAS PRIMÁRIAS</t>
  </si>
  <si>
    <t>Restos a Pagar Processados Pagos</t>
  </si>
  <si>
    <t>Restos a Pagar não Processados</t>
  </si>
  <si>
    <t>Liquidados</t>
  </si>
  <si>
    <t>Pagos (c)</t>
  </si>
  <si>
    <t>DESPESAS CORRENTES (XIII)</t>
  </si>
  <si>
    <t>DESPESAS PRIMÁRIAS CORRENTES (XV) = (XIII - XIV)</t>
  </si>
  <si>
    <t>DESPESAS DE CAPITAL (XVI)</t>
  </si>
  <si>
    <t>298.894,66</t>
  </si>
  <si>
    <t>101,00</t>
  </si>
  <si>
    <t>49.517,46</t>
  </si>
  <si>
    <t>DESPESAS PRIMÁRIAS DE CAPITAL (XXI) = (XVI - XVII - XVIII - XIX - XX)</t>
  </si>
  <si>
    <t>Página 2 de 2</t>
  </si>
  <si>
    <t>RESERVA DE CONTINGÊNCIA (XXII)</t>
  </si>
  <si>
    <t>709,85</t>
  </si>
  <si>
    <t>DESPESA PRIMÁRIA TOTAL (XXIII) = (XV + XXI + XXII)</t>
  </si>
  <si>
    <t>RESULTADO PRIMÁRIO - Acima da Linha (XXIV) = [XIIa - (XXIIIa +XXIIIb + XXIIIc)]</t>
  </si>
  <si>
    <t>META FISCAL PARA O RESULTADO PRIMÁRIO</t>
  </si>
  <si>
    <t>VALOR CORRENTE</t>
  </si>
  <si>
    <t>Meta fixada no Anexo de Metas Fiscais da LDO para o exercício de referência</t>
  </si>
  <si>
    <t>JUROS NOMINAIS</t>
  </si>
  <si>
    <t>VALOR INCORRIDO</t>
  </si>
  <si>
    <t>Juros, Encargos e Variações Monetárias Ativos (XXV)</t>
  </si>
  <si>
    <t>Juros, Encargos e Variações Monetárias Passivos (XXVI)</t>
  </si>
  <si>
    <t>RESULTADO NOMINAL - Acima da Linha (XXVII) =  XXIV + (XXV - XXVI)</t>
  </si>
  <si>
    <t>META FISCAL PARA O RESULTADO NOMINAL</t>
  </si>
  <si>
    <t>ABAIXO DA LINHA</t>
  </si>
  <si>
    <t>CÁLCULO DO RESULTADO NOMINAL</t>
  </si>
  <si>
    <t>Em 31/Dez/2021</t>
  </si>
  <si>
    <t>DÍVIDA CONSOLIDADA (XXVIII)</t>
  </si>
  <si>
    <t>938.163,67</t>
  </si>
  <si>
    <t>DEDUÇÕES (XXIX)</t>
  </si>
  <si>
    <t>14.415.069,22</t>
  </si>
  <si>
    <t>13.782.614,60</t>
  </si>
  <si>
    <t>Disponibilidade de Caixa Bruta</t>
  </si>
  <si>
    <t>20.648.054,22</t>
  </si>
  <si>
    <t>5.645.028,33</t>
  </si>
  <si>
    <t>(-) Depósitos Restituíveis e Valores Vinculados</t>
  </si>
  <si>
    <t>1.220.411,29</t>
  </si>
  <si>
    <t>Demais Haveres Financeiros</t>
  </si>
  <si>
    <t>632.454,62</t>
  </si>
  <si>
    <t>DÍVIDA CONSOLIDADA LÍQUIDA (XXXI) = (XXVIII - XXIX)</t>
  </si>
  <si>
    <t>-13.476.905,55</t>
  </si>
  <si>
    <t>RESULTADO NOMINAL - Abaixo da Linha (XXXII) = (XXXIa - XXXIb)</t>
  </si>
  <si>
    <t>AJUSTE METODOLÓGICO</t>
  </si>
  <si>
    <t>VARIAÇÃO SALDO RPP = (XXXIII) = (XXXa - XXXb)</t>
  </si>
  <si>
    <t>RECEITA DE ALIENAÇÃO DE INVESTIMENTOS PERMANENTES (IX)</t>
  </si>
  <si>
    <t>PASSIVOS RECONHECIDOS NA DC (XXXIV)</t>
  </si>
  <si>
    <t>VARIAÇÃO CAMBIAL (XXXV)</t>
  </si>
  <si>
    <t>PAGAMENTO DE PRECATÓRIOS INTEGRANTES DA DC (XXXVI)</t>
  </si>
  <si>
    <t>AJUSTES RELATIVOS AO RPPS (XXXVII)</t>
  </si>
  <si>
    <t>OUTROS AJUSTES (XXXVIII)</t>
  </si>
  <si>
    <t>RESULTADO NOMINAL AJUSTADO - Abaixo da Linha (XXXIX) = (XXXII - XXXIII - IX + XXXIV + XXXV - XXXVI + XXXVII + XXXVIII)</t>
  </si>
  <si>
    <t>RESULTADO PRIMÁRIO - Abaixo da Linha (XL) = XXXIX - (XXV - XXVI)</t>
  </si>
  <si>
    <t>INFORMAÇÕES ADICIONAIS</t>
  </si>
  <si>
    <t>PREVISÃO ORÇAMENTÁRIA</t>
  </si>
  <si>
    <t>SALDO DE EXERCÍCIOS ANTERIORES</t>
  </si>
  <si>
    <t>RESERVA ORÇAMENTÁRIA DO RPPS</t>
  </si>
  <si>
    <t>RELATÓRIO RESUMIDO DA EXECUÇÃO ORÇAMENTÁRIA</t>
  </si>
  <si>
    <t>SALDO ATUAL</t>
  </si>
  <si>
    <t>Demonstrativo dos Restos a Pagar por Poder e Órgão</t>
  </si>
  <si>
    <t>RREO - ANEXO 7 (LRF, art.53, inciso V)</t>
  </si>
  <si>
    <t>PODER/ÓRGÃO</t>
  </si>
  <si>
    <t>RESTOS A PAGAR NÃO PROCESSADOS</t>
  </si>
  <si>
    <t>Saldo Total</t>
  </si>
  <si>
    <t>Inscritos</t>
  </si>
  <si>
    <t>Pagos</t>
  </si>
  <si>
    <t>Cancelados</t>
  </si>
  <si>
    <t>Em Exercícios</t>
  </si>
  <si>
    <t>Em 31 de</t>
  </si>
  <si>
    <t>Anteriores</t>
  </si>
  <si>
    <t>dezembro de 2021</t>
  </si>
  <si>
    <t>(c)</t>
  </si>
  <si>
    <t>e=(a+b)-(c+d)</t>
  </si>
  <si>
    <t>(f)</t>
  </si>
  <si>
    <t>(g)</t>
  </si>
  <si>
    <t>(h)</t>
  </si>
  <si>
    <t>(i)</t>
  </si>
  <si>
    <t>(j)</t>
  </si>
  <si>
    <t>k=(f+g)-(i+j)</t>
  </si>
  <si>
    <t>L=(e+k)</t>
  </si>
  <si>
    <t>RESTOS A PAGAR(EXCETO INTRA-ORÇAMENTÁRIOS) (I)</t>
  </si>
  <si>
    <t>PODER EXECUTIVO</t>
  </si>
  <si>
    <t>PODER LEGISLATIVO</t>
  </si>
  <si>
    <t>CAMARA MUNICIPAL CACAPAVA DO SUL</t>
  </si>
  <si>
    <t>RESTOS A PAGAR(INTRA-ORÇAMENTÁRIOS) (II)</t>
  </si>
  <si>
    <t>TOTAL (III) = (I+II)</t>
  </si>
  <si>
    <t>PREFEITURA MUNICIPAL DE CACAPAVA DO SUL - RS</t>
  </si>
  <si>
    <t>DEMONSTRATIVO DA RECEITA DE ALIENAÇÃO DE ATIVOS E APLICAÇÃO DOS RECURSOS</t>
  </si>
  <si>
    <t>RREO - ANEXO 11 (LRF, art. 53, § 1º, inciso III)</t>
  </si>
  <si>
    <t>PREVISÃO ATUALIZADA</t>
  </si>
  <si>
    <t>RECEITAS DE ALIENAÇÃO DE ATIVOS (I)</t>
  </si>
  <si>
    <t>Receita de Alienação de Bens Móveis</t>
  </si>
  <si>
    <t>Receita de Alienação de Bens Imóveis</t>
  </si>
  <si>
    <t>Receita de Alienação de Bens Intangíveis</t>
  </si>
  <si>
    <t>Receita de Rendimentos de Aplicações Financeiras</t>
  </si>
  <si>
    <t>DOTAÇÃO ATUALIZADA</t>
  </si>
  <si>
    <t>PAGAMENTO</t>
  </si>
  <si>
    <t>EMPENHADAS</t>
  </si>
  <si>
    <t>LIQUIDADAS</t>
  </si>
  <si>
    <t>PAGAS</t>
  </si>
  <si>
    <t>INSCRITAS EM RESTOS A</t>
  </si>
  <si>
    <t>DE RESTOS A PAGAR</t>
  </si>
  <si>
    <t>PAGAR NÃO PROCESSADOS</t>
  </si>
  <si>
    <t>(e)</t>
  </si>
  <si>
    <t>(h)=(d-e)</t>
  </si>
  <si>
    <t>APLICAÇÃO DOS RECURSOS DA ALIENAÇÃO DE ATIVOS (II)</t>
  </si>
  <si>
    <t>Despesas de Capital</t>
  </si>
  <si>
    <t>Despesas Correntes dos Regimes de Previdência</t>
  </si>
  <si>
    <t>Regime Próprio dos Servidores Públicos</t>
  </si>
  <si>
    <t>SALDO FINANCEIRO A APLICAR</t>
  </si>
  <si>
    <t>(j) = (Ib - (IIf + IIg))</t>
  </si>
  <si>
    <t>(k) = (IIIi + IIIj)</t>
  </si>
  <si>
    <t>VALOR (III)</t>
  </si>
  <si>
    <t>DEMONSTRATIVO DAS PARCERIAS PÚBLICO-PRIVADAS</t>
  </si>
  <si>
    <t>RREO - Anexo 13 (Lei nº 11.079, de 30.12.2004, arts. 22, 25 e 28)</t>
  </si>
  <si>
    <t>Em reais</t>
  </si>
  <si>
    <t>IMPACTOS DAS CONTRATAÇÕES DE PPP</t>
  </si>
  <si>
    <t>SALDO TOTAL EM</t>
  </si>
  <si>
    <t>SALDO FINAL</t>
  </si>
  <si>
    <t>31 DE DEZEMBRO DO</t>
  </si>
  <si>
    <t>EXERCÍCIO ANTERIOR</t>
  </si>
  <si>
    <t>TOTAL DE ATIVOS</t>
  </si>
  <si>
    <t xml:space="preserve">   Ativos Constituídos pela SPE</t>
  </si>
  <si>
    <t>TOTAL DE PASSIVOS</t>
  </si>
  <si>
    <t xml:space="preserve">   Obrigações decorrentes de Ativos Constituídos pela SPE</t>
  </si>
  <si>
    <t xml:space="preserve">   Provisões de PPP</t>
  </si>
  <si>
    <t xml:space="preserve">   Outros Passivos</t>
  </si>
  <si>
    <t xml:space="preserve">   Obrigações contratuais</t>
  </si>
  <si>
    <t xml:space="preserve">   Riscos não Provisionados</t>
  </si>
  <si>
    <t xml:space="preserve">   Garantias concedidas</t>
  </si>
  <si>
    <t xml:space="preserve">   Outros Passivos Contingentes</t>
  </si>
  <si>
    <t>DESPESAS DE PPP</t>
  </si>
  <si>
    <t>EXERCÍCIO</t>
  </si>
  <si>
    <t>ANTERIOR</t>
  </si>
  <si>
    <t>CORRENTE</t>
  </si>
  <si>
    <t>DO ENTE FEDERADO, EXCETO ESTATAIS NÃO DEPENDENTES (I) = (I.1 + I.2)</t>
  </si>
  <si>
    <t xml:space="preserve">   Contratadas(I.1)</t>
  </si>
  <si>
    <t xml:space="preserve">   A contratar (I.2)</t>
  </si>
  <si>
    <t>DAS ESTATAIS NÃO-DEPENDENTES (II) = (II.1 + II.2)</t>
  </si>
  <si>
    <t xml:space="preserve">   Contratadas (II.1)</t>
  </si>
  <si>
    <t xml:space="preserve">   A contratar (II.2)</t>
  </si>
  <si>
    <t>TOTAL DAS DESPESAS DE PPP (III) = (I + II)</t>
  </si>
  <si>
    <t>RECEITA CORRENTE LÍQUIDA (RCL) (IV)</t>
  </si>
  <si>
    <t>TOTAL DAS DESPESAS CONSIDERADAS PARA O LIMITE (I)</t>
  </si>
  <si>
    <t>TOTAL DAS DESPESAS CONSIDERADAS PARA O LIMITE / RCL (%) (V) = (I / IV)</t>
  </si>
  <si>
    <t>DEMONSTRATIVO DA DÍVIDA CONSOLIDADA LÍQUIDA</t>
  </si>
  <si>
    <t>RGF - ANEXO 2 (LRF, art.55, inciso I, alínea "b")</t>
  </si>
  <si>
    <t>SALDO DO</t>
  </si>
  <si>
    <t>SALDO DO EXERCÍCIO DE 2022</t>
  </si>
  <si>
    <t>Até o 1º</t>
  </si>
  <si>
    <t>Até o 2º</t>
  </si>
  <si>
    <t>DÍVIDA CONSOLIDADA - DC (I)</t>
  </si>
  <si>
    <t>Dívida Mobiliária</t>
  </si>
  <si>
    <t>Dívida Contratual</t>
  </si>
  <si>
    <t>Empréstimos</t>
  </si>
  <si>
    <t>Internos</t>
  </si>
  <si>
    <t>Externos</t>
  </si>
  <si>
    <t>Reestruturação da Dívida de Estados e Municípios</t>
  </si>
  <si>
    <t>Financiamentos</t>
  </si>
  <si>
    <t>Parcelamento e Renegociação de dívidas</t>
  </si>
  <si>
    <t>De Tributos</t>
  </si>
  <si>
    <t>De Contribuições Previdenciárias</t>
  </si>
  <si>
    <t>De Demais Contribuições Sociais</t>
  </si>
  <si>
    <t>Do FGTS</t>
  </si>
  <si>
    <t>Com Instituição Não Financeira</t>
  </si>
  <si>
    <t>Demais Dívidas Contratuais</t>
  </si>
  <si>
    <t>Precatórios Posteriores a 05/05/2000 (inclusive) - Vencidos e não pagos</t>
  </si>
  <si>
    <t>Outras Dívidas</t>
  </si>
  <si>
    <t>DEDUÇÕES (II)</t>
  </si>
  <si>
    <t>Disponibilidade de Caixa¹</t>
  </si>
  <si>
    <t>(-) Restos a Pagar Processados</t>
  </si>
  <si>
    <t>DÍVIDA CONSOLIDADA LÍQUIDA (DCL) (III) = (I - II)</t>
  </si>
  <si>
    <t>(13.476.905,55)</t>
  </si>
  <si>
    <t>% da DC sobre a RCL AJUSTADA (I/VI)</t>
  </si>
  <si>
    <t>% da DCL sobre a RCL AJUSTADA (III/VI)</t>
  </si>
  <si>
    <t>(11,26)</t>
  </si>
  <si>
    <t>LIMITE DEFINIDO POR RESOLUÇÃO DO SENADO FEDERAL - &lt;0,00%&gt;</t>
  </si>
  <si>
    <t>LIMITE DE ALERTA (inciso III do § 1º do art. 59 da LRF) - &lt;0,00%&gt;</t>
  </si>
  <si>
    <t>OUTROS VALORES NÃO INTEGRANTES DA DC</t>
  </si>
  <si>
    <t>PRECATÓRIOS ANTERIORES A 05/05/2000</t>
  </si>
  <si>
    <t>PRECATÓRIOS POSTERIORES A 05/05/2000² (Não incluídos na DCL)</t>
  </si>
  <si>
    <t>PASSIVO ATUARIAL</t>
  </si>
  <si>
    <t>RP NÃO-PROCESSADOS</t>
  </si>
  <si>
    <t>ANTECIPAÇÕES DE RECEITA ORÇAMENTÁRIA – ARO</t>
  </si>
  <si>
    <t>DÍVIDA CONTRATUAL DE PPP</t>
  </si>
  <si>
    <t>APROPRIAÇÃO DE DEPÓSITOS JUDICIAIS</t>
  </si>
  <si>
    <t>1. Se o saldo apurado for negativo, ou seja, se o total da Disponibilidade de Caixa Bruta for menor que Restos a Pagar Processados, esse saldo negativo</t>
  </si>
  <si>
    <t>não deverá ser informado nessa linha, mas sim na linha da "Insuficiência Financeira", no quadro "Outros Valores não integrantes da Dívida Consolidada".</t>
  </si>
  <si>
    <t>Assim, quando o cálculo de Disponibilidade de Caixa for negativo, o valor dessa linha deverá ser (0) "zero".</t>
  </si>
  <si>
    <t>2. Refere-se aos precatórios posteriores a 05/05/2000 que, em cumprimento ao disposto no artigo 100 da Constituição Federal, ainda não foram</t>
  </si>
  <si>
    <t xml:space="preserve">incluídos no orçamento ou constam no orçamento e ainda não foram pagos. Ao final do exercício em que esses precatórios foram incluídos ou que </t>
  </si>
  <si>
    <t>deveriam ter sido incluídos, os valores deverão compor a linha "Precatórios".</t>
  </si>
  <si>
    <t xml:space="preserve">                __________________________________     __________________________________                </t>
  </si>
  <si>
    <t xml:space="preserve">                     GIOVANI AMESTOY DA SILVA                 IHOKO NAKASHIMA MOTA                       </t>
  </si>
  <si>
    <t xml:space="preserve">                        PREFEITO MUNICIPAL             SECRETARIA DE MUNICIPIO DA FAZENDA                </t>
  </si>
  <si>
    <t xml:space="preserve">                        CPF: 009.854.830-16                    CPF: 390.226.680-53                       </t>
  </si>
  <si>
    <t xml:space="preserve">                                                                                                         </t>
  </si>
  <si>
    <t xml:space="preserve">                                    __________________________________                                   </t>
  </si>
  <si>
    <t xml:space="preserve">                                            ARLEI LOPES SOUZA                                            </t>
  </si>
  <si>
    <t xml:space="preserve">                                              610.320.420-87                                             </t>
  </si>
  <si>
    <t xml:space="preserve">                                          CONTADOR: RS-068452/O-6                                        </t>
  </si>
  <si>
    <t>² 6.3.2.1 - RP PROCESSADOS A PAGAR             3098</t>
  </si>
  <si>
    <t>Recursos do Estado para Infra-Estrutura</t>
  </si>
  <si>
    <t>Pav. Rua Jucá Medeiros</t>
  </si>
  <si>
    <t>Aquisição de veículos, máquinas e equipamentos.</t>
  </si>
  <si>
    <t>RECEITA CORRENTE LÍQUIDA - RCL</t>
  </si>
  <si>
    <t>25%</t>
  </si>
  <si>
    <t>70%</t>
  </si>
  <si>
    <t>50%</t>
  </si>
  <si>
    <t>15%</t>
  </si>
  <si>
    <t>DESPESAS COM AÇÕES E SERVIÇOS PÚBLICOS DE SAÚDE</t>
  </si>
  <si>
    <t>(17.392.736,47)</t>
  </si>
  <si>
    <t>(13,30)</t>
  </si>
  <si>
    <t>13,71</t>
  </si>
  <si>
    <t>2.564.594,68</t>
  </si>
  <si>
    <t>1.881.419,39</t>
  </si>
  <si>
    <t>683.175,29</t>
  </si>
  <si>
    <t>14.474,36</t>
  </si>
  <si>
    <t>(678.455,39)</t>
  </si>
  <si>
    <t>31.868.206,85</t>
  </si>
  <si>
    <t>FONTE: GOVBR - Responsabilidade Fiscal, SECRETARIA DE MUNICÍPIO DA FAZENDA, 21/Set/2022, 14h e 00m.</t>
  </si>
  <si>
    <t>11.169.360,41</t>
  </si>
  <si>
    <t>136.375,82</t>
  </si>
  <si>
    <t>100,00</t>
  </si>
  <si>
    <t>853.426,68</t>
  </si>
  <si>
    <t>1.711.168,00</t>
  </si>
  <si>
    <t>734.841,53</t>
  </si>
  <si>
    <t>FONTE: GOVBR - Responsabilidade Fiscal, SECRETARIA DE MUNICÍPIO DA FAZENDA, 21/Set/2022, 14h e 10m.</t>
  </si>
  <si>
    <t>JANEIRO A AGOSTO DE 2022</t>
  </si>
  <si>
    <t>Até o 3º</t>
  </si>
  <si>
    <t>Quadrimestre</t>
  </si>
  <si>
    <t>RECEITA CORRENTE LÍQUIDA - RCL (IV)</t>
  </si>
  <si>
    <t xml:space="preserve">   -     </t>
  </si>
  <si>
    <t>(-) Transferências obrigatórias da União relativas às emendas individuais  (art. 166-A, § 1º, da CF) (V)</t>
  </si>
  <si>
    <t>RECEITA CORRENTE LÍQUIDA AJUSTADA PARA CÁLCULO DOS LIMITES DE  ENDIVIDAMENTO (VI) = (IV - V)</t>
  </si>
  <si>
    <t>Rendimento da Poupança:</t>
  </si>
  <si>
    <t>Diferença em relação a Poupança:</t>
  </si>
  <si>
    <t>DESPESA REALIZADO POR BIMESTRE NA EDUCAÇÃO EM 2.022</t>
  </si>
  <si>
    <t>COMPARATIVO DA DESPESA PREVISTA COM A REALIZADA MÊS NO EXERCÍCIO DE 2.022</t>
  </si>
  <si>
    <t>POSIÇÃO DAS OBRIGAÇÕES REALIZADAS ATÉ AGOSTO DE 2022.</t>
  </si>
  <si>
    <t>Nota:</t>
  </si>
  <si>
    <t>O saldo dos Restos a Pagar em 31 de Ago/22 ficou em</t>
  </si>
  <si>
    <t>6.3.2.9.0 RP PROCESSADOS CANCELADOS (3111) R$ 21.415,08</t>
  </si>
  <si>
    <t xml:space="preserve"> 6.3.1.4 - RP NÃO PROCESSADOS PAGOS (3099) = 1.059.816,35</t>
  </si>
  <si>
    <t>6.3.1.9 - RP NÃO PROCESSADOS CANCELADOS (3105)</t>
  </si>
  <si>
    <t>com a Educação representa 30,24% e de Nº 10 que lida com a Saúde 20,22%, respectivamente da Despesa Total Líquidada.</t>
  </si>
  <si>
    <t>Dedução a Menor para o FUNDEB no ICMS em R$ 1.126,31</t>
  </si>
  <si>
    <t>Despesas da Contribuição suplementar ao RPPS do Poder Legislativo</t>
  </si>
  <si>
    <t>3.1.91.13.20.00</t>
  </si>
  <si>
    <t>Na apuração da despesa com pessoal do Executivo foi deduzido o valor referente a contribuição suplementar ao RPPS do Poder Legislativo do período de doze(12) meses, que importou num total de R$ 378.463,67.</t>
  </si>
  <si>
    <t>Recuperação:Passivo Atuarial</t>
  </si>
  <si>
    <t>Índice c/ Dedução do Passivo</t>
  </si>
  <si>
    <t>Contribuição Social para o Financiamento da Seguridade Social (201 e 202)</t>
  </si>
  <si>
    <t>Janeiro a Outubro 2022/Bimestre Setembro-Outubro</t>
  </si>
  <si>
    <t xml:space="preserve">       CPF: 009.854.830-16                                         CPF: 390.226.680-53                                                      CONTADOR: RS-068452/O-6               </t>
  </si>
  <si>
    <t>144.963.450,80</t>
  </si>
  <si>
    <t>114.982.427,00</t>
  </si>
  <si>
    <t xml:space="preserve">   Impostos, Taxas e Contribuições de Melhoria</t>
  </si>
  <si>
    <t>14.522.761,31</t>
  </si>
  <si>
    <t xml:space="preserve">     IPTU</t>
  </si>
  <si>
    <t>2.164.408,75</t>
  </si>
  <si>
    <t xml:space="preserve">     ISS</t>
  </si>
  <si>
    <t>5.487.913,40</t>
  </si>
  <si>
    <t xml:space="preserve">     ITBI</t>
  </si>
  <si>
    <t>1.591.071,74</t>
  </si>
  <si>
    <t xml:space="preserve">     IRRF</t>
  </si>
  <si>
    <t>4.674.420,47</t>
  </si>
  <si>
    <t xml:space="preserve">     Outros Impostos, Taxas, e Contribuições de Melhoria</t>
  </si>
  <si>
    <t>604.946,95</t>
  </si>
  <si>
    <t xml:space="preserve">   Contribuições</t>
  </si>
  <si>
    <t>7.594.016,72</t>
  </si>
  <si>
    <t xml:space="preserve">   Receita Patrimonial</t>
  </si>
  <si>
    <t>5.983.517,90</t>
  </si>
  <si>
    <t>4.942.522,31</t>
  </si>
  <si>
    <t xml:space="preserve">     Aplicações Financeiras (II)</t>
  </si>
  <si>
    <t>5.958.845,52</t>
  </si>
  <si>
    <t>4.919.505,86</t>
  </si>
  <si>
    <t xml:space="preserve">     Outras Receitas Patrimoniais</t>
  </si>
  <si>
    <t>23.016,45</t>
  </si>
  <si>
    <t xml:space="preserve">   Transferências Correntes</t>
  </si>
  <si>
    <t>109.133.512,41</t>
  </si>
  <si>
    <t>85.086.551,88</t>
  </si>
  <si>
    <t xml:space="preserve">     Cota-Parte do FPM</t>
  </si>
  <si>
    <t>23.925.457,51</t>
  </si>
  <si>
    <t xml:space="preserve">     Cota-Parte do ICMS</t>
  </si>
  <si>
    <t>21.769.880,54</t>
  </si>
  <si>
    <t xml:space="preserve">     Cota-Parte do IPVA</t>
  </si>
  <si>
    <t>2.558.531,37</t>
  </si>
  <si>
    <t xml:space="preserve">     Cota-Parte do ITR</t>
  </si>
  <si>
    <t>886.938,34</t>
  </si>
  <si>
    <t xml:space="preserve">     Transferências da LC 87/1996</t>
  </si>
  <si>
    <t xml:space="preserve">     Transferências da LC 61/1989</t>
  </si>
  <si>
    <t>220.368,00</t>
  </si>
  <si>
    <t xml:space="preserve">     Transferências do FUNDEB</t>
  </si>
  <si>
    <t>23.449.723,00</t>
  </si>
  <si>
    <t xml:space="preserve">     Outras Transferências Correntes</t>
  </si>
  <si>
    <t>20.552.611,01</t>
  </si>
  <si>
    <t>12.275.653,12</t>
  </si>
  <si>
    <t xml:space="preserve">   Demais Receitas Correntes</t>
  </si>
  <si>
    <t>3.502.630,58</t>
  </si>
  <si>
    <t>2.836.574,78</t>
  </si>
  <si>
    <t xml:space="preserve">     Outras Receitas Financeiras (III)</t>
  </si>
  <si>
    <t>5.193,89</t>
  </si>
  <si>
    <t xml:space="preserve">     Receitas Correntes Restantes</t>
  </si>
  <si>
    <t>3.495.702,06</t>
  </si>
  <si>
    <t>2.831.380,89</t>
  </si>
  <si>
    <t>138.997.676,76</t>
  </si>
  <si>
    <t>110.057.727,25</t>
  </si>
  <si>
    <t>7.041.888,89</t>
  </si>
  <si>
    <t>2.765.442,33</t>
  </si>
  <si>
    <t xml:space="preserve">   Operações de Crédito (VI)</t>
  </si>
  <si>
    <t xml:space="preserve">   Amortização de Empréstimos (VII)</t>
  </si>
  <si>
    <t>3.417,71</t>
  </si>
  <si>
    <t xml:space="preserve">   Alienação de Bens</t>
  </si>
  <si>
    <t xml:space="preserve">     Receitas de Alienação de Investimentos Temporários (VIII)</t>
  </si>
  <si>
    <t xml:space="preserve">     Receitas de Alienação de Investimentos Permanentes (IX)</t>
  </si>
  <si>
    <t xml:space="preserve">     Outras Alienações de Bens</t>
  </si>
  <si>
    <t xml:space="preserve">   Transferências de Capital</t>
  </si>
  <si>
    <t>1.988.114,37</t>
  </si>
  <si>
    <t xml:space="preserve">     Convênios</t>
  </si>
  <si>
    <t xml:space="preserve">     Outras Transferências de Capital</t>
  </si>
  <si>
    <t>465.820,47</t>
  </si>
  <si>
    <t xml:space="preserve">   Outras Receitas de Capital</t>
  </si>
  <si>
    <t>47.692,67</t>
  </si>
  <si>
    <t>197.429,94</t>
  </si>
  <si>
    <t xml:space="preserve">     Outras Receitas de Capital Não Primárias (X)</t>
  </si>
  <si>
    <t xml:space="preserve">     Outras Receitas de Capital Primárias</t>
  </si>
  <si>
    <t>2.035.807,04</t>
  </si>
  <si>
    <t>2.762.024,62</t>
  </si>
  <si>
    <t>141.033.483,80</t>
  </si>
  <si>
    <t>112.819.751,87</t>
  </si>
  <si>
    <t>132.727.230,51</t>
  </si>
  <si>
    <t>110.665.295,67</t>
  </si>
  <si>
    <t>106.143.850,04</t>
  </si>
  <si>
    <t>103.601.942,03</t>
  </si>
  <si>
    <t>3.494.913,39</t>
  </si>
  <si>
    <t>300.395,14</t>
  </si>
  <si>
    <t>287.700,54</t>
  </si>
  <si>
    <t xml:space="preserve">   Pessoal e Encargos Sociais</t>
  </si>
  <si>
    <t>91.836.703,27</t>
  </si>
  <si>
    <t>77.059.623,43</t>
  </si>
  <si>
    <t>76.993.333,88</t>
  </si>
  <si>
    <t>76.442.468,32</t>
  </si>
  <si>
    <t xml:space="preserve">   Juros e Encargos da Dívida (XIV)</t>
  </si>
  <si>
    <t>484.333,73</t>
  </si>
  <si>
    <t xml:space="preserve">   Outras Despesas Correntes</t>
  </si>
  <si>
    <t>40.406.193,51</t>
  </si>
  <si>
    <t>33.595.511,52</t>
  </si>
  <si>
    <t>29.140.355,44</t>
  </si>
  <si>
    <t>27.149.312,99</t>
  </si>
  <si>
    <t>2.760.071,86</t>
  </si>
  <si>
    <t>132.242.896,78</t>
  </si>
  <si>
    <t>110.655.134,95</t>
  </si>
  <si>
    <t>106.133.689,32</t>
  </si>
  <si>
    <t>103.591.781,31</t>
  </si>
  <si>
    <t>14.430.703,11</t>
  </si>
  <si>
    <t>7.696.806,11</t>
  </si>
  <si>
    <t>3.732.071,95</t>
  </si>
  <si>
    <t>1.931.092,70</t>
  </si>
  <si>
    <t>928.209,04</t>
  </si>
  <si>
    <t>922.418,56</t>
  </si>
  <si>
    <t xml:space="preserve">   Investimentos</t>
  </si>
  <si>
    <t>14.426.168,11</t>
  </si>
  <si>
    <t>7.693.806,11</t>
  </si>
  <si>
    <t>878.691,58</t>
  </si>
  <si>
    <t>872.901,10</t>
  </si>
  <si>
    <t xml:space="preserve">   Inversões Financeiras</t>
  </si>
  <si>
    <t>3.283,00</t>
  </si>
  <si>
    <t>3.000,00</t>
  </si>
  <si>
    <t xml:space="preserve">     Concessão de Empréstimos e Financiamentos (XVII)</t>
  </si>
  <si>
    <t xml:space="preserve">     Aquisição de Título de Capital já Integralizado (XVIII)</t>
  </si>
  <si>
    <t xml:space="preserve">     Aquisição de Título de Crédito (XIX)</t>
  </si>
  <si>
    <t xml:space="preserve">     Demais Inversões Financeiras</t>
  </si>
  <si>
    <t>3.182,00</t>
  </si>
  <si>
    <t xml:space="preserve">   Amortização da Dívida (XX)</t>
  </si>
  <si>
    <t>14.429.350,11</t>
  </si>
  <si>
    <t>FONTE: GOVBR - Responsabilidade Fiscal, SECRETARIA DE MUNICÍPIO DA FAZENDA, 23/Nov/2022, 11h e 18m.</t>
  </si>
  <si>
    <t>146.672.956,74</t>
  </si>
  <si>
    <t>118.351.941,06</t>
  </si>
  <si>
    <t>109.865.761,27</t>
  </si>
  <si>
    <t>105.522.874,01</t>
  </si>
  <si>
    <t>3.793.808,05</t>
  </si>
  <si>
    <t>1.179.086,72</t>
  </si>
  <si>
    <t>1.160.601,64</t>
  </si>
  <si>
    <t>2.342.468,17</t>
  </si>
  <si>
    <t>1.747.375,82</t>
  </si>
  <si>
    <t>4.079.683,27</t>
  </si>
  <si>
    <t>Até o 5º Bimestre</t>
  </si>
  <si>
    <t>573.678,71</t>
  </si>
  <si>
    <t>16.626.913,52</t>
  </si>
  <si>
    <t xml:space="preserve">   Disponibilidade de Caixa</t>
  </si>
  <si>
    <t>16.011.670,21</t>
  </si>
  <si>
    <t xml:space="preserve">     Disponibilidade de Caixa Bruta</t>
  </si>
  <si>
    <t>18.813.948,24</t>
  </si>
  <si>
    <t xml:space="preserve">     (-) Restos a Pagar Processados (XXX)</t>
  </si>
  <si>
    <t>1.712.146,26</t>
  </si>
  <si>
    <t xml:space="preserve">           (-) Depósitos Restituíveis e Valores Vinculados</t>
  </si>
  <si>
    <t>1.090.131,77</t>
  </si>
  <si>
    <t xml:space="preserve">   Demais Haveres Financeiros</t>
  </si>
  <si>
    <t>615.243,31</t>
  </si>
  <si>
    <t>-16.053.234,81</t>
  </si>
  <si>
    <t>2.576.329,26</t>
  </si>
  <si>
    <t>3.932.882,07</t>
  </si>
  <si>
    <t>-1.356.552,81</t>
  </si>
  <si>
    <t>-3.093.767,91</t>
  </si>
  <si>
    <t>5.460.990,94</t>
  </si>
  <si>
    <t xml:space="preserve">   Recursos Arrecadados em Exercícios Anteriores - RPPS</t>
  </si>
  <si>
    <t xml:space="preserve">   Superávit Financeiro Utilizado para Abertura e Reabertura de Créditos Adicionais</t>
  </si>
  <si>
    <t>Período:Janeiro a Outubro</t>
  </si>
  <si>
    <t>Restos a Pagar de exercícios anteriores pagos no período de Janeiro a Outubro de 2022, totalizou:</t>
  </si>
  <si>
    <t>Fonte: Relatório Consolidado da "Situacao de Empenhos de Restos a Pagar por Orgãos -  Posicão até Novembro/22"</t>
  </si>
  <si>
    <t>1º de Janeiro a 30 de Novembro de 2022</t>
  </si>
  <si>
    <t>1º Quadrimentre</t>
  </si>
  <si>
    <t>bimestre Anterior</t>
  </si>
  <si>
    <t>Limites Constitucionais Anuais²</t>
  </si>
  <si>
    <r>
      <t xml:space="preserve">¹Fonte: Cálculo da </t>
    </r>
    <r>
      <rPr>
        <b/>
        <sz val="10"/>
        <color theme="1"/>
        <rFont val="Calibri"/>
        <family val="2"/>
        <scheme val="minor"/>
      </rPr>
      <t>RCL dos doze últimos meses</t>
    </r>
    <r>
      <rPr>
        <sz val="10"/>
        <color theme="1"/>
        <rFont val="Calibri"/>
        <family val="2"/>
        <scheme val="minor"/>
      </rPr>
      <t xml:space="preserve"> realizado pela Contabilidade.</t>
    </r>
  </si>
  <si>
    <t>1º Semestre</t>
  </si>
  <si>
    <t>RCL gerada p/ Sistema</t>
  </si>
  <si>
    <t>RCL apurada p/ Contabilidade¹</t>
  </si>
  <si>
    <t>152.005.339,69</t>
  </si>
  <si>
    <t>22.503.496,64</t>
  </si>
  <si>
    <t>14,80</t>
  </si>
  <si>
    <t>117.747.869,33</t>
  </si>
  <si>
    <t>77,46</t>
  </si>
  <si>
    <t>34.257.470,36</t>
  </si>
  <si>
    <t xml:space="preserve">  RECEITAS CORRENTES</t>
  </si>
  <si>
    <t>22.439.957,01</t>
  </si>
  <si>
    <t>15,48</t>
  </si>
  <si>
    <t>79,32</t>
  </si>
  <si>
    <t>29.981.023,80</t>
  </si>
  <si>
    <t xml:space="preserve">    IMPOSTOS, TAXAS E CONTRIBUIÇÕES DE MELHORIA</t>
  </si>
  <si>
    <t>3.083.829,05</t>
  </si>
  <si>
    <t>16,94</t>
  </si>
  <si>
    <t>79,77</t>
  </si>
  <si>
    <t>3.682.815,18</t>
  </si>
  <si>
    <t xml:space="preserve">      Impostos</t>
  </si>
  <si>
    <t>3.007.593,11</t>
  </si>
  <si>
    <t>20,63</t>
  </si>
  <si>
    <t>13.917.814,36</t>
  </si>
  <si>
    <t>95,49</t>
  </si>
  <si>
    <t>657.676,09</t>
  </si>
  <si>
    <t xml:space="preserve">      Taxas</t>
  </si>
  <si>
    <t>76.235,80</t>
  </si>
  <si>
    <t>4,80</t>
  </si>
  <si>
    <t>604.946,52</t>
  </si>
  <si>
    <t>38,10</t>
  </si>
  <si>
    <t>983.045,82</t>
  </si>
  <si>
    <t xml:space="preserve">      Contribuição de Melhoria</t>
  </si>
  <si>
    <t>0,14</t>
  </si>
  <si>
    <t>0,43</t>
  </si>
  <si>
    <t>2.042.093,27</t>
  </si>
  <si>
    <t xml:space="preserve">    CONTRIBUIÇÕES</t>
  </si>
  <si>
    <t>1.745.344,82</t>
  </si>
  <si>
    <t>21,45</t>
  </si>
  <si>
    <t>93,31</t>
  </si>
  <si>
    <t>544.196,70</t>
  </si>
  <si>
    <t xml:space="preserve">      Contribuições Sociais</t>
  </si>
  <si>
    <t>1.470.812,05</t>
  </si>
  <si>
    <t>21,09</t>
  </si>
  <si>
    <t>6.645.817,99</t>
  </si>
  <si>
    <t>95,29</t>
  </si>
  <si>
    <t>328.507,01</t>
  </si>
  <si>
    <t xml:space="preserve">      Contribuição para o Custeio do Serviço de Iluminação Pública</t>
  </si>
  <si>
    <t>274.532,77</t>
  </si>
  <si>
    <t>23,59</t>
  </si>
  <si>
    <t>948.198,73</t>
  </si>
  <si>
    <t>81,47</t>
  </si>
  <si>
    <t>215.689,69</t>
  </si>
  <si>
    <t xml:space="preserve">    RECEITA PATRIMONIAL</t>
  </si>
  <si>
    <t>1.286.637,07</t>
  </si>
  <si>
    <t>21,50</t>
  </si>
  <si>
    <t>82,60</t>
  </si>
  <si>
    <t>1.040.995,59</t>
  </si>
  <si>
    <t xml:space="preserve">      Exploração do Patrimônio Imobiliário do Estado</t>
  </si>
  <si>
    <t>4.356,34</t>
  </si>
  <si>
    <t>17,66</t>
  </si>
  <si>
    <t>93,29</t>
  </si>
  <si>
    <t>1.655,93</t>
  </si>
  <si>
    <t xml:space="preserve">      Valores Mobiliários</t>
  </si>
  <si>
    <t>1.282.280,73</t>
  </si>
  <si>
    <t>21,52</t>
  </si>
  <si>
    <t>82,56</t>
  </si>
  <si>
    <t>1.039.339,66</t>
  </si>
  <si>
    <t xml:space="preserve">    RECEITA AGROPECUÁRIA</t>
  </si>
  <si>
    <t>13.620,00</t>
  </si>
  <si>
    <t>9,80</t>
  </si>
  <si>
    <t>55.305,19</t>
  </si>
  <si>
    <t>39,79</t>
  </si>
  <si>
    <t>83.694,64</t>
  </si>
  <si>
    <t xml:space="preserve">    RECEITA DE SERVIÇOS</t>
  </si>
  <si>
    <t>1.047.711,47</t>
  </si>
  <si>
    <t>142.050,94</t>
  </si>
  <si>
    <t>13,56</t>
  </si>
  <si>
    <t>629.783,85</t>
  </si>
  <si>
    <t>60,11</t>
  </si>
  <si>
    <t>417.927,62</t>
  </si>
  <si>
    <t xml:space="preserve">      Serviços Administrativos e Comerciais Gerais</t>
  </si>
  <si>
    <t>59.288,27</t>
  </si>
  <si>
    <t>15,68</t>
  </si>
  <si>
    <t>257.436,55</t>
  </si>
  <si>
    <t>68,07</t>
  </si>
  <si>
    <t>120.751,21</t>
  </si>
  <si>
    <t xml:space="preserve">      Serviços e Atividades referentes à Saúde</t>
  </si>
  <si>
    <t>669.523,71</t>
  </si>
  <si>
    <t>82.762,67</t>
  </si>
  <si>
    <t>12,36</t>
  </si>
  <si>
    <t>372.347,30</t>
  </si>
  <si>
    <t>55,61</t>
  </si>
  <si>
    <t>297.176,41</t>
  </si>
  <si>
    <t xml:space="preserve">    TRANSFERÊNCIAS CORRENTES</t>
  </si>
  <si>
    <t>15.796.498,81</t>
  </si>
  <si>
    <t>14,47</t>
  </si>
  <si>
    <t>77,97</t>
  </si>
  <si>
    <t>24.046.960,53</t>
  </si>
  <si>
    <t xml:space="preserve">      Transferências da União e de suas Entidades</t>
  </si>
  <si>
    <t>36.383.751,42</t>
  </si>
  <si>
    <t>6.389.833,32</t>
  </si>
  <si>
    <t>33.308.906,80</t>
  </si>
  <si>
    <t>91,55</t>
  </si>
  <si>
    <t>3.074.844,62</t>
  </si>
  <si>
    <t xml:space="preserve">      Transferências dos Estados e do Distrito Federal e de suas Entidades</t>
  </si>
  <si>
    <t>39.002.132,18</t>
  </si>
  <si>
    <t>5.346.239,20</t>
  </si>
  <si>
    <t>28.300.146,73</t>
  </si>
  <si>
    <t>72,56</t>
  </si>
  <si>
    <t>10.701.985,45</t>
  </si>
  <si>
    <t xml:space="preserve">      Transferências dos Municípios e de suas Entidades</t>
  </si>
  <si>
    <t>3.086,15</t>
  </si>
  <si>
    <t>0,05</t>
  </si>
  <si>
    <t>27.775,35</t>
  </si>
  <si>
    <t>0,47</t>
  </si>
  <si>
    <t>5.905.398,65</t>
  </si>
  <si>
    <t xml:space="preserve">      Transferências de Outras Instituições Públicas</t>
  </si>
  <si>
    <t>4.057.340,14</t>
  </si>
  <si>
    <t>14,59</t>
  </si>
  <si>
    <t>84,31</t>
  </si>
  <si>
    <t>4.364.731,81</t>
  </si>
  <si>
    <t xml:space="preserve">    OUTRAS RECEITAS CORRENTES</t>
  </si>
  <si>
    <t>371.976,32</t>
  </si>
  <si>
    <t>16,06</t>
  </si>
  <si>
    <t>2.151.485,74</t>
  </si>
  <si>
    <t>92,90</t>
  </si>
  <si>
    <t>164.433,54</t>
  </si>
  <si>
    <t xml:space="preserve">      Multas Administrativas, Contratuais e Judiciais</t>
  </si>
  <si>
    <t>8.576,10</t>
  </si>
  <si>
    <t>53.942,28</t>
  </si>
  <si>
    <t>(53.942,28)</t>
  </si>
  <si>
    <t xml:space="preserve">      Indenizações, Restituições e Ressarcimentos</t>
  </si>
  <si>
    <t>55.071,45</t>
  </si>
  <si>
    <t>44,81</t>
  </si>
  <si>
    <t>294.016,61</t>
  </si>
  <si>
    <t>239,23</t>
  </si>
  <si>
    <t>(171.114,97)</t>
  </si>
  <si>
    <t xml:space="preserve">      Multas e Juros de Mora das Receitas de Capital</t>
  </si>
  <si>
    <t>1.158,98</t>
  </si>
  <si>
    <t>1.194,90</t>
  </si>
  <si>
    <t>(1.194,90)</t>
  </si>
  <si>
    <t xml:space="preserve">      Demais Receitas Correntes</t>
  </si>
  <si>
    <t>307.169,79</t>
  </si>
  <si>
    <t>14,01</t>
  </si>
  <si>
    <t>1.802.331,95</t>
  </si>
  <si>
    <t>82,19</t>
  </si>
  <si>
    <t>390.685,69</t>
  </si>
  <si>
    <t xml:space="preserve">  RECEITAS DE CAPITAL</t>
  </si>
  <si>
    <t>63.539,63</t>
  </si>
  <si>
    <t>0,90</t>
  </si>
  <si>
    <t>39,27</t>
  </si>
  <si>
    <t>4.276.446,56</t>
  </si>
  <si>
    <t xml:space="preserve">    OPERAÇÕES DE CRÉDITO</t>
  </si>
  <si>
    <t xml:space="preserve">      Operações de Crédito - Mercado Interno</t>
  </si>
  <si>
    <t xml:space="preserve">    AMORTIZAÇÕES DE EMPRÉSTIMOS</t>
  </si>
  <si>
    <t>3.241,81</t>
  </si>
  <si>
    <t>53,30</t>
  </si>
  <si>
    <t>56,20</t>
  </si>
  <si>
    <t>2.664,14</t>
  </si>
  <si>
    <t xml:space="preserve">    TRANSFERÊNCIAS DE CAPITAL</t>
  </si>
  <si>
    <t>129,00</t>
  </si>
  <si>
    <t>(576.480,31)</t>
  </si>
  <si>
    <t>1.983.394,47</t>
  </si>
  <si>
    <t>94,86</t>
  </si>
  <si>
    <t>101.975,08</t>
  </si>
  <si>
    <t xml:space="preserve">    OUTRAS RECEITAS DE CAPITAL</t>
  </si>
  <si>
    <t>60.297,82</t>
  </si>
  <si>
    <t>126,43</t>
  </si>
  <si>
    <t>413,96</t>
  </si>
  <si>
    <t>(149.737,27)</t>
  </si>
  <si>
    <t xml:space="preserve">      Demais Receitas de Capital</t>
  </si>
  <si>
    <t>3.858.982,04</t>
  </si>
  <si>
    <t>12,11</t>
  </si>
  <si>
    <t>26.160.257,77</t>
  </si>
  <si>
    <t>82,09</t>
  </si>
  <si>
    <t>5.707.949,08</t>
  </si>
  <si>
    <t>183.873.546,54</t>
  </si>
  <si>
    <t>26.362.478,68</t>
  </si>
  <si>
    <t>14,34</t>
  </si>
  <si>
    <t>143.908.127,10</t>
  </si>
  <si>
    <t>78,26</t>
  </si>
  <si>
    <t>39.965.419,44</t>
  </si>
  <si>
    <t>FONTE: GOVBR - Responsabilidade Fiscal, SECRETARIA DE MUNICÍPIO DA FAZENDA, 23/Nov/2022, 10h e 18m.</t>
  </si>
  <si>
    <t>14,63</t>
  </si>
  <si>
    <t>79,86</t>
  </si>
  <si>
    <t xml:space="preserve">   Superávit Financeiro Utilizado para Créditos Adicionais</t>
  </si>
  <si>
    <t>147.158.643,47</t>
  </si>
  <si>
    <t>22.090.844,30</t>
  </si>
  <si>
    <t>118.362.101,78</t>
  </si>
  <si>
    <t>28.796.541,69</t>
  </si>
  <si>
    <t>24.460.548,41</t>
  </si>
  <si>
    <t>109.875.921,99</t>
  </si>
  <si>
    <t>37.282.721,48</t>
  </si>
  <si>
    <t>105.533.034,73</t>
  </si>
  <si>
    <t xml:space="preserve">   DESPESAS CORRENTES</t>
  </si>
  <si>
    <t>21.064.135,34</t>
  </si>
  <si>
    <t>22.061.934,84</t>
  </si>
  <si>
    <t>22.088.021,67</t>
  </si>
  <si>
    <t>26.583.380,47</t>
  </si>
  <si>
    <t xml:space="preserve">      PESSOAL E ENCARGOS SOCIAIS</t>
  </si>
  <si>
    <t>15.455.146,14</t>
  </si>
  <si>
    <t>14.777.079,84</t>
  </si>
  <si>
    <t>15.475.393,13</t>
  </si>
  <si>
    <t>14.843.369,39</t>
  </si>
  <si>
    <t xml:space="preserve">      JUROS E ENCARGOS DA DÍVIDA</t>
  </si>
  <si>
    <t>474.173,01</t>
  </si>
  <si>
    <t xml:space="preserve">      OUTRAS DESPESAS CORRENTES</t>
  </si>
  <si>
    <t>5.608.989,20</t>
  </si>
  <si>
    <t>6.810.681,99</t>
  </si>
  <si>
    <t>6.612.628,54</t>
  </si>
  <si>
    <t>11.265.838,07</t>
  </si>
  <si>
    <t xml:space="preserve">   DESPESAS DE CAPITAL</t>
  </si>
  <si>
    <t>1.026.708,96</t>
  </si>
  <si>
    <t>6.733.897,00</t>
  </si>
  <si>
    <t>2.372.526,74</t>
  </si>
  <si>
    <t>10.698.631,16</t>
  </si>
  <si>
    <t xml:space="preserve">      INVESTIMENTOS</t>
  </si>
  <si>
    <t>1.023.708,96</t>
  </si>
  <si>
    <t>6.732.362,00</t>
  </si>
  <si>
    <t>10.694.096,16</t>
  </si>
  <si>
    <t xml:space="preserve">      INVERSÕES FINANCEIRAS</t>
  </si>
  <si>
    <t xml:space="preserve">      AMORTIZAÇÃO DA DÍVIDA</t>
  </si>
  <si>
    <t>32.983.772,73</t>
  </si>
  <si>
    <t>6.168.742,21</t>
  </si>
  <si>
    <t>28.155.589,34</t>
  </si>
  <si>
    <t>4.828.183,39</t>
  </si>
  <si>
    <t>6.138.152,77</t>
  </si>
  <si>
    <t>28.124.999,90</t>
  </si>
  <si>
    <t>4.858.772,83</t>
  </si>
  <si>
    <t>22.635.332,17</t>
  </si>
  <si>
    <t>180.142.416,20</t>
  </si>
  <si>
    <t>28.259.586,51</t>
  </si>
  <si>
    <t>146.517.691,12</t>
  </si>
  <si>
    <t>33.624.725,08</t>
  </si>
  <si>
    <t>30.598.701,18</t>
  </si>
  <si>
    <t>138.000.921,89</t>
  </si>
  <si>
    <t>42.141.494,31</t>
  </si>
  <si>
    <t>128.168.366,90</t>
  </si>
  <si>
    <t xml:space="preserve">   Amortização da Dívida Interna</t>
  </si>
  <si>
    <t xml:space="preserve">   Amortização da Dívida Externa</t>
  </si>
  <si>
    <t>5.907.205,21</t>
  </si>
  <si>
    <t>15.739.760,20</t>
  </si>
  <si>
    <t>1.813.987,41</t>
  </si>
  <si>
    <t>14,92</t>
  </si>
  <si>
    <t>10.711.749,67</t>
  </si>
  <si>
    <t>88,13</t>
  </si>
  <si>
    <t>1.443.118,97</t>
  </si>
  <si>
    <t>2.044.994,63</t>
  </si>
  <si>
    <t>10,45</t>
  </si>
  <si>
    <t>15.312.132,28</t>
  </si>
  <si>
    <t>78,22</t>
  </si>
  <si>
    <t>4.264.830,11</t>
  </si>
  <si>
    <t>32.983.770,73</t>
  </si>
  <si>
    <t>4.828.181,39</t>
  </si>
  <si>
    <t>4.858.770,83</t>
  </si>
  <si>
    <t>29.950.931,67</t>
  </si>
  <si>
    <t>5.789.198,98</t>
  </si>
  <si>
    <t>26.292.321,57</t>
  </si>
  <si>
    <t>3.658.610,10</t>
  </si>
  <si>
    <t>5.758.609,54</t>
  </si>
  <si>
    <t>26.261.732,13</t>
  </si>
  <si>
    <t>3.689.199,54</t>
  </si>
  <si>
    <t>20.987.872,18</t>
  </si>
  <si>
    <t>3.032.838,06</t>
  </si>
  <si>
    <t>379.543,23</t>
  </si>
  <si>
    <t>1.863.267,77</t>
  </si>
  <si>
    <t>1.169.570,29</t>
  </si>
  <si>
    <t>1.647.459,99</t>
  </si>
  <si>
    <t xml:space="preserve">SALDO
</t>
  </si>
  <si>
    <t>(g)=(e-f)</t>
  </si>
  <si>
    <t>(a-c)</t>
  </si>
  <si>
    <t>(i)=(e-h)</t>
  </si>
  <si>
    <t>Disponibilidade Financeira do Recurso Vinculado - Outubro de 2022</t>
  </si>
</sst>
</file>

<file path=xl/styles.xml><?xml version="1.0" encoding="utf-8"?>
<styleSheet xmlns="http://schemas.openxmlformats.org/spreadsheetml/2006/main">
  <numFmts count="9">
    <numFmt numFmtId="43" formatCode="_ * #,##0.00_ ;_ * \-#,##0.00_ ;_ * &quot;-&quot;??_ ;_ @_ "/>
    <numFmt numFmtId="164" formatCode="_(* #,##0.00_);_(* \(#,##0.00\);_(* &quot;-&quot;??_);_(@_)"/>
    <numFmt numFmtId="165" formatCode="###,###,###,##0.00"/>
    <numFmt numFmtId="167" formatCode="[$-416]###,###,###,##0.00"/>
    <numFmt numFmtId="168" formatCode="[$-416]###0.00"/>
    <numFmt numFmtId="169" formatCode="#,##0.00;\(#,##0.00\)"/>
    <numFmt numFmtId="170" formatCode="[$-416]_(\ #,##0.00_);_(&quot; -&quot;#,##0.00_);_(&quot; - &quot;??_);_(@_)"/>
    <numFmt numFmtId="172" formatCode="[$]@"/>
    <numFmt numFmtId="173" formatCode="##0.00"/>
  </numFmts>
  <fonts count="6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6"/>
      <name val="Arial"/>
      <family val="2"/>
    </font>
    <font>
      <sz val="10"/>
      <name val="Arial"/>
      <family val="2"/>
    </font>
    <font>
      <sz val="6"/>
      <color indexed="8"/>
      <name val="Arial"/>
      <family val="2"/>
    </font>
    <font>
      <b/>
      <sz val="6"/>
      <color theme="1"/>
      <name val="Calibri"/>
      <family val="2"/>
      <scheme val="minor"/>
    </font>
    <font>
      <sz val="8"/>
      <name val="Arial"/>
      <family val="2"/>
    </font>
    <font>
      <sz val="8"/>
      <color indexed="63"/>
      <name val="Times New Roman"/>
      <family val="1"/>
    </font>
    <font>
      <b/>
      <sz val="10"/>
      <name val="Arial"/>
      <family val="2"/>
    </font>
    <font>
      <b/>
      <sz val="8"/>
      <name val="Arial"/>
      <family val="2"/>
    </font>
    <font>
      <sz val="8"/>
      <name val="Times New Roman"/>
      <family val="1"/>
    </font>
    <font>
      <sz val="8"/>
      <color theme="1"/>
      <name val="Times New Roman"/>
      <family val="1"/>
    </font>
    <font>
      <b/>
      <sz val="8"/>
      <name val="Times New Roman"/>
      <family val="1"/>
    </font>
    <font>
      <b/>
      <sz val="6"/>
      <name val="Arial"/>
      <family val="2"/>
    </font>
    <font>
      <sz val="6"/>
      <color rgb="FFFF0000"/>
      <name val="Arial"/>
      <family val="2"/>
    </font>
    <font>
      <u/>
      <sz val="6"/>
      <name val="Arial"/>
      <family val="2"/>
    </font>
    <font>
      <b/>
      <u/>
      <sz val="6"/>
      <name val="Arial"/>
      <family val="2"/>
    </font>
    <font>
      <b/>
      <u/>
      <sz val="6"/>
      <color rgb="FFFF0000"/>
      <name val="Arial"/>
      <family val="2"/>
    </font>
    <font>
      <u/>
      <sz val="6"/>
      <color rgb="FFFF0000"/>
      <name val="Arial"/>
      <family val="2"/>
    </font>
    <font>
      <b/>
      <sz val="8"/>
      <color rgb="FFFF0000"/>
      <name val="Arial"/>
      <family val="2"/>
    </font>
    <font>
      <sz val="7"/>
      <name val="Arial"/>
      <family val="2"/>
    </font>
    <font>
      <sz val="8"/>
      <color rgb="FFFF0000"/>
      <name val="Arial"/>
      <family val="2"/>
    </font>
    <font>
      <sz val="7"/>
      <color rgb="FFFF0000"/>
      <name val="Arial"/>
      <family val="2"/>
    </font>
    <font>
      <sz val="6"/>
      <color indexed="8"/>
      <name val="Calibri"/>
      <family val="2"/>
    </font>
    <font>
      <b/>
      <sz val="6"/>
      <color indexed="8"/>
      <name val="Calibri"/>
      <family val="2"/>
    </font>
    <font>
      <b/>
      <sz val="9"/>
      <name val="Arial"/>
      <family val="2"/>
    </font>
    <font>
      <b/>
      <sz val="7"/>
      <name val="Arial"/>
      <family val="2"/>
    </font>
    <font>
      <b/>
      <u/>
      <sz val="8"/>
      <name val="Times New Roman"/>
      <family val="1"/>
    </font>
    <font>
      <b/>
      <u val="singleAccounting"/>
      <sz val="8"/>
      <name val="Times New Roman"/>
      <family val="1"/>
    </font>
    <font>
      <sz val="9"/>
      <name val="Arial"/>
      <family val="2"/>
    </font>
    <font>
      <sz val="12"/>
      <name val="Arial"/>
      <family val="2"/>
    </font>
    <font>
      <sz val="6"/>
      <name val="Calibri"/>
      <family val="2"/>
    </font>
    <font>
      <sz val="6"/>
      <color indexed="63"/>
      <name val="Times New Roman"/>
      <family val="1"/>
    </font>
    <font>
      <b/>
      <sz val="6"/>
      <color rgb="FF000000"/>
      <name val="Calibri"/>
      <family val="2"/>
    </font>
    <font>
      <vertAlign val="superscript"/>
      <sz val="8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rgb="FFFF0000"/>
      <name val="Calibri"/>
      <family val="2"/>
      <scheme val="minor"/>
    </font>
    <font>
      <sz val="8"/>
      <color rgb="FF0070C0"/>
      <name val="Calibri"/>
      <family val="2"/>
      <scheme val="minor"/>
    </font>
    <font>
      <sz val="6"/>
      <color rgb="FFFF0000"/>
      <name val="Calibri"/>
      <family val="2"/>
      <scheme val="minor"/>
    </font>
    <font>
      <sz val="7"/>
      <color theme="1"/>
      <name val="Calibri"/>
      <family val="2"/>
      <scheme val="minor"/>
    </font>
    <font>
      <sz val="7"/>
      <color rgb="FF0070C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7"/>
      <color rgb="FFFF0000"/>
      <name val="Arial"/>
      <family val="2"/>
    </font>
    <font>
      <b/>
      <sz val="10"/>
      <color theme="1"/>
      <name val="Calibri"/>
      <family val="2"/>
      <scheme val="minor"/>
    </font>
    <font>
      <sz val="8"/>
      <name val="Courier New"/>
      <family val="2"/>
    </font>
    <font>
      <b/>
      <u/>
      <sz val="8"/>
      <name val="Arial"/>
      <family val="2"/>
    </font>
    <font>
      <sz val="8"/>
      <color rgb="FF000000"/>
      <name val="Arial"/>
      <family val="2"/>
    </font>
    <font>
      <sz val="7"/>
      <color rgb="FF000000"/>
      <name val="Arial"/>
      <family val="2"/>
    </font>
    <font>
      <b/>
      <sz val="8"/>
      <color rgb="FF000000"/>
      <name val="Arial"/>
      <family val="2"/>
    </font>
    <font>
      <b/>
      <u/>
      <sz val="6"/>
      <color rgb="FF000000"/>
      <name val="Arial"/>
      <family val="2"/>
    </font>
    <font>
      <b/>
      <sz val="6"/>
      <color rgb="FF000000"/>
      <name val="Arial"/>
      <family val="2"/>
    </font>
    <font>
      <sz val="6"/>
      <color rgb="FF000000"/>
      <name val="Arial"/>
      <family val="2"/>
    </font>
    <font>
      <sz val="8"/>
      <color rgb="FF000000"/>
      <name val="Arial"/>
      <family val="2"/>
    </font>
    <font>
      <sz val="6"/>
      <color rgb="FF000000"/>
      <name val="Arial"/>
      <family val="2"/>
    </font>
    <font>
      <sz val="6"/>
      <color rgb="FF000000"/>
      <name val="Lucida Console"/>
      <family val="3"/>
    </font>
    <font>
      <b/>
      <sz val="8"/>
      <color rgb="FFFF0000"/>
      <name val="Calibri"/>
      <family val="2"/>
      <scheme val="minor"/>
    </font>
    <font>
      <i/>
      <sz val="8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rgb="FFDCDCDC"/>
        <bgColor indexed="64"/>
      </patternFill>
    </fill>
    <fill>
      <patternFill patternType="solid">
        <fgColor rgb="FFC0C0C0"/>
        <bgColor rgb="FFCCCCFF"/>
      </patternFill>
    </fill>
    <fill>
      <patternFill patternType="solid">
        <fgColor indexed="22"/>
        <bgColor indexed="31"/>
      </patternFill>
    </fill>
    <fill>
      <patternFill patternType="solid">
        <fgColor rgb="FFFFFFFF"/>
        <bgColor rgb="FFFFFFCC"/>
      </patternFill>
    </fill>
  </fills>
  <borders count="7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91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6" xfId="0" applyFont="1" applyBorder="1" applyAlignment="1">
      <alignment horizontal="center"/>
    </xf>
    <xf numFmtId="0" fontId="2" fillId="0" borderId="1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3" fillId="0" borderId="1" xfId="0" applyFont="1" applyBorder="1"/>
    <xf numFmtId="0" fontId="4" fillId="0" borderId="1" xfId="0" applyFont="1" applyBorder="1"/>
    <xf numFmtId="0" fontId="2" fillId="0" borderId="11" xfId="0" applyFont="1" applyBorder="1"/>
    <xf numFmtId="0" fontId="2" fillId="0" borderId="13" xfId="0" applyFont="1" applyBorder="1"/>
    <xf numFmtId="43" fontId="2" fillId="0" borderId="1" xfId="1" applyFont="1" applyBorder="1"/>
    <xf numFmtId="0" fontId="3" fillId="0" borderId="1" xfId="0" applyFont="1" applyBorder="1" applyAlignment="1">
      <alignment horizontal="center"/>
    </xf>
    <xf numFmtId="0" fontId="8" fillId="0" borderId="1" xfId="0" applyFont="1" applyBorder="1"/>
    <xf numFmtId="43" fontId="3" fillId="0" borderId="1" xfId="1" applyFont="1" applyBorder="1"/>
    <xf numFmtId="43" fontId="3" fillId="0" borderId="1" xfId="0" applyNumberFormat="1" applyFont="1" applyBorder="1"/>
    <xf numFmtId="43" fontId="2" fillId="0" borderId="1" xfId="0" applyNumberFormat="1" applyFont="1" applyBorder="1"/>
    <xf numFmtId="0" fontId="4" fillId="0" borderId="13" xfId="0" applyFont="1" applyBorder="1"/>
    <xf numFmtId="0" fontId="4" fillId="0" borderId="14" xfId="0" applyFont="1" applyBorder="1"/>
    <xf numFmtId="0" fontId="4" fillId="0" borderId="15" xfId="0" applyFont="1" applyBorder="1"/>
    <xf numFmtId="0" fontId="4" fillId="0" borderId="2" xfId="0" applyFont="1" applyBorder="1"/>
    <xf numFmtId="0" fontId="4" fillId="0" borderId="3" xfId="0" applyFont="1" applyBorder="1"/>
    <xf numFmtId="0" fontId="8" fillId="0" borderId="0" xfId="0" applyFont="1"/>
    <xf numFmtId="0" fontId="4" fillId="0" borderId="19" xfId="0" applyFont="1" applyBorder="1"/>
    <xf numFmtId="0" fontId="4" fillId="0" borderId="8" xfId="0" applyFont="1" applyBorder="1"/>
    <xf numFmtId="0" fontId="4" fillId="0" borderId="11" xfId="0" applyFont="1" applyBorder="1"/>
    <xf numFmtId="0" fontId="4" fillId="0" borderId="17" xfId="0" applyFont="1" applyBorder="1"/>
    <xf numFmtId="0" fontId="4" fillId="0" borderId="10" xfId="0" applyFont="1" applyBorder="1"/>
    <xf numFmtId="0" fontId="4" fillId="0" borderId="9" xfId="0" applyFont="1" applyBorder="1"/>
    <xf numFmtId="0" fontId="4" fillId="0" borderId="18" xfId="0" applyFont="1" applyBorder="1"/>
    <xf numFmtId="0" fontId="8" fillId="0" borderId="2" xfId="0" applyFont="1" applyBorder="1"/>
    <xf numFmtId="0" fontId="8" fillId="0" borderId="19" xfId="0" applyFont="1" applyBorder="1"/>
    <xf numFmtId="0" fontId="8" fillId="0" borderId="3" xfId="0" applyFont="1" applyBorder="1"/>
    <xf numFmtId="0" fontId="4" fillId="0" borderId="0" xfId="0" applyFont="1" applyBorder="1"/>
    <xf numFmtId="0" fontId="8" fillId="0" borderId="13" xfId="0" applyFont="1" applyBorder="1"/>
    <xf numFmtId="0" fontId="8" fillId="0" borderId="0" xfId="0" applyFont="1" applyBorder="1"/>
    <xf numFmtId="17" fontId="5" fillId="0" borderId="20" xfId="0" applyNumberFormat="1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8" fillId="0" borderId="9" xfId="0" applyFont="1" applyBorder="1"/>
    <xf numFmtId="0" fontId="5" fillId="0" borderId="18" xfId="0" applyFont="1" applyBorder="1" applyAlignment="1">
      <alignment horizontal="center"/>
    </xf>
    <xf numFmtId="17" fontId="5" fillId="0" borderId="8" xfId="0" applyNumberFormat="1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17" fontId="5" fillId="0" borderId="17" xfId="0" applyNumberFormat="1" applyFont="1" applyBorder="1" applyAlignment="1">
      <alignment horizontal="center"/>
    </xf>
    <xf numFmtId="164" fontId="5" fillId="0" borderId="1" xfId="1" applyNumberFormat="1" applyFont="1" applyBorder="1"/>
    <xf numFmtId="164" fontId="8" fillId="0" borderId="9" xfId="0" applyNumberFormat="1" applyFont="1" applyBorder="1"/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43" fontId="8" fillId="0" borderId="1" xfId="1" applyFont="1" applyBorder="1"/>
    <xf numFmtId="43" fontId="8" fillId="0" borderId="1" xfId="0" applyNumberFormat="1" applyFont="1" applyBorder="1"/>
    <xf numFmtId="43" fontId="4" fillId="0" borderId="1" xfId="1" applyFont="1" applyBorder="1"/>
    <xf numFmtId="0" fontId="5" fillId="0" borderId="2" xfId="0" applyFont="1" applyBorder="1" applyAlignment="1">
      <alignment horizontal="left" wrapText="1"/>
    </xf>
    <xf numFmtId="0" fontId="5" fillId="0" borderId="2" xfId="0" applyFont="1" applyBorder="1" applyAlignment="1">
      <alignment wrapText="1"/>
    </xf>
    <xf numFmtId="0" fontId="9" fillId="0" borderId="0" xfId="0" applyFont="1" applyProtection="1">
      <protection hidden="1"/>
    </xf>
    <xf numFmtId="0" fontId="10" fillId="0" borderId="0" xfId="0" applyFont="1" applyAlignment="1">
      <alignment horizontal="center"/>
    </xf>
    <xf numFmtId="0" fontId="10" fillId="0" borderId="0" xfId="0" applyFont="1" applyAlignment="1"/>
    <xf numFmtId="0" fontId="9" fillId="0" borderId="0" xfId="0" applyFont="1"/>
    <xf numFmtId="0" fontId="10" fillId="0" borderId="0" xfId="0" applyFont="1" applyAlignment="1" applyProtection="1">
      <alignment horizontal="center"/>
      <protection hidden="1"/>
    </xf>
    <xf numFmtId="0" fontId="5" fillId="0" borderId="0" xfId="0" applyFont="1"/>
    <xf numFmtId="4" fontId="5" fillId="0" borderId="0" xfId="0" applyNumberFormat="1" applyFont="1"/>
    <xf numFmtId="164" fontId="5" fillId="0" borderId="0" xfId="1" applyNumberFormat="1" applyFont="1"/>
    <xf numFmtId="164" fontId="7" fillId="0" borderId="1" xfId="1" applyNumberFormat="1" applyFont="1" applyBorder="1"/>
    <xf numFmtId="0" fontId="5" fillId="0" borderId="0" xfId="0" applyFont="1" applyBorder="1" applyAlignment="1">
      <alignment horizontal="center"/>
    </xf>
    <xf numFmtId="0" fontId="11" fillId="0" borderId="0" xfId="0" applyFont="1"/>
    <xf numFmtId="43" fontId="0" fillId="0" borderId="0" xfId="1" applyNumberFormat="1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3" fontId="2" fillId="0" borderId="1" xfId="1" applyNumberFormat="1" applyFont="1" applyBorder="1" applyAlignment="1">
      <alignment horizontal="center"/>
    </xf>
    <xf numFmtId="0" fontId="12" fillId="0" borderId="1" xfId="0" applyFont="1" applyBorder="1"/>
    <xf numFmtId="4" fontId="13" fillId="0" borderId="1" xfId="0" applyNumberFormat="1" applyFont="1" applyBorder="1"/>
    <xf numFmtId="4" fontId="14" fillId="0" borderId="1" xfId="0" applyNumberFormat="1" applyFont="1" applyBorder="1" applyAlignment="1">
      <alignment horizontal="right"/>
    </xf>
    <xf numFmtId="43" fontId="2" fillId="0" borderId="1" xfId="1" applyNumberFormat="1" applyFont="1" applyBorder="1"/>
    <xf numFmtId="4" fontId="12" fillId="0" borderId="15" xfId="0" applyNumberFormat="1" applyFont="1" applyBorder="1"/>
    <xf numFmtId="0" fontId="12" fillId="0" borderId="14" xfId="0" applyFont="1" applyFill="1" applyBorder="1"/>
    <xf numFmtId="43" fontId="2" fillId="0" borderId="0" xfId="1" applyNumberFormat="1" applyFont="1"/>
    <xf numFmtId="0" fontId="12" fillId="0" borderId="0" xfId="0" applyFont="1" applyFill="1" applyBorder="1"/>
    <xf numFmtId="43" fontId="3" fillId="0" borderId="0" xfId="1" applyNumberFormat="1" applyFont="1" applyAlignment="1">
      <alignment horizontal="center"/>
    </xf>
    <xf numFmtId="4" fontId="15" fillId="0" borderId="1" xfId="0" applyNumberFormat="1" applyFont="1" applyBorder="1"/>
    <xf numFmtId="164" fontId="12" fillId="0" borderId="1" xfId="1" applyNumberFormat="1" applyFont="1" applyBorder="1"/>
    <xf numFmtId="4" fontId="12" fillId="0" borderId="1" xfId="0" applyNumberFormat="1" applyFont="1" applyBorder="1"/>
    <xf numFmtId="0" fontId="16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3" fontId="5" fillId="0" borderId="0" xfId="0" applyNumberFormat="1" applyFont="1" applyAlignment="1">
      <alignment horizontal="center"/>
    </xf>
    <xf numFmtId="164" fontId="5" fillId="0" borderId="0" xfId="1" applyNumberFormat="1" applyFont="1" applyAlignment="1">
      <alignment horizontal="center"/>
    </xf>
    <xf numFmtId="164" fontId="16" fillId="0" borderId="0" xfId="1" applyNumberFormat="1" applyFont="1" applyAlignment="1">
      <alignment horizontal="center"/>
    </xf>
    <xf numFmtId="164" fontId="16" fillId="0" borderId="0" xfId="1" applyNumberFormat="1" applyFont="1"/>
    <xf numFmtId="4" fontId="17" fillId="0" borderId="0" xfId="0" applyNumberFormat="1" applyFont="1"/>
    <xf numFmtId="3" fontId="5" fillId="0" borderId="1" xfId="0" applyNumberFormat="1" applyFont="1" applyBorder="1" applyAlignment="1">
      <alignment horizontal="center"/>
    </xf>
    <xf numFmtId="3" fontId="16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64" fontId="16" fillId="0" borderId="1" xfId="1" applyNumberFormat="1" applyFont="1" applyBorder="1" applyAlignment="1">
      <alignment horizontal="center"/>
    </xf>
    <xf numFmtId="164" fontId="5" fillId="0" borderId="1" xfId="1" applyNumberFormat="1" applyFont="1" applyBorder="1" applyAlignment="1">
      <alignment horizontal="center"/>
    </xf>
    <xf numFmtId="4" fontId="5" fillId="0" borderId="1" xfId="0" applyNumberFormat="1" applyFont="1" applyBorder="1"/>
    <xf numFmtId="4" fontId="17" fillId="0" borderId="1" xfId="0" applyNumberFormat="1" applyFont="1" applyBorder="1"/>
    <xf numFmtId="164" fontId="17" fillId="0" borderId="1" xfId="1" applyNumberFormat="1" applyFont="1" applyBorder="1"/>
    <xf numFmtId="4" fontId="5" fillId="0" borderId="1" xfId="0" applyNumberFormat="1" applyFont="1" applyBorder="1" applyAlignment="1">
      <alignment horizontal="center"/>
    </xf>
    <xf numFmtId="0" fontId="16" fillId="0" borderId="1" xfId="0" applyFont="1" applyBorder="1"/>
    <xf numFmtId="4" fontId="18" fillId="0" borderId="1" xfId="0" applyNumberFormat="1" applyFont="1" applyBorder="1"/>
    <xf numFmtId="4" fontId="19" fillId="0" borderId="1" xfId="0" applyNumberFormat="1" applyFont="1" applyBorder="1"/>
    <xf numFmtId="4" fontId="20" fillId="0" borderId="1" xfId="0" applyNumberFormat="1" applyFont="1" applyBorder="1"/>
    <xf numFmtId="4" fontId="21" fillId="0" borderId="1" xfId="0" applyNumberFormat="1" applyFont="1" applyBorder="1"/>
    <xf numFmtId="0" fontId="16" fillId="0" borderId="0" xfId="0" applyFont="1"/>
    <xf numFmtId="0" fontId="16" fillId="0" borderId="0" xfId="0" applyFont="1" applyBorder="1"/>
    <xf numFmtId="4" fontId="18" fillId="0" borderId="0" xfId="0" applyNumberFormat="1" applyFont="1" applyBorder="1"/>
    <xf numFmtId="4" fontId="19" fillId="0" borderId="0" xfId="0" applyNumberFormat="1" applyFont="1" applyBorder="1"/>
    <xf numFmtId="4" fontId="20" fillId="0" borderId="0" xfId="0" applyNumberFormat="1" applyFont="1" applyBorder="1"/>
    <xf numFmtId="4" fontId="16" fillId="0" borderId="0" xfId="0" applyNumberFormat="1" applyFont="1"/>
    <xf numFmtId="10" fontId="20" fillId="0" borderId="0" xfId="2" applyNumberFormat="1" applyFont="1" applyBorder="1" applyAlignment="1">
      <alignment horizontal="center"/>
    </xf>
    <xf numFmtId="0" fontId="16" fillId="0" borderId="2" xfId="0" applyFont="1" applyBorder="1"/>
    <xf numFmtId="4" fontId="19" fillId="0" borderId="0" xfId="0" applyNumberFormat="1" applyFont="1"/>
    <xf numFmtId="0" fontId="19" fillId="0" borderId="0" xfId="0" applyFont="1"/>
    <xf numFmtId="3" fontId="5" fillId="0" borderId="0" xfId="0" applyNumberFormat="1" applyFont="1"/>
    <xf numFmtId="2" fontId="5" fillId="0" borderId="0" xfId="0" applyNumberFormat="1" applyFont="1" applyAlignment="1">
      <alignment horizontal="center"/>
    </xf>
    <xf numFmtId="43" fontId="5" fillId="0" borderId="0" xfId="0" applyNumberFormat="1" applyFont="1"/>
    <xf numFmtId="0" fontId="16" fillId="0" borderId="1" xfId="0" applyFont="1" applyBorder="1" applyAlignment="1">
      <alignment horizontal="right"/>
    </xf>
    <xf numFmtId="4" fontId="16" fillId="0" borderId="1" xfId="0" applyNumberFormat="1" applyFont="1" applyBorder="1"/>
    <xf numFmtId="0" fontId="16" fillId="0" borderId="19" xfId="0" applyFont="1" applyBorder="1" applyAlignment="1">
      <alignment horizontal="center"/>
    </xf>
    <xf numFmtId="0" fontId="16" fillId="0" borderId="19" xfId="0" applyFont="1" applyBorder="1"/>
    <xf numFmtId="2" fontId="16" fillId="0" borderId="19" xfId="0" applyNumberFormat="1" applyFont="1" applyBorder="1" applyAlignment="1">
      <alignment horizontal="center"/>
    </xf>
    <xf numFmtId="164" fontId="17" fillId="0" borderId="19" xfId="1" applyNumberFormat="1" applyFont="1" applyBorder="1" applyAlignment="1">
      <alignment horizontal="center"/>
    </xf>
    <xf numFmtId="164" fontId="5" fillId="0" borderId="19" xfId="1" applyNumberFormat="1" applyFont="1" applyBorder="1" applyAlignment="1">
      <alignment horizontal="center"/>
    </xf>
    <xf numFmtId="10" fontId="16" fillId="0" borderId="0" xfId="0" applyNumberFormat="1" applyFont="1"/>
    <xf numFmtId="10" fontId="5" fillId="0" borderId="0" xfId="2" applyNumberFormat="1" applyFont="1"/>
    <xf numFmtId="10" fontId="5" fillId="0" borderId="0" xfId="0" applyNumberFormat="1" applyFont="1"/>
    <xf numFmtId="43" fontId="16" fillId="0" borderId="0" xfId="0" applyNumberFormat="1" applyFont="1" applyAlignment="1">
      <alignment horizontal="right"/>
    </xf>
    <xf numFmtId="4" fontId="16" fillId="0" borderId="19" xfId="0" applyNumberFormat="1" applyFont="1" applyBorder="1"/>
    <xf numFmtId="0" fontId="16" fillId="0" borderId="19" xfId="0" applyFont="1" applyBorder="1" applyAlignment="1">
      <alignment horizontal="right"/>
    </xf>
    <xf numFmtId="10" fontId="16" fillId="0" borderId="19" xfId="2" applyNumberFormat="1" applyFont="1" applyBorder="1"/>
    <xf numFmtId="0" fontId="12" fillId="0" borderId="0" xfId="0" applyFont="1"/>
    <xf numFmtId="164" fontId="9" fillId="0" borderId="0" xfId="1" applyNumberFormat="1" applyFont="1"/>
    <xf numFmtId="0" fontId="9" fillId="0" borderId="8" xfId="0" applyFont="1" applyBorder="1"/>
    <xf numFmtId="0" fontId="9" fillId="0" borderId="1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10" xfId="0" applyFont="1" applyBorder="1"/>
    <xf numFmtId="0" fontId="9" fillId="0" borderId="0" xfId="0" applyFont="1" applyBorder="1"/>
    <xf numFmtId="4" fontId="9" fillId="0" borderId="10" xfId="0" applyNumberFormat="1" applyFont="1" applyBorder="1"/>
    <xf numFmtId="164" fontId="9" fillId="0" borderId="8" xfId="1" applyNumberFormat="1" applyFont="1" applyBorder="1"/>
    <xf numFmtId="164" fontId="9" fillId="0" borderId="14" xfId="1" applyNumberFormat="1" applyFont="1" applyBorder="1"/>
    <xf numFmtId="164" fontId="9" fillId="0" borderId="0" xfId="1" applyNumberFormat="1" applyFont="1" applyBorder="1"/>
    <xf numFmtId="164" fontId="9" fillId="0" borderId="13" xfId="1" applyNumberFormat="1" applyFont="1" applyBorder="1"/>
    <xf numFmtId="4" fontId="9" fillId="0" borderId="0" xfId="0" applyNumberFormat="1" applyFont="1" applyBorder="1"/>
    <xf numFmtId="164" fontId="9" fillId="0" borderId="10" xfId="1" applyNumberFormat="1" applyFont="1" applyBorder="1"/>
    <xf numFmtId="164" fontId="23" fillId="0" borderId="10" xfId="1" applyNumberFormat="1" applyFont="1" applyBorder="1"/>
    <xf numFmtId="0" fontId="24" fillId="0" borderId="0" xfId="0" applyFont="1" applyBorder="1"/>
    <xf numFmtId="164" fontId="24" fillId="0" borderId="10" xfId="1" applyNumberFormat="1" applyFont="1" applyBorder="1"/>
    <xf numFmtId="164" fontId="24" fillId="0" borderId="14" xfId="1" applyNumberFormat="1" applyFont="1" applyBorder="1"/>
    <xf numFmtId="164" fontId="24" fillId="0" borderId="0" xfId="1" applyNumberFormat="1" applyFont="1" applyBorder="1"/>
    <xf numFmtId="4" fontId="9" fillId="0" borderId="0" xfId="0" applyNumberFormat="1" applyFont="1"/>
    <xf numFmtId="164" fontId="17" fillId="0" borderId="10" xfId="1" applyNumberFormat="1" applyFont="1" applyBorder="1"/>
    <xf numFmtId="164" fontId="22" fillId="0" borderId="14" xfId="1" applyNumberFormat="1" applyFont="1" applyBorder="1"/>
    <xf numFmtId="164" fontId="17" fillId="0" borderId="0" xfId="1" applyNumberFormat="1" applyFont="1" applyBorder="1"/>
    <xf numFmtId="4" fontId="9" fillId="0" borderId="13" xfId="0" applyNumberFormat="1" applyFont="1" applyBorder="1"/>
    <xf numFmtId="0" fontId="9" fillId="0" borderId="2" xfId="0" applyFont="1" applyBorder="1"/>
    <xf numFmtId="0" fontId="9" fillId="0" borderId="3" xfId="0" applyFont="1" applyBorder="1" applyAlignment="1">
      <alignment horizontal="center"/>
    </xf>
    <xf numFmtId="4" fontId="12" fillId="0" borderId="19" xfId="0" applyNumberFormat="1" applyFont="1" applyBorder="1"/>
    <xf numFmtId="4" fontId="12" fillId="0" borderId="3" xfId="0" applyNumberFormat="1" applyFont="1" applyBorder="1"/>
    <xf numFmtId="4" fontId="12" fillId="0" borderId="2" xfId="0" applyNumberFormat="1" applyFont="1" applyBorder="1"/>
    <xf numFmtId="10" fontId="9" fillId="0" borderId="0" xfId="2" applyNumberFormat="1" applyFont="1" applyAlignment="1">
      <alignment horizontal="center"/>
    </xf>
    <xf numFmtId="164" fontId="9" fillId="0" borderId="1" xfId="1" applyNumberFormat="1" applyFont="1" applyBorder="1"/>
    <xf numFmtId="0" fontId="9" fillId="0" borderId="0" xfId="0" applyFont="1" applyAlignment="1">
      <alignment horizontal="right"/>
    </xf>
    <xf numFmtId="164" fontId="9" fillId="0" borderId="0" xfId="0" applyNumberFormat="1" applyFont="1"/>
    <xf numFmtId="164" fontId="16" fillId="0" borderId="1" xfId="1" applyNumberFormat="1" applyFont="1" applyBorder="1"/>
    <xf numFmtId="43" fontId="9" fillId="0" borderId="0" xfId="0" applyNumberFormat="1" applyFont="1"/>
    <xf numFmtId="164" fontId="23" fillId="0" borderId="1" xfId="1" applyNumberFormat="1" applyFont="1" applyBorder="1"/>
    <xf numFmtId="0" fontId="9" fillId="0" borderId="1" xfId="0" applyFont="1" applyBorder="1"/>
    <xf numFmtId="0" fontId="9" fillId="0" borderId="0" xfId="0" applyFont="1" applyBorder="1" applyAlignment="1">
      <alignment horizontal="center"/>
    </xf>
    <xf numFmtId="0" fontId="5" fillId="0" borderId="1" xfId="0" applyFont="1" applyBorder="1" applyAlignment="1"/>
    <xf numFmtId="164" fontId="25" fillId="0" borderId="1" xfId="1" applyNumberFormat="1" applyFont="1" applyBorder="1"/>
    <xf numFmtId="10" fontId="9" fillId="0" borderId="0" xfId="2" applyNumberFormat="1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/>
    <xf numFmtId="0" fontId="9" fillId="0" borderId="1" xfId="0" applyFont="1" applyBorder="1" applyAlignment="1">
      <alignment horizontal="right"/>
    </xf>
    <xf numFmtId="164" fontId="9" fillId="0" borderId="0" xfId="2" quotePrefix="1" applyNumberFormat="1" applyFont="1" applyBorder="1" applyAlignment="1">
      <alignment horizontal="center"/>
    </xf>
    <xf numFmtId="0" fontId="12" fillId="0" borderId="0" xfId="0" applyFont="1" applyAlignment="1">
      <alignment horizontal="center"/>
    </xf>
    <xf numFmtId="164" fontId="9" fillId="0" borderId="1" xfId="0" applyNumberFormat="1" applyFont="1" applyBorder="1"/>
    <xf numFmtId="10" fontId="9" fillId="0" borderId="1" xfId="2" applyNumberFormat="1" applyFont="1" applyBorder="1" applyAlignment="1">
      <alignment horizontal="center"/>
    </xf>
    <xf numFmtId="10" fontId="9" fillId="0" borderId="1" xfId="2" applyNumberFormat="1" applyFont="1" applyBorder="1"/>
    <xf numFmtId="164" fontId="9" fillId="0" borderId="1" xfId="1" applyNumberFormat="1" applyFont="1" applyFill="1" applyBorder="1" applyAlignment="1">
      <alignment horizontal="right"/>
    </xf>
    <xf numFmtId="10" fontId="12" fillId="2" borderId="1" xfId="2" applyNumberFormat="1" applyFont="1" applyFill="1" applyBorder="1" applyAlignment="1">
      <alignment horizontal="center"/>
    </xf>
    <xf numFmtId="164" fontId="12" fillId="2" borderId="1" xfId="1" applyNumberFormat="1" applyFont="1" applyFill="1" applyBorder="1"/>
    <xf numFmtId="10" fontId="12" fillId="0" borderId="1" xfId="2" applyNumberFormat="1" applyFont="1" applyBorder="1"/>
    <xf numFmtId="0" fontId="12" fillId="0" borderId="0" xfId="0" applyFont="1" applyAlignment="1">
      <alignment horizontal="left"/>
    </xf>
    <xf numFmtId="43" fontId="5" fillId="0" borderId="0" xfId="0" applyNumberFormat="1" applyFont="1" applyBorder="1" applyAlignment="1">
      <alignment horizontal="center"/>
    </xf>
    <xf numFmtId="164" fontId="24" fillId="0" borderId="1" xfId="1" applyNumberFormat="1" applyFont="1" applyBorder="1"/>
    <xf numFmtId="164" fontId="12" fillId="0" borderId="1" xfId="0" applyNumberFormat="1" applyFont="1" applyBorder="1"/>
    <xf numFmtId="164" fontId="9" fillId="0" borderId="1" xfId="1" applyNumberFormat="1" applyFont="1" applyBorder="1" applyAlignment="1">
      <alignment horizontal="center"/>
    </xf>
    <xf numFmtId="10" fontId="9" fillId="0" borderId="0" xfId="2" applyNumberFormat="1" applyFont="1" applyBorder="1"/>
    <xf numFmtId="4" fontId="9" fillId="0" borderId="1" xfId="0" applyNumberFormat="1" applyFont="1" applyBorder="1"/>
    <xf numFmtId="164" fontId="16" fillId="0" borderId="1" xfId="0" applyNumberFormat="1" applyFont="1" applyBorder="1"/>
    <xf numFmtId="164" fontId="9" fillId="0" borderId="0" xfId="1" applyNumberFormat="1" applyFont="1" applyBorder="1" applyAlignment="1">
      <alignment horizontal="center"/>
    </xf>
    <xf numFmtId="164" fontId="12" fillId="0" borderId="0" xfId="1" applyNumberFormat="1" applyFont="1" applyBorder="1"/>
    <xf numFmtId="164" fontId="5" fillId="0" borderId="0" xfId="0" applyNumberFormat="1" applyFont="1"/>
    <xf numFmtId="0" fontId="12" fillId="0" borderId="0" xfId="0" applyFont="1" applyAlignment="1">
      <alignment horizontal="right"/>
    </xf>
    <xf numFmtId="4" fontId="12" fillId="0" borderId="0" xfId="0" applyNumberFormat="1" applyFont="1"/>
    <xf numFmtId="0" fontId="26" fillId="0" borderId="0" xfId="0" applyFont="1"/>
    <xf numFmtId="0" fontId="27" fillId="0" borderId="0" xfId="0" applyFont="1"/>
    <xf numFmtId="0" fontId="5" fillId="0" borderId="1" xfId="3" applyFont="1" applyBorder="1"/>
    <xf numFmtId="0" fontId="16" fillId="0" borderId="0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5" fillId="0" borderId="1" xfId="3" applyFont="1" applyBorder="1" applyAlignment="1">
      <alignment horizontal="center"/>
    </xf>
    <xf numFmtId="10" fontId="5" fillId="0" borderId="1" xfId="4" quotePrefix="1" applyNumberFormat="1" applyFont="1" applyBorder="1" applyAlignment="1">
      <alignment horizontal="center"/>
    </xf>
    <xf numFmtId="10" fontId="5" fillId="0" borderId="0" xfId="4" applyNumberFormat="1" applyFont="1" applyAlignment="1">
      <alignment horizontal="center"/>
    </xf>
    <xf numFmtId="10" fontId="5" fillId="0" borderId="1" xfId="4" applyNumberFormat="1" applyFont="1" applyBorder="1"/>
    <xf numFmtId="164" fontId="5" fillId="0" borderId="1" xfId="5" applyFont="1" applyBorder="1"/>
    <xf numFmtId="164" fontId="5" fillId="0" borderId="0" xfId="1" applyNumberFormat="1" applyFont="1" applyBorder="1"/>
    <xf numFmtId="164" fontId="5" fillId="0" borderId="1" xfId="1" applyNumberFormat="1" applyFont="1" applyBorder="1" applyProtection="1">
      <protection hidden="1"/>
    </xf>
    <xf numFmtId="164" fontId="16" fillId="0" borderId="0" xfId="1" applyNumberFormat="1" applyFont="1" applyBorder="1"/>
    <xf numFmtId="10" fontId="5" fillId="0" borderId="1" xfId="4" applyNumberFormat="1" applyFont="1" applyBorder="1" applyAlignment="1">
      <alignment horizontal="center"/>
    </xf>
    <xf numFmtId="10" fontId="5" fillId="0" borderId="1" xfId="4" applyNumberFormat="1" applyFont="1" applyFill="1" applyBorder="1" applyAlignment="1">
      <alignment horizontal="center"/>
    </xf>
    <xf numFmtId="10" fontId="5" fillId="0" borderId="1" xfId="0" applyNumberFormat="1" applyFont="1" applyBorder="1" applyAlignment="1">
      <alignment horizontal="center"/>
    </xf>
    <xf numFmtId="0" fontId="5" fillId="0" borderId="0" xfId="3" applyFont="1"/>
    <xf numFmtId="164" fontId="5" fillId="0" borderId="0" xfId="3" applyNumberFormat="1" applyFont="1"/>
    <xf numFmtId="0" fontId="5" fillId="0" borderId="1" xfId="0" quotePrefix="1" applyFont="1" applyBorder="1" applyAlignment="1">
      <alignment horizontal="center"/>
    </xf>
    <xf numFmtId="0" fontId="16" fillId="0" borderId="2" xfId="0" applyFont="1" applyBorder="1" applyAlignment="1">
      <alignment horizontal="left"/>
    </xf>
    <xf numFmtId="0" fontId="16" fillId="0" borderId="3" xfId="0" applyFont="1" applyBorder="1"/>
    <xf numFmtId="164" fontId="5" fillId="0" borderId="2" xfId="4" applyNumberFormat="1" applyFont="1" applyBorder="1" applyAlignment="1">
      <alignment horizontal="center"/>
    </xf>
    <xf numFmtId="164" fontId="5" fillId="0" borderId="19" xfId="4" applyNumberFormat="1" applyFont="1" applyBorder="1" applyAlignment="1">
      <alignment horizontal="center"/>
    </xf>
    <xf numFmtId="0" fontId="16" fillId="0" borderId="1" xfId="3" applyFont="1" applyBorder="1"/>
    <xf numFmtId="10" fontId="5" fillId="0" borderId="0" xfId="4" applyNumberFormat="1" applyFont="1"/>
    <xf numFmtId="164" fontId="5" fillId="0" borderId="1" xfId="3" applyNumberFormat="1" applyFont="1" applyBorder="1"/>
    <xf numFmtId="0" fontId="5" fillId="0" borderId="1" xfId="0" applyFont="1" applyBorder="1"/>
    <xf numFmtId="0" fontId="16" fillId="0" borderId="1" xfId="0" quotePrefix="1" applyFont="1" applyBorder="1" applyAlignment="1">
      <alignment horizontal="center"/>
    </xf>
    <xf numFmtId="2" fontId="5" fillId="0" borderId="1" xfId="0" applyNumberFormat="1" applyFont="1" applyBorder="1"/>
    <xf numFmtId="0" fontId="5" fillId="0" borderId="2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16" fillId="0" borderId="9" xfId="0" applyFont="1" applyBorder="1"/>
    <xf numFmtId="0" fontId="5" fillId="0" borderId="13" xfId="0" applyFont="1" applyBorder="1" applyAlignment="1">
      <alignment horizontal="left"/>
    </xf>
    <xf numFmtId="0" fontId="5" fillId="0" borderId="14" xfId="0" applyFont="1" applyBorder="1"/>
    <xf numFmtId="164" fontId="5" fillId="0" borderId="3" xfId="1" applyNumberFormat="1" applyFont="1" applyBorder="1"/>
    <xf numFmtId="0" fontId="5" fillId="0" borderId="2" xfId="0" applyFont="1" applyBorder="1" applyAlignment="1">
      <alignment horizontal="left"/>
    </xf>
    <xf numFmtId="0" fontId="5" fillId="0" borderId="3" xfId="0" applyFont="1" applyBorder="1"/>
    <xf numFmtId="0" fontId="16" fillId="0" borderId="8" xfId="0" applyFont="1" applyBorder="1"/>
    <xf numFmtId="0" fontId="5" fillId="0" borderId="2" xfId="0" applyFont="1" applyBorder="1"/>
    <xf numFmtId="0" fontId="16" fillId="0" borderId="19" xfId="0" quotePrefix="1" applyFont="1" applyBorder="1" applyAlignment="1">
      <alignment horizontal="left"/>
    </xf>
    <xf numFmtId="0" fontId="5" fillId="0" borderId="19" xfId="0" applyFont="1" applyBorder="1"/>
    <xf numFmtId="164" fontId="5" fillId="0" borderId="0" xfId="1" applyNumberFormat="1" applyFont="1" applyAlignment="1">
      <alignment horizontal="right"/>
    </xf>
    <xf numFmtId="0" fontId="5" fillId="0" borderId="0" xfId="0" applyFont="1" applyBorder="1"/>
    <xf numFmtId="164" fontId="5" fillId="0" borderId="0" xfId="0" applyNumberFormat="1" applyFont="1" applyAlignment="1"/>
    <xf numFmtId="0" fontId="16" fillId="0" borderId="2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4" fontId="5" fillId="0" borderId="13" xfId="0" applyNumberFormat="1" applyFont="1" applyBorder="1"/>
    <xf numFmtId="4" fontId="5" fillId="0" borderId="10" xfId="0" applyNumberFormat="1" applyFont="1" applyBorder="1"/>
    <xf numFmtId="164" fontId="5" fillId="0" borderId="8" xfId="1" applyNumberFormat="1" applyFont="1" applyBorder="1"/>
    <xf numFmtId="4" fontId="5" fillId="0" borderId="8" xfId="0" applyNumberFormat="1" applyFont="1" applyBorder="1"/>
    <xf numFmtId="0" fontId="5" fillId="0" borderId="13" xfId="0" applyFont="1" applyBorder="1"/>
    <xf numFmtId="0" fontId="5" fillId="0" borderId="10" xfId="0" applyFont="1" applyBorder="1"/>
    <xf numFmtId="164" fontId="5" fillId="0" borderId="10" xfId="1" applyNumberFormat="1" applyFont="1" applyBorder="1"/>
    <xf numFmtId="43" fontId="5" fillId="0" borderId="1" xfId="0" applyNumberFormat="1" applyFont="1" applyBorder="1"/>
    <xf numFmtId="4" fontId="5" fillId="0" borderId="2" xfId="0" applyNumberFormat="1" applyFont="1" applyBorder="1"/>
    <xf numFmtId="4" fontId="5" fillId="0" borderId="19" xfId="0" applyNumberFormat="1" applyFont="1" applyBorder="1"/>
    <xf numFmtId="164" fontId="5" fillId="0" borderId="19" xfId="0" applyNumberFormat="1" applyFont="1" applyBorder="1"/>
    <xf numFmtId="0" fontId="5" fillId="0" borderId="19" xfId="0" applyFont="1" applyBorder="1" applyAlignment="1">
      <alignment horizontal="right"/>
    </xf>
    <xf numFmtId="164" fontId="12" fillId="0" borderId="0" xfId="1" applyNumberFormat="1" applyFont="1"/>
    <xf numFmtId="0" fontId="28" fillId="0" borderId="0" xfId="0" applyFont="1" applyAlignment="1">
      <alignment horizontal="center"/>
    </xf>
    <xf numFmtId="0" fontId="12" fillId="0" borderId="17" xfId="0" applyFont="1" applyBorder="1" applyAlignment="1">
      <alignment horizontal="left"/>
    </xf>
    <xf numFmtId="0" fontId="12" fillId="0" borderId="12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2" fillId="0" borderId="17" xfId="0" applyFont="1" applyBorder="1" applyAlignment="1">
      <alignment horizontal="center"/>
    </xf>
    <xf numFmtId="0" fontId="12" fillId="0" borderId="8" xfId="0" quotePrefix="1" applyFont="1" applyBorder="1" applyAlignment="1">
      <alignment horizontal="center"/>
    </xf>
    <xf numFmtId="0" fontId="9" fillId="0" borderId="18" xfId="0" applyFont="1" applyBorder="1" applyAlignment="1">
      <alignment horizontal="right"/>
    </xf>
    <xf numFmtId="0" fontId="12" fillId="0" borderId="9" xfId="0" applyFont="1" applyBorder="1" applyAlignment="1">
      <alignment horizontal="center"/>
    </xf>
    <xf numFmtId="0" fontId="12" fillId="0" borderId="18" xfId="0" applyFont="1" applyBorder="1" applyAlignment="1">
      <alignment horizontal="center"/>
    </xf>
    <xf numFmtId="0" fontId="12" fillId="0" borderId="16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19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2" fillId="0" borderId="10" xfId="0" applyFont="1" applyBorder="1"/>
    <xf numFmtId="0" fontId="9" fillId="0" borderId="11" xfId="0" applyFont="1" applyBorder="1"/>
    <xf numFmtId="0" fontId="12" fillId="0" borderId="17" xfId="0" applyFont="1" applyBorder="1"/>
    <xf numFmtId="0" fontId="11" fillId="0" borderId="12" xfId="0" applyFont="1" applyBorder="1"/>
    <xf numFmtId="4" fontId="13" fillId="0" borderId="0" xfId="0" applyNumberFormat="1" applyFont="1" applyBorder="1"/>
    <xf numFmtId="4" fontId="13" fillId="0" borderId="8" xfId="0" applyNumberFormat="1" applyFont="1" applyBorder="1"/>
    <xf numFmtId="4" fontId="15" fillId="0" borderId="0" xfId="0" applyNumberFormat="1" applyFont="1"/>
    <xf numFmtId="4" fontId="12" fillId="0" borderId="14" xfId="0" applyNumberFormat="1" applyFont="1" applyBorder="1"/>
    <xf numFmtId="164" fontId="12" fillId="0" borderId="10" xfId="1" applyNumberFormat="1" applyFont="1" applyBorder="1"/>
    <xf numFmtId="4" fontId="11" fillId="0" borderId="0" xfId="0" applyNumberFormat="1" applyFont="1"/>
    <xf numFmtId="0" fontId="9" fillId="0" borderId="13" xfId="0" applyFont="1" applyBorder="1"/>
    <xf numFmtId="0" fontId="12" fillId="0" borderId="0" xfId="0" applyFont="1" applyBorder="1"/>
    <xf numFmtId="0" fontId="11" fillId="0" borderId="14" xfId="0" applyFont="1" applyBorder="1"/>
    <xf numFmtId="4" fontId="13" fillId="0" borderId="10" xfId="0" applyNumberFormat="1" applyFont="1" applyBorder="1"/>
    <xf numFmtId="164" fontId="11" fillId="0" borderId="0" xfId="1" applyNumberFormat="1" applyFont="1"/>
    <xf numFmtId="0" fontId="11" fillId="0" borderId="0" xfId="0" applyFont="1" applyBorder="1"/>
    <xf numFmtId="43" fontId="11" fillId="0" borderId="0" xfId="0" applyNumberFormat="1" applyFont="1"/>
    <xf numFmtId="0" fontId="12" fillId="0" borderId="9" xfId="0" applyFont="1" applyBorder="1"/>
    <xf numFmtId="0" fontId="9" fillId="0" borderId="15" xfId="0" applyFont="1" applyBorder="1"/>
    <xf numFmtId="0" fontId="11" fillId="0" borderId="18" xfId="0" applyFont="1" applyBorder="1"/>
    <xf numFmtId="0" fontId="11" fillId="0" borderId="16" xfId="0" applyFont="1" applyBorder="1"/>
    <xf numFmtId="4" fontId="13" fillId="0" borderId="9" xfId="0" applyNumberFormat="1" applyFont="1" applyBorder="1"/>
    <xf numFmtId="0" fontId="11" fillId="0" borderId="19" xfId="0" applyFont="1" applyBorder="1"/>
    <xf numFmtId="0" fontId="11" fillId="0" borderId="3" xfId="0" applyFont="1" applyBorder="1"/>
    <xf numFmtId="4" fontId="9" fillId="0" borderId="2" xfId="0" applyNumberFormat="1" applyFont="1" applyBorder="1"/>
    <xf numFmtId="4" fontId="29" fillId="0" borderId="9" xfId="0" applyNumberFormat="1" applyFont="1" applyBorder="1"/>
    <xf numFmtId="164" fontId="16" fillId="0" borderId="0" xfId="0" applyNumberFormat="1" applyFont="1"/>
    <xf numFmtId="0" fontId="30" fillId="0" borderId="0" xfId="0" applyFont="1"/>
    <xf numFmtId="0" fontId="9" fillId="0" borderId="0" xfId="0" applyFont="1" applyFill="1" applyBorder="1" applyAlignment="1">
      <alignment horizontal="left"/>
    </xf>
    <xf numFmtId="164" fontId="31" fillId="0" borderId="0" xfId="1" applyNumberFormat="1" applyFont="1"/>
    <xf numFmtId="0" fontId="12" fillId="0" borderId="0" xfId="0" applyFont="1" applyFill="1" applyBorder="1" applyAlignment="1">
      <alignment horizontal="right"/>
    </xf>
    <xf numFmtId="4" fontId="22" fillId="0" borderId="0" xfId="0" applyNumberFormat="1" applyFont="1" applyAlignment="1">
      <alignment horizontal="center"/>
    </xf>
    <xf numFmtId="0" fontId="28" fillId="0" borderId="0" xfId="0" applyFont="1"/>
    <xf numFmtId="164" fontId="11" fillId="0" borderId="0" xfId="0" applyNumberFormat="1" applyFont="1"/>
    <xf numFmtId="164" fontId="12" fillId="0" borderId="0" xfId="4" applyNumberFormat="1" applyFont="1"/>
    <xf numFmtId="0" fontId="32" fillId="0" borderId="0" xfId="0" applyFont="1" applyBorder="1"/>
    <xf numFmtId="164" fontId="28" fillId="0" borderId="0" xfId="1" applyNumberFormat="1" applyFont="1"/>
    <xf numFmtId="164" fontId="11" fillId="0" borderId="0" xfId="0" applyNumberFormat="1" applyFont="1" applyBorder="1"/>
    <xf numFmtId="17" fontId="5" fillId="0" borderId="11" xfId="0" applyNumberFormat="1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4" fontId="2" fillId="0" borderId="1" xfId="0" applyNumberFormat="1" applyFont="1" applyBorder="1"/>
    <xf numFmtId="43" fontId="2" fillId="0" borderId="2" xfId="1" applyFont="1" applyBorder="1"/>
    <xf numFmtId="164" fontId="7" fillId="0" borderId="8" xfId="1" applyNumberFormat="1" applyFont="1" applyBorder="1"/>
    <xf numFmtId="0" fontId="3" fillId="0" borderId="18" xfId="0" applyFont="1" applyBorder="1"/>
    <xf numFmtId="0" fontId="33" fillId="0" borderId="0" xfId="0" applyFont="1"/>
    <xf numFmtId="0" fontId="5" fillId="0" borderId="4" xfId="0" applyFont="1" applyBorder="1"/>
    <xf numFmtId="0" fontId="5" fillId="0" borderId="22" xfId="0" applyFont="1" applyBorder="1"/>
    <xf numFmtId="0" fontId="16" fillId="0" borderId="5" xfId="0" applyFont="1" applyBorder="1"/>
    <xf numFmtId="0" fontId="5" fillId="0" borderId="7" xfId="0" applyFont="1" applyBorder="1"/>
    <xf numFmtId="0" fontId="5" fillId="0" borderId="7" xfId="0" applyFont="1" applyBorder="1" applyAlignment="1">
      <alignment horizontal="center"/>
    </xf>
    <xf numFmtId="0" fontId="5" fillId="0" borderId="15" xfId="0" applyFont="1" applyBorder="1"/>
    <xf numFmtId="164" fontId="5" fillId="0" borderId="9" xfId="0" applyNumberFormat="1" applyFont="1" applyBorder="1"/>
    <xf numFmtId="164" fontId="5" fillId="0" borderId="9" xfId="1" applyNumberFormat="1" applyFont="1" applyBorder="1"/>
    <xf numFmtId="10" fontId="16" fillId="0" borderId="1" xfId="4" applyNumberFormat="1" applyFont="1" applyBorder="1" applyAlignment="1">
      <alignment horizontal="center"/>
    </xf>
    <xf numFmtId="10" fontId="5" fillId="0" borderId="0" xfId="0" applyNumberFormat="1" applyFont="1" applyBorder="1" applyAlignment="1">
      <alignment horizontal="center"/>
    </xf>
    <xf numFmtId="0" fontId="5" fillId="0" borderId="2" xfId="0" quotePrefix="1" applyFont="1" applyBorder="1" applyAlignment="1">
      <alignment horizontal="center"/>
    </xf>
    <xf numFmtId="0" fontId="5" fillId="0" borderId="3" xfId="0" quotePrefix="1" applyFont="1" applyBorder="1" applyAlignment="1">
      <alignment horizontal="center"/>
    </xf>
    <xf numFmtId="0" fontId="5" fillId="0" borderId="0" xfId="0" quotePrefix="1" applyFont="1"/>
    <xf numFmtId="0" fontId="34" fillId="0" borderId="1" xfId="0" applyFont="1" applyBorder="1" applyAlignment="1">
      <alignment wrapText="1"/>
    </xf>
    <xf numFmtId="0" fontId="2" fillId="0" borderId="18" xfId="0" applyFont="1" applyBorder="1"/>
    <xf numFmtId="4" fontId="4" fillId="0" borderId="1" xfId="0" applyNumberFormat="1" applyFont="1" applyBorder="1"/>
    <xf numFmtId="164" fontId="4" fillId="0" borderId="9" xfId="0" applyNumberFormat="1" applyFont="1" applyBorder="1"/>
    <xf numFmtId="43" fontId="4" fillId="0" borderId="1" xfId="0" applyNumberFormat="1" applyFont="1" applyBorder="1"/>
    <xf numFmtId="43" fontId="4" fillId="0" borderId="0" xfId="0" applyNumberFormat="1" applyFont="1"/>
    <xf numFmtId="0" fontId="8" fillId="0" borderId="3" xfId="0" applyFont="1" applyBorder="1" applyAlignment="1">
      <alignment horizontal="right"/>
    </xf>
    <xf numFmtId="0" fontId="4" fillId="0" borderId="0" xfId="0" applyFont="1" applyAlignment="1">
      <alignment horizontal="right"/>
    </xf>
    <xf numFmtId="0" fontId="8" fillId="0" borderId="2" xfId="0" applyFont="1" applyBorder="1" applyAlignment="1">
      <alignment horizontal="left"/>
    </xf>
    <xf numFmtId="0" fontId="35" fillId="0" borderId="0" xfId="0" applyFont="1" applyAlignment="1">
      <alignment horizontal="center"/>
    </xf>
    <xf numFmtId="0" fontId="5" fillId="0" borderId="0" xfId="0" applyFont="1" applyProtection="1">
      <protection hidden="1"/>
    </xf>
    <xf numFmtId="0" fontId="35" fillId="0" borderId="0" xfId="0" applyFont="1" applyAlignment="1"/>
    <xf numFmtId="0" fontId="35" fillId="0" borderId="0" xfId="0" applyFont="1" applyAlignment="1" applyProtection="1">
      <alignment horizontal="center"/>
      <protection hidden="1"/>
    </xf>
    <xf numFmtId="0" fontId="5" fillId="0" borderId="0" xfId="0" applyFont="1" applyAlignment="1">
      <alignment horizontal="left"/>
    </xf>
    <xf numFmtId="0" fontId="36" fillId="0" borderId="0" xfId="0" applyFont="1"/>
    <xf numFmtId="0" fontId="5" fillId="0" borderId="0" xfId="0" applyFont="1" applyAlignment="1"/>
    <xf numFmtId="43" fontId="5" fillId="0" borderId="0" xfId="0" applyNumberFormat="1" applyFont="1" applyAlignment="1">
      <alignment horizontal="left"/>
    </xf>
    <xf numFmtId="43" fontId="5" fillId="0" borderId="0" xfId="0" applyNumberFormat="1" applyFont="1" applyProtection="1">
      <protection hidden="1"/>
    </xf>
    <xf numFmtId="164" fontId="12" fillId="0" borderId="0" xfId="0" applyNumberFormat="1" applyFont="1"/>
    <xf numFmtId="43" fontId="2" fillId="0" borderId="0" xfId="1" applyFont="1"/>
    <xf numFmtId="0" fontId="9" fillId="0" borderId="0" xfId="0" applyFont="1" applyAlignment="1">
      <alignment horizontal="left"/>
    </xf>
    <xf numFmtId="4" fontId="5" fillId="0" borderId="15" xfId="0" applyNumberFormat="1" applyFont="1" applyBorder="1"/>
    <xf numFmtId="0" fontId="5" fillId="0" borderId="16" xfId="0" applyFont="1" applyBorder="1"/>
    <xf numFmtId="0" fontId="16" fillId="0" borderId="11" xfId="0" applyFont="1" applyBorder="1" applyAlignment="1">
      <alignment horizontal="center"/>
    </xf>
    <xf numFmtId="0" fontId="5" fillId="0" borderId="12" xfId="0" applyFont="1" applyBorder="1"/>
    <xf numFmtId="4" fontId="5" fillId="0" borderId="18" xfId="0" applyNumberFormat="1" applyFont="1" applyBorder="1"/>
    <xf numFmtId="4" fontId="5" fillId="0" borderId="11" xfId="0" applyNumberFormat="1" applyFont="1" applyBorder="1"/>
    <xf numFmtId="4" fontId="5" fillId="0" borderId="0" xfId="0" applyNumberFormat="1" applyFont="1" applyBorder="1"/>
    <xf numFmtId="4" fontId="2" fillId="0" borderId="0" xfId="0" applyNumberFormat="1" applyFont="1"/>
    <xf numFmtId="43" fontId="9" fillId="0" borderId="0" xfId="1" applyFont="1"/>
    <xf numFmtId="43" fontId="2" fillId="0" borderId="19" xfId="1" applyNumberFormat="1" applyFont="1" applyBorder="1"/>
    <xf numFmtId="4" fontId="2" fillId="0" borderId="19" xfId="0" applyNumberFormat="1" applyFont="1" applyBorder="1"/>
    <xf numFmtId="43" fontId="2" fillId="0" borderId="0" xfId="0" applyNumberFormat="1" applyFont="1"/>
    <xf numFmtId="4" fontId="12" fillId="0" borderId="13" xfId="0" applyNumberFormat="1" applyFont="1" applyBorder="1"/>
    <xf numFmtId="43" fontId="4" fillId="0" borderId="0" xfId="1" applyFont="1"/>
    <xf numFmtId="4" fontId="2" fillId="0" borderId="9" xfId="0" applyNumberFormat="1" applyFont="1" applyBorder="1"/>
    <xf numFmtId="0" fontId="12" fillId="0" borderId="1" xfId="0" applyFont="1" applyFill="1" applyBorder="1" applyAlignment="1">
      <alignment horizontal="right"/>
    </xf>
    <xf numFmtId="4" fontId="2" fillId="0" borderId="0" xfId="0" applyNumberFormat="1" applyFont="1" applyAlignment="1">
      <alignment horizontal="right"/>
    </xf>
    <xf numFmtId="43" fontId="2" fillId="0" borderId="0" xfId="1" applyNumberFormat="1" applyFont="1" applyAlignment="1">
      <alignment horizontal="right"/>
    </xf>
    <xf numFmtId="4" fontId="38" fillId="0" borderId="8" xfId="0" applyNumberFormat="1" applyFont="1" applyBorder="1" applyAlignment="1">
      <alignment horizontal="right"/>
    </xf>
    <xf numFmtId="4" fontId="9" fillId="0" borderId="0" xfId="0" applyNumberFormat="1" applyFont="1" applyAlignment="1">
      <alignment horizontal="right"/>
    </xf>
    <xf numFmtId="43" fontId="2" fillId="0" borderId="19" xfId="1" applyNumberFormat="1" applyFont="1" applyBorder="1" applyAlignment="1">
      <alignment horizontal="right"/>
    </xf>
    <xf numFmtId="43" fontId="2" fillId="0" borderId="19" xfId="1" applyFont="1" applyBorder="1"/>
    <xf numFmtId="43" fontId="2" fillId="0" borderId="19" xfId="0" applyNumberFormat="1" applyFont="1" applyBorder="1" applyAlignment="1">
      <alignment horizontal="center"/>
    </xf>
    <xf numFmtId="43" fontId="3" fillId="0" borderId="0" xfId="0" applyNumberFormat="1" applyFont="1"/>
    <xf numFmtId="0" fontId="0" fillId="0" borderId="0" xfId="0" applyFont="1"/>
    <xf numFmtId="43" fontId="39" fillId="0" borderId="1" xfId="1" applyFont="1" applyBorder="1"/>
    <xf numFmtId="43" fontId="5" fillId="0" borderId="0" xfId="1" applyFont="1"/>
    <xf numFmtId="43" fontId="4" fillId="0" borderId="0" xfId="1" applyNumberFormat="1" applyFont="1" applyAlignment="1">
      <alignment horizontal="right"/>
    </xf>
    <xf numFmtId="164" fontId="25" fillId="0" borderId="10" xfId="1" applyNumberFormat="1" applyFont="1" applyBorder="1"/>
    <xf numFmtId="0" fontId="10" fillId="0" borderId="0" xfId="0" applyFont="1" applyAlignment="1" applyProtection="1">
      <alignment horizontal="right"/>
      <protection hidden="1"/>
    </xf>
    <xf numFmtId="43" fontId="7" fillId="0" borderId="1" xfId="1" applyFont="1" applyBorder="1"/>
    <xf numFmtId="43" fontId="5" fillId="0" borderId="1" xfId="1" applyFont="1" applyBorder="1"/>
    <xf numFmtId="43" fontId="4" fillId="0" borderId="0" xfId="1" applyNumberFormat="1" applyFont="1"/>
    <xf numFmtId="164" fontId="16" fillId="0" borderId="19" xfId="1" applyNumberFormat="1" applyFont="1" applyBorder="1"/>
    <xf numFmtId="0" fontId="8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0" fontId="4" fillId="0" borderId="0" xfId="0" applyNumberFormat="1" applyFont="1" applyAlignment="1">
      <alignment horizontal="center"/>
    </xf>
    <xf numFmtId="3" fontId="4" fillId="0" borderId="19" xfId="0" applyNumberFormat="1" applyFont="1" applyBorder="1" applyAlignment="1">
      <alignment horizontal="center"/>
    </xf>
    <xf numFmtId="10" fontId="4" fillId="0" borderId="0" xfId="0" applyNumberFormat="1" applyFont="1"/>
    <xf numFmtId="9" fontId="4" fillId="0" borderId="0" xfId="0" applyNumberFormat="1" applyFont="1" applyAlignment="1">
      <alignment horizontal="center"/>
    </xf>
    <xf numFmtId="3" fontId="8" fillId="0" borderId="19" xfId="0" applyNumberFormat="1" applyFont="1" applyBorder="1" applyAlignment="1">
      <alignment horizontal="center"/>
    </xf>
    <xf numFmtId="3" fontId="4" fillId="0" borderId="19" xfId="0" applyNumberFormat="1" applyFont="1" applyBorder="1"/>
    <xf numFmtId="43" fontId="4" fillId="0" borderId="19" xfId="1" applyNumberFormat="1" applyFont="1" applyBorder="1" applyAlignment="1">
      <alignment horizontal="center"/>
    </xf>
    <xf numFmtId="43" fontId="8" fillId="0" borderId="1" xfId="1" applyNumberFormat="1" applyFont="1" applyBorder="1" applyAlignment="1">
      <alignment horizontal="center"/>
    </xf>
    <xf numFmtId="43" fontId="4" fillId="0" borderId="10" xfId="1" applyNumberFormat="1" applyFont="1" applyBorder="1"/>
    <xf numFmtId="0" fontId="4" fillId="0" borderId="19" xfId="0" applyFont="1" applyBorder="1" applyAlignment="1">
      <alignment horizontal="center"/>
    </xf>
    <xf numFmtId="43" fontId="4" fillId="0" borderId="19" xfId="1" applyNumberFormat="1" applyFont="1" applyBorder="1"/>
    <xf numFmtId="4" fontId="4" fillId="0" borderId="19" xfId="0" applyNumberFormat="1" applyFont="1" applyBorder="1"/>
    <xf numFmtId="43" fontId="8" fillId="0" borderId="0" xfId="1" applyNumberFormat="1" applyFont="1"/>
    <xf numFmtId="0" fontId="4" fillId="0" borderId="19" xfId="0" applyFont="1" applyBorder="1" applyAlignment="1">
      <alignment horizontal="right"/>
    </xf>
    <xf numFmtId="164" fontId="4" fillId="0" borderId="0" xfId="1" applyNumberFormat="1" applyFont="1"/>
    <xf numFmtId="4" fontId="4" fillId="0" borderId="0" xfId="0" applyNumberFormat="1" applyFont="1"/>
    <xf numFmtId="0" fontId="4" fillId="0" borderId="1" xfId="0" applyFont="1" applyBorder="1" applyAlignment="1">
      <alignment horizontal="center"/>
    </xf>
    <xf numFmtId="43" fontId="4" fillId="0" borderId="10" xfId="0" applyNumberFormat="1" applyFont="1" applyBorder="1"/>
    <xf numFmtId="10" fontId="4" fillId="0" borderId="19" xfId="2" applyNumberFormat="1" applyFont="1" applyBorder="1" applyAlignment="1">
      <alignment horizontal="center"/>
    </xf>
    <xf numFmtId="10" fontId="8" fillId="0" borderId="1" xfId="2" applyNumberFormat="1" applyFont="1" applyBorder="1" applyAlignment="1">
      <alignment horizontal="center"/>
    </xf>
    <xf numFmtId="43" fontId="4" fillId="0" borderId="19" xfId="1" applyFont="1" applyBorder="1"/>
    <xf numFmtId="43" fontId="40" fillId="0" borderId="1" xfId="1" applyFont="1" applyBorder="1"/>
    <xf numFmtId="10" fontId="11" fillId="0" borderId="0" xfId="2" applyNumberFormat="1" applyFont="1"/>
    <xf numFmtId="43" fontId="4" fillId="0" borderId="1" xfId="1" applyNumberFormat="1" applyFont="1" applyBorder="1"/>
    <xf numFmtId="43" fontId="8" fillId="0" borderId="0" xfId="0" applyNumberFormat="1" applyFont="1"/>
    <xf numFmtId="43" fontId="3" fillId="0" borderId="1" xfId="1" applyNumberFormat="1" applyFont="1" applyBorder="1" applyAlignment="1">
      <alignment horizontal="center"/>
    </xf>
    <xf numFmtId="0" fontId="3" fillId="0" borderId="1" xfId="0" applyFont="1" applyBorder="1" applyAlignment="1">
      <alignment horizontal="right"/>
    </xf>
    <xf numFmtId="0" fontId="3" fillId="0" borderId="2" xfId="0" applyFont="1" applyBorder="1" applyAlignment="1"/>
    <xf numFmtId="0" fontId="3" fillId="0" borderId="3" xfId="0" applyFont="1" applyBorder="1" applyAlignment="1"/>
    <xf numFmtId="4" fontId="5" fillId="0" borderId="14" xfId="0" applyNumberFormat="1" applyFont="1" applyBorder="1"/>
    <xf numFmtId="43" fontId="42" fillId="0" borderId="1" xfId="0" applyNumberFormat="1" applyFont="1" applyBorder="1"/>
    <xf numFmtId="43" fontId="42" fillId="0" borderId="1" xfId="1" applyFont="1" applyBorder="1"/>
    <xf numFmtId="0" fontId="42" fillId="0" borderId="1" xfId="0" applyFont="1" applyBorder="1" applyAlignment="1">
      <alignment horizontal="center"/>
    </xf>
    <xf numFmtId="4" fontId="29" fillId="0" borderId="1" xfId="0" applyNumberFormat="1" applyFont="1" applyBorder="1"/>
    <xf numFmtId="43" fontId="43" fillId="0" borderId="1" xfId="1" applyFont="1" applyBorder="1"/>
    <xf numFmtId="0" fontId="12" fillId="0" borderId="2" xfId="0" applyFont="1" applyFill="1" applyBorder="1"/>
    <xf numFmtId="0" fontId="2" fillId="0" borderId="19" xfId="0" applyFont="1" applyBorder="1"/>
    <xf numFmtId="43" fontId="2" fillId="0" borderId="3" xfId="1" applyNumberFormat="1" applyFont="1" applyBorder="1"/>
    <xf numFmtId="43" fontId="2" fillId="0" borderId="19" xfId="0" applyNumberFormat="1" applyFont="1" applyBorder="1"/>
    <xf numFmtId="43" fontId="2" fillId="0" borderId="3" xfId="1" applyFont="1" applyBorder="1"/>
    <xf numFmtId="4" fontId="23" fillId="0" borderId="1" xfId="0" applyNumberFormat="1" applyFont="1" applyBorder="1"/>
    <xf numFmtId="43" fontId="2" fillId="0" borderId="10" xfId="1" applyFont="1" applyBorder="1"/>
    <xf numFmtId="4" fontId="45" fillId="0" borderId="1" xfId="0" applyNumberFormat="1" applyFont="1" applyBorder="1"/>
    <xf numFmtId="4" fontId="5" fillId="0" borderId="12" xfId="0" applyNumberFormat="1" applyFont="1" applyBorder="1"/>
    <xf numFmtId="4" fontId="5" fillId="0" borderId="16" xfId="0" applyNumberFormat="1" applyFont="1" applyBorder="1"/>
    <xf numFmtId="164" fontId="23" fillId="0" borderId="1" xfId="0" applyNumberFormat="1" applyFont="1" applyBorder="1"/>
    <xf numFmtId="43" fontId="2" fillId="0" borderId="18" xfId="1" applyNumberFormat="1" applyFont="1" applyBorder="1"/>
    <xf numFmtId="4" fontId="2" fillId="0" borderId="18" xfId="0" applyNumberFormat="1" applyFont="1" applyBorder="1"/>
    <xf numFmtId="43" fontId="2" fillId="0" borderId="0" xfId="0" applyNumberFormat="1" applyFont="1" applyAlignment="1">
      <alignment horizontal="right"/>
    </xf>
    <xf numFmtId="3" fontId="2" fillId="0" borderId="0" xfId="0" applyNumberFormat="1" applyFont="1"/>
    <xf numFmtId="43" fontId="42" fillId="0" borderId="0" xfId="0" applyNumberFormat="1" applyFont="1"/>
    <xf numFmtId="43" fontId="4" fillId="0" borderId="3" xfId="0" applyNumberFormat="1" applyFont="1" applyBorder="1"/>
    <xf numFmtId="164" fontId="4" fillId="0" borderId="0" xfId="0" applyNumberFormat="1" applyFont="1"/>
    <xf numFmtId="0" fontId="18" fillId="0" borderId="0" xfId="0" applyFont="1"/>
    <xf numFmtId="43" fontId="4" fillId="0" borderId="10" xfId="1" applyFont="1" applyBorder="1"/>
    <xf numFmtId="0" fontId="3" fillId="0" borderId="0" xfId="0" applyFont="1" applyAlignment="1">
      <alignment horizontal="center"/>
    </xf>
    <xf numFmtId="0" fontId="10" fillId="0" borderId="0" xfId="0" applyFont="1" applyAlignment="1" applyProtection="1">
      <alignment horizontal="center"/>
      <protection hidden="1"/>
    </xf>
    <xf numFmtId="0" fontId="8" fillId="0" borderId="0" xfId="0" applyFont="1" applyAlignment="1">
      <alignment horizontal="right"/>
    </xf>
    <xf numFmtId="3" fontId="4" fillId="0" borderId="0" xfId="0" applyNumberFormat="1" applyFont="1" applyAlignment="1">
      <alignment horizontal="center"/>
    </xf>
    <xf numFmtId="10" fontId="8" fillId="0" borderId="0" xfId="0" applyNumberFormat="1" applyFont="1" applyAlignment="1">
      <alignment horizontal="center"/>
    </xf>
    <xf numFmtId="43" fontId="5" fillId="0" borderId="0" xfId="1" applyFont="1" applyAlignment="1">
      <alignment horizontal="center"/>
    </xf>
    <xf numFmtId="43" fontId="5" fillId="0" borderId="0" xfId="0" applyNumberFormat="1" applyFont="1" applyAlignment="1">
      <alignment horizontal="center"/>
    </xf>
    <xf numFmtId="0" fontId="16" fillId="0" borderId="17" xfId="0" applyFont="1" applyBorder="1" applyAlignment="1">
      <alignment horizontal="center"/>
    </xf>
    <xf numFmtId="0" fontId="16" fillId="0" borderId="8" xfId="0" applyFont="1" applyBorder="1" applyAlignment="1">
      <alignment horizontal="center"/>
    </xf>
    <xf numFmtId="4" fontId="5" fillId="0" borderId="9" xfId="0" applyNumberFormat="1" applyFont="1" applyBorder="1"/>
    <xf numFmtId="4" fontId="5" fillId="0" borderId="17" xfId="0" applyNumberFormat="1" applyFont="1" applyBorder="1"/>
    <xf numFmtId="0" fontId="5" fillId="0" borderId="17" xfId="0" applyFont="1" applyBorder="1" applyAlignment="1">
      <alignment horizontal="center"/>
    </xf>
    <xf numFmtId="0" fontId="5" fillId="0" borderId="17" xfId="0" applyFont="1" applyBorder="1"/>
    <xf numFmtId="0" fontId="5" fillId="0" borderId="18" xfId="0" applyFont="1" applyBorder="1"/>
    <xf numFmtId="164" fontId="5" fillId="0" borderId="18" xfId="1" applyNumberFormat="1" applyFont="1" applyBorder="1"/>
    <xf numFmtId="0" fontId="2" fillId="0" borderId="2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3" xfId="0" applyFont="1" applyBorder="1"/>
    <xf numFmtId="0" fontId="3" fillId="0" borderId="19" xfId="0" applyFont="1" applyBorder="1" applyAlignment="1">
      <alignment horizontal="left"/>
    </xf>
    <xf numFmtId="0" fontId="2" fillId="0" borderId="2" xfId="0" applyFont="1" applyBorder="1"/>
    <xf numFmtId="0" fontId="2" fillId="0" borderId="3" xfId="0" applyFont="1" applyBorder="1" applyAlignment="1">
      <alignment horizontal="center"/>
    </xf>
    <xf numFmtId="43" fontId="8" fillId="0" borderId="0" xfId="1" applyFont="1"/>
    <xf numFmtId="43" fontId="4" fillId="0" borderId="3" xfId="1" applyFont="1" applyBorder="1" applyAlignment="1">
      <alignment horizontal="center"/>
    </xf>
    <xf numFmtId="0" fontId="16" fillId="0" borderId="23" xfId="0" applyFont="1" applyBorder="1" applyAlignment="1">
      <alignment horizontal="center"/>
    </xf>
    <xf numFmtId="4" fontId="5" fillId="0" borderId="23" xfId="0" applyNumberFormat="1" applyFont="1" applyBorder="1"/>
    <xf numFmtId="43" fontId="12" fillId="0" borderId="0" xfId="1" applyFont="1" applyAlignment="1">
      <alignment horizontal="center"/>
    </xf>
    <xf numFmtId="0" fontId="41" fillId="0" borderId="1" xfId="0" applyFont="1" applyBorder="1" applyAlignment="1">
      <alignment horizontal="center"/>
    </xf>
    <xf numFmtId="0" fontId="2" fillId="0" borderId="24" xfId="0" applyFont="1" applyBorder="1"/>
    <xf numFmtId="0" fontId="4" fillId="0" borderId="24" xfId="0" applyFont="1" applyBorder="1"/>
    <xf numFmtId="43" fontId="2" fillId="0" borderId="24" xfId="1" applyFont="1" applyBorder="1"/>
    <xf numFmtId="43" fontId="4" fillId="0" borderId="2" xfId="1" applyFont="1" applyBorder="1"/>
    <xf numFmtId="0" fontId="2" fillId="0" borderId="1" xfId="0" applyFont="1" applyBorder="1" applyAlignment="1">
      <alignment wrapText="1"/>
    </xf>
    <xf numFmtId="164" fontId="5" fillId="0" borderId="0" xfId="0" applyNumberFormat="1" applyFont="1" applyAlignment="1">
      <alignment horizontal="center"/>
    </xf>
    <xf numFmtId="43" fontId="5" fillId="0" borderId="19" xfId="1" applyFont="1" applyBorder="1"/>
    <xf numFmtId="43" fontId="8" fillId="0" borderId="24" xfId="0" applyNumberFormat="1" applyFont="1" applyBorder="1"/>
    <xf numFmtId="43" fontId="4" fillId="0" borderId="24" xfId="0" applyNumberFormat="1" applyFont="1" applyBorder="1"/>
    <xf numFmtId="164" fontId="2" fillId="0" borderId="0" xfId="0" applyNumberFormat="1" applyFont="1"/>
    <xf numFmtId="0" fontId="0" fillId="0" borderId="25" xfId="0" applyBorder="1"/>
    <xf numFmtId="0" fontId="0" fillId="0" borderId="30" xfId="0" applyBorder="1"/>
    <xf numFmtId="0" fontId="0" fillId="0" borderId="28" xfId="0" applyBorder="1"/>
    <xf numFmtId="0" fontId="0" fillId="0" borderId="35" xfId="0" applyBorder="1"/>
    <xf numFmtId="49" fontId="0" fillId="0" borderId="0" xfId="0" applyNumberFormat="1" applyFont="1" applyAlignment="1">
      <alignment horizontal="right"/>
    </xf>
    <xf numFmtId="0" fontId="9" fillId="6" borderId="39" xfId="0" applyFont="1" applyFill="1" applyBorder="1" applyAlignment="1">
      <alignment horizontal="center"/>
    </xf>
    <xf numFmtId="0" fontId="9" fillId="6" borderId="41" xfId="0" applyFont="1" applyFill="1" applyBorder="1" applyAlignment="1">
      <alignment horizontal="center"/>
    </xf>
    <xf numFmtId="0" fontId="9" fillId="6" borderId="42" xfId="0" applyFont="1" applyFill="1" applyBorder="1" applyAlignment="1">
      <alignment horizontal="center"/>
    </xf>
    <xf numFmtId="0" fontId="9" fillId="6" borderId="43" xfId="0" applyFont="1" applyFill="1" applyBorder="1" applyAlignment="1">
      <alignment horizontal="center"/>
    </xf>
    <xf numFmtId="0" fontId="9" fillId="6" borderId="44" xfId="0" applyFont="1" applyFill="1" applyBorder="1" applyAlignment="1">
      <alignment horizontal="center"/>
    </xf>
    <xf numFmtId="0" fontId="9" fillId="6" borderId="45" xfId="0" applyFont="1" applyFill="1" applyBorder="1" applyAlignment="1">
      <alignment horizontal="center"/>
    </xf>
    <xf numFmtId="0" fontId="29" fillId="0" borderId="46" xfId="0" applyFont="1" applyBorder="1" applyAlignment="1">
      <alignment horizontal="left"/>
    </xf>
    <xf numFmtId="0" fontId="0" fillId="0" borderId="42" xfId="0" applyBorder="1"/>
    <xf numFmtId="167" fontId="12" fillId="0" borderId="42" xfId="0" applyNumberFormat="1" applyFont="1" applyBorder="1" applyAlignment="1">
      <alignment horizontal="right"/>
    </xf>
    <xf numFmtId="167" fontId="12" fillId="0" borderId="43" xfId="0" applyNumberFormat="1" applyFont="1" applyBorder="1" applyAlignment="1">
      <alignment horizontal="right"/>
    </xf>
    <xf numFmtId="167" fontId="9" fillId="0" borderId="42" xfId="0" applyNumberFormat="1" applyFont="1" applyBorder="1" applyAlignment="1">
      <alignment horizontal="right"/>
    </xf>
    <xf numFmtId="168" fontId="9" fillId="0" borderId="42" xfId="0" applyNumberFormat="1" applyFont="1" applyBorder="1" applyAlignment="1">
      <alignment horizontal="right"/>
    </xf>
    <xf numFmtId="167" fontId="9" fillId="0" borderId="43" xfId="0" applyNumberFormat="1" applyFont="1" applyBorder="1" applyAlignment="1">
      <alignment horizontal="right"/>
    </xf>
    <xf numFmtId="167" fontId="12" fillId="6" borderId="40" xfId="0" applyNumberFormat="1" applyFont="1" applyFill="1" applyBorder="1" applyAlignment="1">
      <alignment horizontal="right"/>
    </xf>
    <xf numFmtId="0" fontId="12" fillId="6" borderId="40" xfId="0" applyFont="1" applyFill="1" applyBorder="1" applyAlignment="1">
      <alignment horizontal="right"/>
    </xf>
    <xf numFmtId="167" fontId="12" fillId="6" borderId="47" xfId="0" applyNumberFormat="1" applyFont="1" applyFill="1" applyBorder="1" applyAlignment="1">
      <alignment horizontal="right"/>
    </xf>
    <xf numFmtId="0" fontId="12" fillId="0" borderId="46" xfId="0" applyFont="1" applyBorder="1" applyAlignment="1">
      <alignment horizontal="left"/>
    </xf>
    <xf numFmtId="167" fontId="9" fillId="6" borderId="42" xfId="0" applyNumberFormat="1" applyFont="1" applyFill="1" applyBorder="1" applyAlignment="1">
      <alignment horizontal="right"/>
    </xf>
    <xf numFmtId="167" fontId="9" fillId="6" borderId="43" xfId="0" applyNumberFormat="1" applyFont="1" applyFill="1" applyBorder="1" applyAlignment="1">
      <alignment horizontal="right"/>
    </xf>
    <xf numFmtId="0" fontId="0" fillId="0" borderId="48" xfId="0" applyBorder="1"/>
    <xf numFmtId="0" fontId="0" fillId="0" borderId="32" xfId="0" applyBorder="1"/>
    <xf numFmtId="49" fontId="9" fillId="0" borderId="0" xfId="0" applyNumberFormat="1" applyFont="1" applyAlignment="1">
      <alignment horizontal="right"/>
    </xf>
    <xf numFmtId="0" fontId="9" fillId="6" borderId="10" xfId="0" applyFont="1" applyFill="1" applyBorder="1" applyAlignment="1">
      <alignment horizontal="center"/>
    </xf>
    <xf numFmtId="0" fontId="9" fillId="6" borderId="15" xfId="0" applyFont="1" applyFill="1" applyBorder="1" applyAlignment="1">
      <alignment horizontal="center"/>
    </xf>
    <xf numFmtId="170" fontId="9" fillId="0" borderId="13" xfId="0" applyNumberFormat="1" applyFont="1" applyBorder="1" applyAlignment="1">
      <alignment horizontal="right"/>
    </xf>
    <xf numFmtId="0" fontId="9" fillId="0" borderId="14" xfId="0" applyFont="1" applyBorder="1" applyAlignment="1">
      <alignment horizontal="left" indent="1"/>
    </xf>
    <xf numFmtId="0" fontId="9" fillId="0" borderId="14" xfId="0" applyFont="1" applyBorder="1" applyAlignment="1">
      <alignment horizontal="left" indent="2"/>
    </xf>
    <xf numFmtId="0" fontId="9" fillId="6" borderId="3" xfId="0" applyFont="1" applyFill="1" applyBorder="1" applyAlignment="1">
      <alignment horizontal="left"/>
    </xf>
    <xf numFmtId="170" fontId="9" fillId="6" borderId="24" xfId="0" applyNumberFormat="1" applyFont="1" applyFill="1" applyBorder="1" applyAlignment="1">
      <alignment horizontal="right"/>
    </xf>
    <xf numFmtId="170" fontId="9" fillId="6" borderId="2" xfId="0" applyNumberFormat="1" applyFont="1" applyFill="1" applyBorder="1" applyAlignment="1">
      <alignment horizontal="right"/>
    </xf>
    <xf numFmtId="0" fontId="0" fillId="0" borderId="0" xfId="0" applyFont="1" applyAlignment="1">
      <alignment horizontal="right"/>
    </xf>
    <xf numFmtId="0" fontId="9" fillId="6" borderId="11" xfId="0" applyFont="1" applyFill="1" applyBorder="1" applyAlignment="1">
      <alignment horizontal="center"/>
    </xf>
    <xf numFmtId="0" fontId="0" fillId="0" borderId="18" xfId="0" applyBorder="1"/>
    <xf numFmtId="170" fontId="9" fillId="0" borderId="15" xfId="0" applyNumberFormat="1" applyFont="1" applyBorder="1" applyAlignment="1">
      <alignment horizontal="right"/>
    </xf>
    <xf numFmtId="0" fontId="9" fillId="6" borderId="13" xfId="0" applyFont="1" applyFill="1" applyBorder="1" applyAlignment="1">
      <alignment horizontal="center"/>
    </xf>
    <xf numFmtId="0" fontId="0" fillId="0" borderId="14" xfId="0" applyBorder="1"/>
    <xf numFmtId="0" fontId="0" fillId="0" borderId="9" xfId="0" applyBorder="1"/>
    <xf numFmtId="0" fontId="23" fillId="0" borderId="0" xfId="0" applyFont="1" applyAlignment="1">
      <alignment horizontal="right"/>
    </xf>
    <xf numFmtId="0" fontId="0" fillId="0" borderId="53" xfId="0" applyBorder="1"/>
    <xf numFmtId="0" fontId="0" fillId="0" borderId="54" xfId="0" applyBorder="1"/>
    <xf numFmtId="0" fontId="23" fillId="7" borderId="50" xfId="0" applyFont="1" applyFill="1" applyBorder="1" applyAlignment="1">
      <alignment horizontal="center"/>
    </xf>
    <xf numFmtId="0" fontId="23" fillId="7" borderId="51" xfId="0" applyFont="1" applyFill="1" applyBorder="1" applyAlignment="1">
      <alignment horizontal="center"/>
    </xf>
    <xf numFmtId="0" fontId="23" fillId="7" borderId="52" xfId="0" applyFont="1" applyFill="1" applyBorder="1" applyAlignment="1">
      <alignment horizontal="center"/>
    </xf>
    <xf numFmtId="170" fontId="23" fillId="0" borderId="51" xfId="0" applyNumberFormat="1" applyFont="1" applyBorder="1" applyAlignment="1">
      <alignment horizontal="right"/>
    </xf>
    <xf numFmtId="0" fontId="0" fillId="0" borderId="51" xfId="0" applyBorder="1"/>
    <xf numFmtId="0" fontId="0" fillId="0" borderId="52" xfId="0" applyBorder="1"/>
    <xf numFmtId="170" fontId="23" fillId="7" borderId="49" xfId="0" applyNumberFormat="1" applyFont="1" applyFill="1" applyBorder="1" applyAlignment="1">
      <alignment horizontal="right"/>
    </xf>
    <xf numFmtId="170" fontId="23" fillId="0" borderId="49" xfId="0" applyNumberFormat="1" applyFont="1" applyBorder="1" applyAlignment="1">
      <alignment horizontal="right" vertical="center"/>
    </xf>
    <xf numFmtId="0" fontId="23" fillId="7" borderId="49" xfId="0" applyFont="1" applyFill="1" applyBorder="1" applyAlignment="1">
      <alignment horizontal="center"/>
    </xf>
    <xf numFmtId="0" fontId="0" fillId="0" borderId="49" xfId="0" applyBorder="1"/>
    <xf numFmtId="0" fontId="9" fillId="6" borderId="57" xfId="0" applyFont="1" applyFill="1" applyBorder="1" applyAlignment="1">
      <alignment horizontal="center"/>
    </xf>
    <xf numFmtId="0" fontId="9" fillId="6" borderId="59" xfId="0" applyFont="1" applyFill="1" applyBorder="1" applyAlignment="1">
      <alignment horizontal="center"/>
    </xf>
    <xf numFmtId="0" fontId="9" fillId="6" borderId="60" xfId="0" applyFont="1" applyFill="1" applyBorder="1" applyAlignment="1">
      <alignment horizontal="center"/>
    </xf>
    <xf numFmtId="0" fontId="9" fillId="6" borderId="61" xfId="0" applyFont="1" applyFill="1" applyBorder="1" applyAlignment="1">
      <alignment horizontal="center"/>
    </xf>
    <xf numFmtId="0" fontId="9" fillId="6" borderId="62" xfId="0" applyFont="1" applyFill="1" applyBorder="1" applyAlignment="1">
      <alignment horizontal="center"/>
    </xf>
    <xf numFmtId="170" fontId="9" fillId="8" borderId="59" xfId="0" applyNumberFormat="1" applyFont="1" applyFill="1" applyBorder="1" applyAlignment="1">
      <alignment horizontal="right"/>
    </xf>
    <xf numFmtId="170" fontId="9" fillId="8" borderId="60" xfId="0" applyNumberFormat="1" applyFont="1" applyFill="1" applyBorder="1" applyAlignment="1">
      <alignment horizontal="right"/>
    </xf>
    <xf numFmtId="0" fontId="9" fillId="8" borderId="14" xfId="0" applyFont="1" applyFill="1" applyBorder="1" applyAlignment="1">
      <alignment horizontal="left"/>
    </xf>
    <xf numFmtId="172" fontId="9" fillId="6" borderId="64" xfId="0" applyNumberFormat="1" applyFont="1" applyFill="1" applyBorder="1" applyAlignment="1">
      <alignment horizontal="right"/>
    </xf>
    <xf numFmtId="170" fontId="9" fillId="6" borderId="58" xfId="0" applyNumberFormat="1" applyFont="1" applyFill="1" applyBorder="1" applyAlignment="1">
      <alignment horizontal="right"/>
    </xf>
    <xf numFmtId="170" fontId="9" fillId="6" borderId="64" xfId="0" applyNumberFormat="1" applyFont="1" applyFill="1" applyBorder="1" applyAlignment="1">
      <alignment horizontal="right"/>
    </xf>
    <xf numFmtId="170" fontId="9" fillId="8" borderId="64" xfId="0" applyNumberFormat="1" applyFont="1" applyFill="1" applyBorder="1" applyAlignment="1">
      <alignment horizontal="right"/>
    </xf>
    <xf numFmtId="170" fontId="9" fillId="8" borderId="58" xfId="0" applyNumberFormat="1" applyFont="1" applyFill="1" applyBorder="1" applyAlignment="1">
      <alignment horizontal="right"/>
    </xf>
    <xf numFmtId="170" fontId="9" fillId="8" borderId="57" xfId="0" applyNumberFormat="1" applyFont="1" applyFill="1" applyBorder="1" applyAlignment="1">
      <alignment horizontal="right"/>
    </xf>
    <xf numFmtId="170" fontId="9" fillId="8" borderId="66" xfId="0" applyNumberFormat="1" applyFont="1" applyFill="1" applyBorder="1" applyAlignment="1">
      <alignment horizontal="right"/>
    </xf>
    <xf numFmtId="0" fontId="9" fillId="0" borderId="63" xfId="0" applyFont="1" applyBorder="1" applyAlignment="1">
      <alignment horizontal="left"/>
    </xf>
    <xf numFmtId="0" fontId="0" fillId="0" borderId="63" xfId="0" applyBorder="1"/>
    <xf numFmtId="170" fontId="9" fillId="8" borderId="61" xfId="0" applyNumberFormat="1" applyFont="1" applyFill="1" applyBorder="1" applyAlignment="1">
      <alignment horizontal="right"/>
    </xf>
    <xf numFmtId="170" fontId="9" fillId="8" borderId="62" xfId="0" applyNumberFormat="1" applyFont="1" applyFill="1" applyBorder="1" applyAlignment="1">
      <alignment horizontal="right"/>
    </xf>
    <xf numFmtId="0" fontId="16" fillId="0" borderId="0" xfId="0" applyFont="1" applyAlignment="1">
      <alignment horizontal="left"/>
    </xf>
    <xf numFmtId="43" fontId="5" fillId="0" borderId="0" xfId="1" applyFont="1" applyAlignment="1">
      <alignment horizontal="right"/>
    </xf>
    <xf numFmtId="43" fontId="0" fillId="0" borderId="0" xfId="1" applyFont="1"/>
    <xf numFmtId="43" fontId="16" fillId="0" borderId="0" xfId="1" applyFont="1" applyAlignment="1">
      <alignment horizontal="right"/>
    </xf>
    <xf numFmtId="43" fontId="5" fillId="0" borderId="1" xfId="1" applyFont="1" applyBorder="1" applyAlignment="1">
      <alignment horizontal="center"/>
    </xf>
    <xf numFmtId="43" fontId="5" fillId="0" borderId="8" xfId="1" applyFont="1" applyBorder="1" applyAlignment="1">
      <alignment horizontal="center"/>
    </xf>
    <xf numFmtId="43" fontId="18" fillId="0" borderId="1" xfId="1" applyFont="1" applyBorder="1"/>
    <xf numFmtId="0" fontId="9" fillId="0" borderId="0" xfId="0" applyFont="1" applyAlignment="1">
      <alignment horizontal="left"/>
    </xf>
    <xf numFmtId="0" fontId="16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16" fillId="0" borderId="0" xfId="0" applyFont="1" applyAlignment="1">
      <alignment horizontal="right" vertical="center" wrapText="1"/>
    </xf>
    <xf numFmtId="0" fontId="2" fillId="0" borderId="0" xfId="0" applyNumberFormat="1" applyFont="1" applyAlignment="1">
      <alignment horizontal="left"/>
    </xf>
    <xf numFmtId="0" fontId="44" fillId="0" borderId="0" xfId="0" applyNumberFormat="1" applyFont="1" applyAlignment="1">
      <alignment horizontal="left"/>
    </xf>
    <xf numFmtId="0" fontId="46" fillId="0" borderId="0" xfId="0" applyNumberFormat="1" applyFont="1" applyAlignment="1">
      <alignment horizontal="left"/>
    </xf>
    <xf numFmtId="0" fontId="47" fillId="0" borderId="0" xfId="0" applyFont="1" applyAlignment="1">
      <alignment horizontal="center"/>
    </xf>
    <xf numFmtId="0" fontId="9" fillId="0" borderId="46" xfId="0" applyFont="1" applyBorder="1" applyAlignment="1">
      <alignment horizontal="left"/>
    </xf>
    <xf numFmtId="0" fontId="9" fillId="6" borderId="46" xfId="0" applyFont="1" applyFill="1" applyBorder="1" applyAlignment="1">
      <alignment horizontal="left"/>
    </xf>
    <xf numFmtId="0" fontId="12" fillId="6" borderId="38" xfId="0" applyFont="1" applyFill="1" applyBorder="1" applyAlignment="1">
      <alignment horizontal="left"/>
    </xf>
    <xf numFmtId="0" fontId="0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9" fillId="6" borderId="38" xfId="0" applyFont="1" applyFill="1" applyBorder="1" applyAlignment="1">
      <alignment horizontal="center" vertical="center"/>
    </xf>
    <xf numFmtId="0" fontId="9" fillId="6" borderId="40" xfId="0" applyFont="1" applyFill="1" applyBorder="1" applyAlignment="1">
      <alignment horizontal="center"/>
    </xf>
    <xf numFmtId="0" fontId="9" fillId="6" borderId="23" xfId="0" applyFont="1" applyFill="1" applyBorder="1" applyAlignment="1">
      <alignment horizontal="center" vertical="center"/>
    </xf>
    <xf numFmtId="0" fontId="9" fillId="6" borderId="12" xfId="0" applyFont="1" applyFill="1" applyBorder="1" applyAlignment="1">
      <alignment horizontal="center" vertical="center"/>
    </xf>
    <xf numFmtId="0" fontId="9" fillId="6" borderId="19" xfId="0" applyFont="1" applyFill="1" applyBorder="1" applyAlignment="1">
      <alignment horizontal="center" vertical="center"/>
    </xf>
    <xf numFmtId="0" fontId="9" fillId="6" borderId="2" xfId="0" applyFont="1" applyFill="1" applyBorder="1" applyAlignment="1">
      <alignment horizontal="center" vertical="center"/>
    </xf>
    <xf numFmtId="0" fontId="9" fillId="0" borderId="11" xfId="0" applyFont="1" applyBorder="1" applyAlignment="1"/>
    <xf numFmtId="0" fontId="9" fillId="6" borderId="24" xfId="0" applyFont="1" applyFill="1" applyBorder="1" applyAlignment="1">
      <alignment horizontal="center"/>
    </xf>
    <xf numFmtId="0" fontId="9" fillId="0" borderId="0" xfId="0" applyFont="1" applyAlignment="1">
      <alignment horizontal="left"/>
    </xf>
    <xf numFmtId="0" fontId="9" fillId="0" borderId="16" xfId="0" applyFont="1" applyBorder="1" applyAlignment="1">
      <alignment horizontal="left"/>
    </xf>
    <xf numFmtId="170" fontId="9" fillId="0" borderId="9" xfId="0" applyNumberFormat="1" applyFont="1" applyBorder="1" applyAlignment="1">
      <alignment horizontal="right"/>
    </xf>
    <xf numFmtId="0" fontId="9" fillId="6" borderId="23" xfId="0" applyFont="1" applyFill="1" applyBorder="1" applyAlignment="1">
      <alignment horizontal="center"/>
    </xf>
    <xf numFmtId="0" fontId="9" fillId="6" borderId="9" xfId="0" applyFont="1" applyFill="1" applyBorder="1" applyAlignment="1">
      <alignment horizontal="center"/>
    </xf>
    <xf numFmtId="170" fontId="9" fillId="0" borderId="10" xfId="0" applyNumberFormat="1" applyFont="1" applyBorder="1" applyAlignment="1">
      <alignment horizontal="right"/>
    </xf>
    <xf numFmtId="0" fontId="23" fillId="7" borderId="49" xfId="0" applyNumberFormat="1" applyFont="1" applyFill="1" applyBorder="1" applyAlignment="1">
      <alignment horizontal="left"/>
    </xf>
    <xf numFmtId="0" fontId="23" fillId="0" borderId="53" xfId="0" applyNumberFormat="1" applyFont="1" applyBorder="1" applyAlignment="1">
      <alignment horizontal="left"/>
    </xf>
    <xf numFmtId="0" fontId="23" fillId="0" borderId="55" xfId="0" applyNumberFormat="1" applyFont="1" applyBorder="1" applyAlignment="1">
      <alignment horizontal="left"/>
    </xf>
    <xf numFmtId="0" fontId="23" fillId="0" borderId="49" xfId="0" applyNumberFormat="1" applyFont="1" applyBorder="1" applyAlignment="1">
      <alignment horizontal="left"/>
    </xf>
    <xf numFmtId="0" fontId="23" fillId="0" borderId="51" xfId="0" applyNumberFormat="1" applyFont="1" applyBorder="1" applyAlignment="1">
      <alignment horizontal="left"/>
    </xf>
    <xf numFmtId="0" fontId="0" fillId="0" borderId="51" xfId="0" applyBorder="1" applyAlignment="1"/>
    <xf numFmtId="0" fontId="23" fillId="0" borderId="52" xfId="0" applyNumberFormat="1" applyFont="1" applyBorder="1" applyAlignment="1">
      <alignment horizontal="left"/>
    </xf>
    <xf numFmtId="0" fontId="0" fillId="0" borderId="52" xfId="0" applyBorder="1" applyAlignment="1"/>
    <xf numFmtId="0" fontId="23" fillId="7" borderId="49" xfId="0" applyNumberFormat="1" applyFont="1" applyFill="1" applyBorder="1" applyAlignment="1">
      <alignment horizontal="center" vertical="center"/>
    </xf>
    <xf numFmtId="0" fontId="23" fillId="7" borderId="50" xfId="0" applyNumberFormat="1" applyFont="1" applyFill="1" applyBorder="1" applyAlignment="1">
      <alignment horizontal="center"/>
    </xf>
    <xf numFmtId="0" fontId="23" fillId="0" borderId="50" xfId="0" applyNumberFormat="1" applyFont="1" applyBorder="1" applyAlignment="1"/>
    <xf numFmtId="0" fontId="23" fillId="7" borderId="51" xfId="0" applyNumberFormat="1" applyFont="1" applyFill="1" applyBorder="1" applyAlignment="1">
      <alignment horizontal="center"/>
    </xf>
    <xf numFmtId="0" fontId="23" fillId="7" borderId="52" xfId="0" applyNumberFormat="1" applyFont="1" applyFill="1" applyBorder="1" applyAlignment="1">
      <alignment horizontal="center"/>
    </xf>
    <xf numFmtId="0" fontId="23" fillId="7" borderId="49" xfId="0" applyNumberFormat="1" applyFont="1" applyFill="1" applyBorder="1" applyAlignment="1">
      <alignment horizontal="center"/>
    </xf>
    <xf numFmtId="0" fontId="23" fillId="0" borderId="0" xfId="0" applyNumberFormat="1" applyFont="1" applyAlignment="1">
      <alignment horizontal="left"/>
    </xf>
    <xf numFmtId="0" fontId="0" fillId="0" borderId="0" xfId="0" applyNumberFormat="1" applyFont="1" applyAlignment="1">
      <alignment horizontal="left"/>
    </xf>
    <xf numFmtId="0" fontId="11" fillId="0" borderId="0" xfId="0" applyNumberFormat="1" applyFont="1" applyAlignment="1">
      <alignment horizontal="left"/>
    </xf>
    <xf numFmtId="0" fontId="9" fillId="6" borderId="58" xfId="0" applyFont="1" applyFill="1" applyBorder="1" applyAlignment="1">
      <alignment horizontal="center"/>
    </xf>
    <xf numFmtId="0" fontId="9" fillId="8" borderId="0" xfId="0" applyFont="1" applyFill="1" applyAlignment="1">
      <alignment horizontal="left"/>
    </xf>
    <xf numFmtId="0" fontId="9" fillId="8" borderId="67" xfId="0" applyFont="1" applyFill="1" applyBorder="1" applyAlignment="1">
      <alignment horizontal="left"/>
    </xf>
    <xf numFmtId="0" fontId="9" fillId="6" borderId="63" xfId="0" applyFont="1" applyFill="1" applyBorder="1" applyAlignment="1">
      <alignment horizontal="left"/>
    </xf>
    <xf numFmtId="0" fontId="9" fillId="8" borderId="63" xfId="0" applyFont="1" applyFill="1" applyBorder="1" applyAlignment="1">
      <alignment horizontal="left" wrapText="1"/>
    </xf>
    <xf numFmtId="0" fontId="9" fillId="8" borderId="65" xfId="0" applyFont="1" applyFill="1" applyBorder="1" applyAlignment="1">
      <alignment horizontal="left"/>
    </xf>
    <xf numFmtId="0" fontId="48" fillId="6" borderId="56" xfId="0" applyFont="1" applyFill="1" applyBorder="1" applyAlignment="1">
      <alignment horizontal="center" vertical="center"/>
    </xf>
    <xf numFmtId="0" fontId="0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56" fillId="0" borderId="26" xfId="0" applyFont="1" applyFill="1" applyBorder="1" applyAlignment="1">
      <alignment vertical="center"/>
    </xf>
    <xf numFmtId="0" fontId="56" fillId="5" borderId="26" xfId="0" applyFont="1" applyFill="1" applyBorder="1" applyAlignment="1">
      <alignment vertical="center"/>
    </xf>
    <xf numFmtId="0" fontId="54" fillId="0" borderId="26" xfId="0" applyFont="1" applyFill="1" applyBorder="1" applyAlignment="1">
      <alignment vertical="center"/>
    </xf>
    <xf numFmtId="0" fontId="0" fillId="0" borderId="67" xfId="0" applyFont="1" applyBorder="1" applyAlignment="1">
      <alignment horizontal="left"/>
    </xf>
    <xf numFmtId="0" fontId="9" fillId="0" borderId="14" xfId="0" applyFont="1" applyBorder="1" applyAlignment="1">
      <alignment horizontal="left"/>
    </xf>
    <xf numFmtId="0" fontId="48" fillId="6" borderId="65" xfId="0" applyFont="1" applyFill="1" applyBorder="1" applyAlignment="1">
      <alignment horizontal="center" vertical="center"/>
    </xf>
    <xf numFmtId="0" fontId="48" fillId="6" borderId="68" xfId="0" applyFont="1" applyFill="1" applyBorder="1" applyAlignment="1">
      <alignment horizontal="center" vertical="center"/>
    </xf>
    <xf numFmtId="0" fontId="48" fillId="6" borderId="0" xfId="0" applyFont="1" applyFill="1" applyBorder="1" applyAlignment="1">
      <alignment horizontal="center" vertical="center"/>
    </xf>
    <xf numFmtId="0" fontId="48" fillId="6" borderId="14" xfId="0" applyFont="1" applyFill="1" applyBorder="1" applyAlignment="1">
      <alignment horizontal="center" vertical="center"/>
    </xf>
    <xf numFmtId="0" fontId="48" fillId="6" borderId="67" xfId="0" applyFont="1" applyFill="1" applyBorder="1" applyAlignment="1">
      <alignment horizontal="center" vertical="center"/>
    </xf>
    <xf numFmtId="0" fontId="48" fillId="6" borderId="69" xfId="0" applyFont="1" applyFill="1" applyBorder="1" applyAlignment="1">
      <alignment horizontal="center" vertical="center"/>
    </xf>
    <xf numFmtId="170" fontId="9" fillId="0" borderId="62" xfId="0" applyNumberFormat="1" applyFont="1" applyBorder="1" applyAlignment="1">
      <alignment horizontal="right"/>
    </xf>
    <xf numFmtId="170" fontId="9" fillId="0" borderId="67" xfId="0" applyNumberFormat="1" applyFont="1" applyBorder="1" applyAlignment="1">
      <alignment horizontal="right"/>
    </xf>
    <xf numFmtId="170" fontId="9" fillId="0" borderId="69" xfId="0" applyNumberFormat="1" applyFont="1" applyBorder="1" applyAlignment="1">
      <alignment horizontal="right"/>
    </xf>
    <xf numFmtId="170" fontId="9" fillId="0" borderId="60" xfId="0" applyNumberFormat="1" applyFont="1" applyBorder="1" applyAlignment="1">
      <alignment horizontal="right"/>
    </xf>
    <xf numFmtId="170" fontId="9" fillId="0" borderId="0" xfId="0" applyNumberFormat="1" applyFont="1" applyBorder="1" applyAlignment="1">
      <alignment horizontal="right"/>
    </xf>
    <xf numFmtId="170" fontId="9" fillId="0" borderId="14" xfId="0" applyNumberFormat="1" applyFont="1" applyBorder="1" applyAlignment="1">
      <alignment horizontal="right"/>
    </xf>
    <xf numFmtId="170" fontId="9" fillId="0" borderId="66" xfId="0" applyNumberFormat="1" applyFont="1" applyBorder="1" applyAlignment="1">
      <alignment horizontal="right"/>
    </xf>
    <xf numFmtId="170" fontId="9" fillId="0" borderId="65" xfId="0" applyNumberFormat="1" applyFont="1" applyBorder="1" applyAlignment="1">
      <alignment horizontal="right"/>
    </xf>
    <xf numFmtId="170" fontId="9" fillId="0" borderId="68" xfId="0" applyNumberFormat="1" applyFont="1" applyBorder="1" applyAlignment="1">
      <alignment horizontal="right"/>
    </xf>
    <xf numFmtId="0" fontId="9" fillId="0" borderId="65" xfId="0" applyFont="1" applyBorder="1" applyAlignment="1">
      <alignment horizontal="left"/>
    </xf>
    <xf numFmtId="0" fontId="9" fillId="0" borderId="68" xfId="0" applyFont="1" applyBorder="1" applyAlignment="1">
      <alignment horizontal="left"/>
    </xf>
    <xf numFmtId="0" fontId="9" fillId="6" borderId="62" xfId="0" applyFont="1" applyFill="1" applyBorder="1" applyAlignment="1">
      <alignment horizontal="center"/>
    </xf>
    <xf numFmtId="0" fontId="9" fillId="6" borderId="67" xfId="0" applyFont="1" applyFill="1" applyBorder="1" applyAlignment="1">
      <alignment horizontal="center"/>
    </xf>
    <xf numFmtId="0" fontId="9" fillId="6" borderId="69" xfId="0" applyFont="1" applyFill="1" applyBorder="1" applyAlignment="1">
      <alignment horizontal="center"/>
    </xf>
    <xf numFmtId="0" fontId="9" fillId="6" borderId="66" xfId="0" applyFont="1" applyFill="1" applyBorder="1" applyAlignment="1">
      <alignment horizontal="center"/>
    </xf>
    <xf numFmtId="0" fontId="9" fillId="6" borderId="65" xfId="0" applyFont="1" applyFill="1" applyBorder="1" applyAlignment="1">
      <alignment horizontal="center"/>
    </xf>
    <xf numFmtId="0" fontId="9" fillId="6" borderId="68" xfId="0" applyFont="1" applyFill="1" applyBorder="1" applyAlignment="1">
      <alignment horizontal="center"/>
    </xf>
    <xf numFmtId="0" fontId="9" fillId="0" borderId="67" xfId="0" applyFont="1" applyBorder="1" applyAlignment="1">
      <alignment horizontal="left"/>
    </xf>
    <xf numFmtId="0" fontId="9" fillId="0" borderId="69" xfId="0" applyFont="1" applyBorder="1" applyAlignment="1">
      <alignment horizontal="left"/>
    </xf>
    <xf numFmtId="0" fontId="0" fillId="0" borderId="65" xfId="0" applyBorder="1" applyAlignment="1"/>
    <xf numFmtId="170" fontId="9" fillId="0" borderId="58" xfId="0" applyNumberFormat="1" applyFont="1" applyBorder="1" applyAlignment="1">
      <alignment horizontal="right"/>
    </xf>
    <xf numFmtId="170" fontId="9" fillId="0" borderId="63" xfId="0" applyNumberFormat="1" applyFont="1" applyBorder="1" applyAlignment="1">
      <alignment horizontal="right"/>
    </xf>
    <xf numFmtId="170" fontId="9" fillId="0" borderId="56" xfId="0" applyNumberFormat="1" applyFont="1" applyBorder="1" applyAlignment="1">
      <alignment horizontal="right"/>
    </xf>
    <xf numFmtId="0" fontId="9" fillId="8" borderId="63" xfId="0" applyFont="1" applyFill="1" applyBorder="1" applyAlignment="1">
      <alignment wrapText="1"/>
    </xf>
    <xf numFmtId="0" fontId="9" fillId="8" borderId="56" xfId="0" applyFont="1" applyFill="1" applyBorder="1" applyAlignment="1">
      <alignment wrapText="1"/>
    </xf>
    <xf numFmtId="10" fontId="4" fillId="0" borderId="24" xfId="0" applyNumberFormat="1" applyFont="1" applyBorder="1" applyAlignment="1">
      <alignment wrapText="1"/>
    </xf>
    <xf numFmtId="10" fontId="8" fillId="0" borderId="24" xfId="2" applyNumberFormat="1" applyFont="1" applyBorder="1" applyAlignment="1">
      <alignment horizontal="center"/>
    </xf>
    <xf numFmtId="10" fontId="4" fillId="0" borderId="24" xfId="0" applyNumberFormat="1" applyFont="1" applyBorder="1"/>
    <xf numFmtId="43" fontId="5" fillId="0" borderId="18" xfId="1" applyFont="1" applyBorder="1"/>
    <xf numFmtId="164" fontId="34" fillId="0" borderId="1" xfId="0" applyNumberFormat="1" applyFont="1" applyBorder="1" applyAlignment="1">
      <alignment wrapText="1"/>
    </xf>
    <xf numFmtId="43" fontId="58" fillId="0" borderId="1" xfId="1" applyFont="1" applyBorder="1"/>
    <xf numFmtId="4" fontId="25" fillId="0" borderId="1" xfId="0" applyNumberFormat="1" applyFont="1" applyBorder="1"/>
    <xf numFmtId="14" fontId="5" fillId="0" borderId="0" xfId="0" applyNumberFormat="1" applyFont="1" applyAlignment="1">
      <alignment horizontal="left"/>
    </xf>
    <xf numFmtId="0" fontId="8" fillId="0" borderId="60" xfId="0" applyFont="1" applyBorder="1"/>
    <xf numFmtId="0" fontId="47" fillId="0" borderId="0" xfId="0" applyFont="1" applyAlignment="1">
      <alignment horizontal="center"/>
    </xf>
    <xf numFmtId="10" fontId="5" fillId="0" borderId="64" xfId="4" applyNumberFormat="1" applyFont="1" applyBorder="1" applyAlignment="1">
      <alignment horizontal="center"/>
    </xf>
    <xf numFmtId="0" fontId="5" fillId="0" borderId="58" xfId="0" applyFont="1" applyBorder="1"/>
    <xf numFmtId="164" fontId="4" fillId="0" borderId="1" xfId="0" applyNumberFormat="1" applyFont="1" applyBorder="1"/>
    <xf numFmtId="0" fontId="53" fillId="4" borderId="26" xfId="0" applyFont="1" applyFill="1" applyBorder="1" applyAlignment="1">
      <alignment horizontal="center" vertical="center"/>
    </xf>
    <xf numFmtId="0" fontId="53" fillId="4" borderId="28" xfId="0" applyFont="1" applyFill="1" applyBorder="1" applyAlignment="1">
      <alignment horizontal="center" vertical="center"/>
    </xf>
    <xf numFmtId="0" fontId="53" fillId="4" borderId="29" xfId="0" applyFont="1" applyFill="1" applyBorder="1" applyAlignment="1">
      <alignment horizontal="center" vertical="center"/>
    </xf>
    <xf numFmtId="0" fontId="54" fillId="0" borderId="34" xfId="0" applyFont="1" applyFill="1" applyBorder="1" applyAlignment="1">
      <alignment horizontal="right" vertical="center"/>
    </xf>
    <xf numFmtId="0" fontId="54" fillId="0" borderId="27" xfId="0" applyFont="1" applyFill="1" applyBorder="1" applyAlignment="1">
      <alignment horizontal="right" vertical="center"/>
    </xf>
    <xf numFmtId="0" fontId="54" fillId="0" borderId="35" xfId="0" applyFont="1" applyFill="1" applyBorder="1" applyAlignment="1">
      <alignment horizontal="right" vertical="center"/>
    </xf>
    <xf numFmtId="0" fontId="54" fillId="0" borderId="36" xfId="0" applyFont="1" applyFill="1" applyBorder="1" applyAlignment="1">
      <alignment horizontal="right" vertical="center"/>
    </xf>
    <xf numFmtId="0" fontId="54" fillId="0" borderId="37" xfId="0" applyFont="1" applyFill="1" applyBorder="1" applyAlignment="1">
      <alignment horizontal="right" vertical="center"/>
    </xf>
    <xf numFmtId="0" fontId="54" fillId="0" borderId="0" xfId="0" applyFont="1" applyFill="1" applyAlignment="1">
      <alignment horizontal="right" vertical="center"/>
    </xf>
    <xf numFmtId="0" fontId="49" fillId="0" borderId="0" xfId="0" applyFont="1" applyFill="1" applyAlignment="1">
      <alignment vertical="top"/>
    </xf>
    <xf numFmtId="0" fontId="51" fillId="0" borderId="0" xfId="0" applyFont="1" applyFill="1" applyAlignment="1">
      <alignment vertical="top"/>
    </xf>
    <xf numFmtId="0" fontId="49" fillId="0" borderId="25" xfId="0" applyFont="1" applyFill="1" applyBorder="1" applyAlignment="1">
      <alignment vertical="top"/>
    </xf>
    <xf numFmtId="0" fontId="54" fillId="0" borderId="0" xfId="0" applyFont="1" applyFill="1"/>
    <xf numFmtId="0" fontId="54" fillId="0" borderId="31" xfId="0" applyFont="1" applyFill="1" applyBorder="1" applyAlignment="1">
      <alignment horizontal="right" vertical="center"/>
    </xf>
    <xf numFmtId="0" fontId="54" fillId="0" borderId="33" xfId="0" applyFont="1" applyFill="1" applyBorder="1" applyAlignment="1">
      <alignment horizontal="right" vertical="center"/>
    </xf>
    <xf numFmtId="0" fontId="54" fillId="0" borderId="25" xfId="0" applyFont="1" applyFill="1" applyBorder="1" applyAlignment="1">
      <alignment horizontal="right" vertical="center"/>
    </xf>
    <xf numFmtId="0" fontId="50" fillId="0" borderId="0" xfId="0" applyFont="1" applyFill="1" applyAlignment="1">
      <alignment horizontal="right" vertical="top"/>
    </xf>
    <xf numFmtId="0" fontId="54" fillId="0" borderId="34" xfId="0" applyFont="1" applyFill="1" applyBorder="1" applyAlignment="1">
      <alignment vertical="center"/>
    </xf>
    <xf numFmtId="0" fontId="54" fillId="0" borderId="27" xfId="0" applyFont="1" applyFill="1" applyBorder="1" applyAlignment="1">
      <alignment vertical="center"/>
    </xf>
    <xf numFmtId="0" fontId="54" fillId="0" borderId="36" xfId="0" applyFont="1" applyFill="1" applyBorder="1" applyAlignment="1">
      <alignment vertical="center"/>
    </xf>
    <xf numFmtId="0" fontId="54" fillId="0" borderId="37" xfId="0" applyFont="1" applyFill="1" applyBorder="1" applyAlignment="1">
      <alignment vertical="center"/>
    </xf>
    <xf numFmtId="0" fontId="50" fillId="0" borderId="25" xfId="0" applyFont="1" applyFill="1" applyBorder="1" applyAlignment="1">
      <alignment horizontal="right" vertical="top" wrapText="1"/>
    </xf>
    <xf numFmtId="0" fontId="53" fillId="4" borderId="27" xfId="0" applyFont="1" applyFill="1" applyBorder="1" applyAlignment="1">
      <alignment horizontal="center" vertical="center"/>
    </xf>
    <xf numFmtId="0" fontId="53" fillId="4" borderId="30" xfId="0" applyFont="1" applyFill="1" applyBorder="1" applyAlignment="1">
      <alignment horizontal="center" vertical="center"/>
    </xf>
    <xf numFmtId="0" fontId="53" fillId="4" borderId="37" xfId="0" applyFont="1" applyFill="1" applyBorder="1" applyAlignment="1">
      <alignment horizontal="center" vertical="center"/>
    </xf>
    <xf numFmtId="0" fontId="53" fillId="4" borderId="32" xfId="0" applyFont="1" applyFill="1" applyBorder="1" applyAlignment="1">
      <alignment horizontal="center" vertical="center"/>
    </xf>
    <xf numFmtId="0" fontId="53" fillId="4" borderId="33" xfId="0" applyFont="1" applyFill="1" applyBorder="1" applyAlignment="1">
      <alignment horizontal="center" vertical="center"/>
    </xf>
    <xf numFmtId="0" fontId="54" fillId="4" borderId="26" xfId="0" applyFont="1" applyFill="1" applyBorder="1" applyAlignment="1">
      <alignment horizontal="center" vertical="center" wrapText="1"/>
    </xf>
    <xf numFmtId="0" fontId="54" fillId="4" borderId="36" xfId="0" applyFont="1" applyFill="1" applyBorder="1" applyAlignment="1">
      <alignment horizontal="center" vertical="center" wrapText="1"/>
    </xf>
    <xf numFmtId="0" fontId="54" fillId="4" borderId="31" xfId="0" applyFont="1" applyFill="1" applyBorder="1" applyAlignment="1">
      <alignment horizontal="center" vertical="center" wrapText="1"/>
    </xf>
    <xf numFmtId="0" fontId="54" fillId="4" borderId="26" xfId="0" applyFont="1" applyFill="1" applyBorder="1" applyAlignment="1">
      <alignment horizontal="center" vertical="center"/>
    </xf>
    <xf numFmtId="0" fontId="54" fillId="4" borderId="28" xfId="0" applyFont="1" applyFill="1" applyBorder="1" applyAlignment="1">
      <alignment horizontal="center" vertical="center"/>
    </xf>
    <xf numFmtId="0" fontId="54" fillId="4" borderId="29" xfId="0" applyFont="1" applyFill="1" applyBorder="1" applyAlignment="1">
      <alignment horizontal="center" vertical="center"/>
    </xf>
    <xf numFmtId="0" fontId="54" fillId="4" borderId="34" xfId="0" applyFont="1" applyFill="1" applyBorder="1" applyAlignment="1">
      <alignment horizontal="center" vertical="center"/>
    </xf>
    <xf numFmtId="0" fontId="54" fillId="4" borderId="35" xfId="0" applyFont="1" applyFill="1" applyBorder="1" applyAlignment="1">
      <alignment horizontal="center" vertical="center"/>
    </xf>
    <xf numFmtId="0" fontId="54" fillId="4" borderId="27" xfId="0" applyFont="1" applyFill="1" applyBorder="1" applyAlignment="1">
      <alignment horizontal="center" vertical="center"/>
    </xf>
    <xf numFmtId="0" fontId="54" fillId="4" borderId="31" xfId="0" applyFont="1" applyFill="1" applyBorder="1" applyAlignment="1">
      <alignment horizontal="center" vertical="center"/>
    </xf>
    <xf numFmtId="0" fontId="54" fillId="4" borderId="25" xfId="0" applyFont="1" applyFill="1" applyBorder="1" applyAlignment="1">
      <alignment horizontal="center" vertical="center"/>
    </xf>
    <xf numFmtId="0" fontId="54" fillId="4" borderId="33" xfId="0" applyFont="1" applyFill="1" applyBorder="1" applyAlignment="1">
      <alignment horizontal="center" vertical="center"/>
    </xf>
    <xf numFmtId="0" fontId="54" fillId="0" borderId="31" xfId="0" applyFont="1" applyFill="1" applyBorder="1" applyAlignment="1">
      <alignment vertical="center"/>
    </xf>
    <xf numFmtId="0" fontId="54" fillId="0" borderId="33" xfId="0" applyFont="1" applyFill="1" applyBorder="1" applyAlignment="1">
      <alignment vertical="center"/>
    </xf>
    <xf numFmtId="0" fontId="54" fillId="4" borderId="26" xfId="0" applyFont="1" applyFill="1" applyBorder="1" applyAlignment="1">
      <alignment vertical="center"/>
    </xf>
    <xf numFmtId="0" fontId="54" fillId="4" borderId="29" xfId="0" applyFont="1" applyFill="1" applyBorder="1" applyAlignment="1">
      <alignment vertical="center"/>
    </xf>
    <xf numFmtId="0" fontId="54" fillId="4" borderId="26" xfId="0" applyFont="1" applyFill="1" applyBorder="1" applyAlignment="1">
      <alignment horizontal="right" vertical="center"/>
    </xf>
    <xf numFmtId="0" fontId="54" fillId="4" borderId="28" xfId="0" applyFont="1" applyFill="1" applyBorder="1" applyAlignment="1">
      <alignment horizontal="right" vertical="center"/>
    </xf>
    <xf numFmtId="0" fontId="54" fillId="4" borderId="29" xfId="0" applyFont="1" applyFill="1" applyBorder="1" applyAlignment="1">
      <alignment horizontal="right" vertical="center"/>
    </xf>
    <xf numFmtId="0" fontId="54" fillId="0" borderId="48" xfId="0" applyFont="1" applyFill="1" applyBorder="1" applyAlignment="1">
      <alignment horizontal="right" vertical="center"/>
    </xf>
    <xf numFmtId="0" fontId="54" fillId="0" borderId="30" xfId="0" applyFont="1" applyFill="1" applyBorder="1" applyAlignment="1">
      <alignment horizontal="right" vertical="center"/>
    </xf>
    <xf numFmtId="0" fontId="54" fillId="4" borderId="33" xfId="0" applyFont="1" applyFill="1" applyBorder="1" applyAlignment="1">
      <alignment horizontal="center" vertical="center" wrapText="1"/>
    </xf>
    <xf numFmtId="0" fontId="54" fillId="4" borderId="27" xfId="0" applyFont="1" applyFill="1" applyBorder="1" applyAlignment="1">
      <alignment horizontal="center" vertical="center" wrapText="1"/>
    </xf>
    <xf numFmtId="0" fontId="54" fillId="4" borderId="30" xfId="0" applyFont="1" applyFill="1" applyBorder="1" applyAlignment="1">
      <alignment horizontal="center" vertical="center" wrapText="1"/>
    </xf>
    <xf numFmtId="0" fontId="54" fillId="4" borderId="37" xfId="0" applyFont="1" applyFill="1" applyBorder="1" applyAlignment="1">
      <alignment horizontal="center" vertical="center" wrapText="1"/>
    </xf>
    <xf numFmtId="0" fontId="54" fillId="4" borderId="32" xfId="0" applyFont="1" applyFill="1" applyBorder="1" applyAlignment="1">
      <alignment horizontal="center" vertical="center" wrapText="1"/>
    </xf>
    <xf numFmtId="0" fontId="54" fillId="4" borderId="34" xfId="0" applyFont="1" applyFill="1" applyBorder="1" applyAlignment="1">
      <alignment horizontal="center" vertical="center" wrapText="1"/>
    </xf>
    <xf numFmtId="0" fontId="54" fillId="4" borderId="28" xfId="0" applyFont="1" applyFill="1" applyBorder="1" applyAlignment="1">
      <alignment horizontal="center" vertical="center" wrapText="1"/>
    </xf>
    <xf numFmtId="0" fontId="54" fillId="4" borderId="29" xfId="0" applyFont="1" applyFill="1" applyBorder="1" applyAlignment="1">
      <alignment horizontal="center" vertical="center" wrapText="1"/>
    </xf>
    <xf numFmtId="0" fontId="54" fillId="0" borderId="32" xfId="0" applyFont="1" applyFill="1" applyBorder="1" applyAlignment="1">
      <alignment horizontal="right" vertical="center"/>
    </xf>
    <xf numFmtId="0" fontId="53" fillId="4" borderId="26" xfId="0" applyFont="1" applyFill="1" applyBorder="1" applyAlignment="1">
      <alignment vertical="center" wrapText="1"/>
    </xf>
    <xf numFmtId="0" fontId="53" fillId="4" borderId="29" xfId="0" applyFont="1" applyFill="1" applyBorder="1" applyAlignment="1">
      <alignment vertical="center" wrapText="1"/>
    </xf>
    <xf numFmtId="0" fontId="54" fillId="0" borderId="26" xfId="0" applyFont="1" applyFill="1" applyBorder="1" applyAlignment="1">
      <alignment vertical="center" wrapText="1"/>
    </xf>
    <xf numFmtId="0" fontId="54" fillId="0" borderId="29" xfId="0" applyFont="1" applyFill="1" applyBorder="1" applyAlignment="1">
      <alignment vertical="center" wrapText="1"/>
    </xf>
    <xf numFmtId="169" fontId="54" fillId="0" borderId="26" xfId="0" applyNumberFormat="1" applyFont="1" applyFill="1" applyBorder="1" applyAlignment="1">
      <alignment horizontal="right" vertical="center"/>
    </xf>
    <xf numFmtId="169" fontId="54" fillId="0" borderId="28" xfId="0" applyNumberFormat="1" applyFont="1" applyFill="1" applyBorder="1" applyAlignment="1">
      <alignment horizontal="right" vertical="center"/>
    </xf>
    <xf numFmtId="169" fontId="54" fillId="0" borderId="29" xfId="0" applyNumberFormat="1" applyFont="1" applyFill="1" applyBorder="1" applyAlignment="1">
      <alignment horizontal="right" vertical="center"/>
    </xf>
    <xf numFmtId="0" fontId="55" fillId="0" borderId="26" xfId="0" applyFont="1" applyFill="1" applyBorder="1" applyAlignment="1">
      <alignment vertical="top"/>
    </xf>
    <xf numFmtId="0" fontId="55" fillId="0" borderId="28" xfId="0" applyFont="1" applyFill="1" applyBorder="1" applyAlignment="1">
      <alignment vertical="top"/>
    </xf>
    <xf numFmtId="0" fontId="55" fillId="0" borderId="29" xfId="0" applyFont="1" applyFill="1" applyBorder="1" applyAlignment="1">
      <alignment vertical="top"/>
    </xf>
    <xf numFmtId="0" fontId="54" fillId="0" borderId="34" xfId="0" applyFont="1" applyFill="1" applyBorder="1" applyAlignment="1">
      <alignment vertical="center" wrapText="1"/>
    </xf>
    <xf numFmtId="0" fontId="54" fillId="0" borderId="27" xfId="0" applyFont="1" applyFill="1" applyBorder="1" applyAlignment="1">
      <alignment vertical="center" wrapText="1"/>
    </xf>
    <xf numFmtId="0" fontId="54" fillId="0" borderId="31" xfId="0" applyFont="1" applyFill="1" applyBorder="1" applyAlignment="1">
      <alignment vertical="center" wrapText="1"/>
    </xf>
    <xf numFmtId="0" fontId="54" fillId="0" borderId="33" xfId="0" applyFont="1" applyFill="1" applyBorder="1" applyAlignment="1">
      <alignment vertical="center" wrapText="1"/>
    </xf>
    <xf numFmtId="0" fontId="54" fillId="0" borderId="26" xfId="0" applyFont="1" applyFill="1" applyBorder="1" applyAlignment="1">
      <alignment horizontal="right" vertical="center"/>
    </xf>
    <xf numFmtId="0" fontId="54" fillId="0" borderId="28" xfId="0" applyFont="1" applyFill="1" applyBorder="1" applyAlignment="1">
      <alignment horizontal="right" vertical="center"/>
    </xf>
    <xf numFmtId="0" fontId="54" fillId="0" borderId="29" xfId="0" applyFont="1" applyFill="1" applyBorder="1" applyAlignment="1">
      <alignment horizontal="right" vertical="center"/>
    </xf>
    <xf numFmtId="0" fontId="53" fillId="4" borderId="34" xfId="0" applyFont="1" applyFill="1" applyBorder="1" applyAlignment="1">
      <alignment horizontal="center" vertical="center"/>
    </xf>
    <xf numFmtId="0" fontId="53" fillId="4" borderId="35" xfId="0" applyFont="1" applyFill="1" applyBorder="1" applyAlignment="1">
      <alignment horizontal="center" vertical="center"/>
    </xf>
    <xf numFmtId="0" fontId="53" fillId="4" borderId="31" xfId="0" applyFont="1" applyFill="1" applyBorder="1" applyAlignment="1">
      <alignment horizontal="center" vertical="center"/>
    </xf>
    <xf numFmtId="0" fontId="53" fillId="4" borderId="25" xfId="0" applyFont="1" applyFill="1" applyBorder="1" applyAlignment="1">
      <alignment horizontal="center" vertical="center"/>
    </xf>
    <xf numFmtId="0" fontId="54" fillId="0" borderId="36" xfId="0" applyFont="1" applyFill="1" applyBorder="1" applyAlignment="1">
      <alignment vertical="center" wrapText="1"/>
    </xf>
    <xf numFmtId="0" fontId="54" fillId="0" borderId="37" xfId="0" applyFont="1" applyFill="1" applyBorder="1" applyAlignment="1">
      <alignment vertical="center" wrapText="1"/>
    </xf>
    <xf numFmtId="169" fontId="54" fillId="0" borderId="36" xfId="0" applyNumberFormat="1" applyFont="1" applyFill="1" applyBorder="1" applyAlignment="1">
      <alignment horizontal="right" vertical="center"/>
    </xf>
    <xf numFmtId="169" fontId="54" fillId="0" borderId="0" xfId="0" applyNumberFormat="1" applyFont="1" applyFill="1" applyAlignment="1">
      <alignment horizontal="right" vertical="center"/>
    </xf>
    <xf numFmtId="169" fontId="54" fillId="0" borderId="37" xfId="0" applyNumberFormat="1" applyFont="1" applyFill="1" applyBorder="1" applyAlignment="1">
      <alignment horizontal="right" vertical="center"/>
    </xf>
    <xf numFmtId="169" fontId="54" fillId="0" borderId="34" xfId="0" applyNumberFormat="1" applyFont="1" applyFill="1" applyBorder="1" applyAlignment="1">
      <alignment horizontal="right" vertical="center"/>
    </xf>
    <xf numFmtId="169" fontId="54" fillId="0" borderId="35" xfId="0" applyNumberFormat="1" applyFont="1" applyFill="1" applyBorder="1" applyAlignment="1">
      <alignment horizontal="right" vertical="center"/>
    </xf>
    <xf numFmtId="169" fontId="54" fillId="0" borderId="27" xfId="0" applyNumberFormat="1" applyFont="1" applyFill="1" applyBorder="1" applyAlignment="1">
      <alignment horizontal="right" vertical="center"/>
    </xf>
    <xf numFmtId="169" fontId="54" fillId="0" borderId="31" xfId="0" applyNumberFormat="1" applyFont="1" applyFill="1" applyBorder="1" applyAlignment="1">
      <alignment horizontal="right" vertical="center"/>
    </xf>
    <xf numFmtId="169" fontId="54" fillId="0" borderId="25" xfId="0" applyNumberFormat="1" applyFont="1" applyFill="1" applyBorder="1" applyAlignment="1">
      <alignment horizontal="right" vertical="center"/>
    </xf>
    <xf numFmtId="169" fontId="54" fillId="0" borderId="33" xfId="0" applyNumberFormat="1" applyFont="1" applyFill="1" applyBorder="1" applyAlignment="1">
      <alignment horizontal="right" vertical="center"/>
    </xf>
    <xf numFmtId="0" fontId="53" fillId="4" borderId="26" xfId="0" applyFont="1" applyFill="1" applyBorder="1" applyAlignment="1">
      <alignment horizontal="right" vertical="center"/>
    </xf>
    <xf numFmtId="0" fontId="53" fillId="4" borderId="28" xfId="0" applyFont="1" applyFill="1" applyBorder="1" applyAlignment="1">
      <alignment horizontal="right" vertical="center"/>
    </xf>
    <xf numFmtId="0" fontId="53" fillId="4" borderId="29" xfId="0" applyFont="1" applyFill="1" applyBorder="1" applyAlignment="1">
      <alignment horizontal="right" vertical="center"/>
    </xf>
    <xf numFmtId="0" fontId="54" fillId="0" borderId="31" xfId="0" applyFont="1" applyFill="1" applyBorder="1" applyAlignment="1">
      <alignment horizontal="right" vertical="center"/>
    </xf>
    <xf numFmtId="0" fontId="54" fillId="0" borderId="33" xfId="0" applyFont="1" applyFill="1" applyBorder="1" applyAlignment="1">
      <alignment horizontal="right" vertical="center"/>
    </xf>
    <xf numFmtId="0" fontId="54" fillId="0" borderId="35" xfId="0" applyFont="1" applyFill="1" applyBorder="1"/>
    <xf numFmtId="0" fontId="57" fillId="0" borderId="0" xfId="0" applyFont="1" applyFill="1" applyAlignment="1">
      <alignment vertical="center" wrapText="1"/>
    </xf>
    <xf numFmtId="0" fontId="54" fillId="0" borderId="0" xfId="0" applyFont="1" applyFill="1"/>
    <xf numFmtId="0" fontId="52" fillId="4" borderId="26" xfId="0" applyFont="1" applyFill="1" applyBorder="1" applyAlignment="1">
      <alignment horizontal="center" vertical="center"/>
    </xf>
    <xf numFmtId="0" fontId="52" fillId="4" borderId="31" xfId="0" applyFont="1" applyFill="1" applyBorder="1" applyAlignment="1">
      <alignment horizontal="center" vertical="center"/>
    </xf>
    <xf numFmtId="0" fontId="53" fillId="4" borderId="26" xfId="0" applyFont="1" applyFill="1" applyBorder="1" applyAlignment="1">
      <alignment horizontal="center" vertical="center" wrapText="1"/>
    </xf>
    <xf numFmtId="0" fontId="53" fillId="4" borderId="27" xfId="0" applyFont="1" applyFill="1" applyBorder="1" applyAlignment="1">
      <alignment horizontal="center" vertical="center" wrapText="1"/>
    </xf>
    <xf numFmtId="0" fontId="53" fillId="4" borderId="32" xfId="0" applyFont="1" applyFill="1" applyBorder="1" applyAlignment="1">
      <alignment horizontal="center" vertical="center" wrapText="1"/>
    </xf>
    <xf numFmtId="0" fontId="53" fillId="4" borderId="33" xfId="0" applyFont="1" applyFill="1" applyBorder="1" applyAlignment="1">
      <alignment horizontal="center" vertical="center" wrapText="1"/>
    </xf>
    <xf numFmtId="0" fontId="53" fillId="4" borderId="31" xfId="0" applyFont="1" applyFill="1" applyBorder="1" applyAlignment="1">
      <alignment horizontal="center" vertical="center" wrapText="1"/>
    </xf>
    <xf numFmtId="0" fontId="53" fillId="4" borderId="26" xfId="0" applyFont="1" applyFill="1" applyBorder="1" applyAlignment="1">
      <alignment horizontal="center" vertical="center"/>
    </xf>
    <xf numFmtId="0" fontId="53" fillId="4" borderId="28" xfId="0" applyFont="1" applyFill="1" applyBorder="1" applyAlignment="1">
      <alignment horizontal="center" vertical="center"/>
    </xf>
    <xf numFmtId="0" fontId="53" fillId="4" borderId="29" xfId="0" applyFont="1" applyFill="1" applyBorder="1" applyAlignment="1">
      <alignment horizontal="center" vertical="center"/>
    </xf>
    <xf numFmtId="4" fontId="54" fillId="0" borderId="36" xfId="0" applyNumberFormat="1" applyFont="1" applyFill="1" applyBorder="1" applyAlignment="1">
      <alignment horizontal="right" vertical="center"/>
    </xf>
    <xf numFmtId="4" fontId="54" fillId="0" borderId="37" xfId="0" applyNumberFormat="1" applyFont="1" applyFill="1" applyBorder="1" applyAlignment="1">
      <alignment horizontal="right" vertical="center"/>
    </xf>
    <xf numFmtId="0" fontId="54" fillId="0" borderId="36" xfId="0" applyFont="1" applyFill="1" applyBorder="1" applyAlignment="1">
      <alignment horizontal="right" vertical="center"/>
    </xf>
    <xf numFmtId="0" fontId="54" fillId="0" borderId="0" xfId="0" applyFont="1" applyFill="1" applyAlignment="1">
      <alignment horizontal="right" vertical="center"/>
    </xf>
    <xf numFmtId="0" fontId="54" fillId="0" borderId="37" xfId="0" applyFont="1" applyFill="1" applyBorder="1" applyAlignment="1">
      <alignment horizontal="right" vertical="center"/>
    </xf>
    <xf numFmtId="4" fontId="54" fillId="0" borderId="31" xfId="0" applyNumberFormat="1" applyFont="1" applyFill="1" applyBorder="1" applyAlignment="1">
      <alignment horizontal="right" vertical="center"/>
    </xf>
    <xf numFmtId="4" fontId="54" fillId="0" borderId="33" xfId="0" applyNumberFormat="1" applyFont="1" applyFill="1" applyBorder="1" applyAlignment="1">
      <alignment horizontal="right" vertical="center"/>
    </xf>
    <xf numFmtId="0" fontId="54" fillId="0" borderId="25" xfId="0" applyFont="1" applyFill="1" applyBorder="1" applyAlignment="1">
      <alignment horizontal="right" vertical="center"/>
    </xf>
    <xf numFmtId="0" fontId="50" fillId="0" borderId="0" xfId="0" applyFont="1" applyFill="1" applyAlignment="1">
      <alignment horizontal="right" vertical="top" wrapText="1"/>
    </xf>
    <xf numFmtId="0" fontId="53" fillId="4" borderId="35" xfId="0" applyFont="1" applyFill="1" applyBorder="1" applyAlignment="1">
      <alignment horizontal="center" vertical="center" wrapText="1"/>
    </xf>
    <xf numFmtId="0" fontId="53" fillId="4" borderId="25" xfId="0" applyFont="1" applyFill="1" applyBorder="1" applyAlignment="1">
      <alignment horizontal="center" vertical="center" wrapText="1"/>
    </xf>
    <xf numFmtId="0" fontId="53" fillId="4" borderId="28" xfId="0" applyFont="1" applyFill="1" applyBorder="1" applyAlignment="1">
      <alignment horizontal="center" vertical="center" wrapText="1"/>
    </xf>
    <xf numFmtId="0" fontId="53" fillId="4" borderId="29" xfId="0" applyFont="1" applyFill="1" applyBorder="1" applyAlignment="1">
      <alignment horizontal="center" vertical="center" wrapText="1"/>
    </xf>
    <xf numFmtId="0" fontId="54" fillId="0" borderId="34" xfId="0" applyFont="1" applyFill="1" applyBorder="1" applyAlignment="1">
      <alignment horizontal="right" vertical="center"/>
    </xf>
    <xf numFmtId="0" fontId="54" fillId="0" borderId="27" xfId="0" applyFont="1" applyFill="1" applyBorder="1" applyAlignment="1">
      <alignment horizontal="right" vertical="center"/>
    </xf>
    <xf numFmtId="0" fontId="54" fillId="0" borderId="35" xfId="0" applyFont="1" applyFill="1" applyBorder="1" applyAlignment="1">
      <alignment horizontal="right" vertical="center"/>
    </xf>
    <xf numFmtId="0" fontId="49" fillId="0" borderId="0" xfId="0" applyFont="1" applyFill="1" applyAlignment="1">
      <alignment vertical="top"/>
    </xf>
    <xf numFmtId="4" fontId="54" fillId="5" borderId="26" xfId="0" applyNumberFormat="1" applyFont="1" applyFill="1" applyBorder="1" applyAlignment="1">
      <alignment horizontal="right" vertical="center"/>
    </xf>
    <xf numFmtId="4" fontId="54" fillId="5" borderId="29" xfId="0" applyNumberFormat="1" applyFont="1" applyFill="1" applyBorder="1" applyAlignment="1">
      <alignment horizontal="right" vertical="center"/>
    </xf>
    <xf numFmtId="4" fontId="54" fillId="5" borderId="28" xfId="0" applyNumberFormat="1" applyFont="1" applyFill="1" applyBorder="1" applyAlignment="1">
      <alignment horizontal="right" vertical="center"/>
    </xf>
    <xf numFmtId="4" fontId="54" fillId="0" borderId="0" xfId="0" applyNumberFormat="1" applyFont="1" applyFill="1" applyAlignment="1">
      <alignment horizontal="right" vertical="center"/>
    </xf>
    <xf numFmtId="0" fontId="49" fillId="0" borderId="25" xfId="0" applyFont="1" applyFill="1" applyBorder="1" applyAlignment="1">
      <alignment vertical="top"/>
    </xf>
    <xf numFmtId="0" fontId="51" fillId="0" borderId="0" xfId="0" applyFont="1" applyFill="1" applyAlignment="1">
      <alignment vertical="top"/>
    </xf>
    <xf numFmtId="4" fontId="54" fillId="0" borderId="34" xfId="0" applyNumberFormat="1" applyFont="1" applyFill="1" applyBorder="1" applyAlignment="1">
      <alignment horizontal="right" vertical="center"/>
    </xf>
    <xf numFmtId="4" fontId="54" fillId="0" borderId="27" xfId="0" applyNumberFormat="1" applyFont="1" applyFill="1" applyBorder="1" applyAlignment="1">
      <alignment horizontal="right" vertical="center"/>
    </xf>
    <xf numFmtId="4" fontId="54" fillId="0" borderId="26" xfId="0" applyNumberFormat="1" applyFont="1" applyFill="1" applyBorder="1" applyAlignment="1">
      <alignment horizontal="right" vertical="center"/>
    </xf>
    <xf numFmtId="4" fontId="54" fillId="0" borderId="29" xfId="0" applyNumberFormat="1" applyFont="1" applyFill="1" applyBorder="1" applyAlignment="1">
      <alignment horizontal="right" vertical="center"/>
    </xf>
    <xf numFmtId="4" fontId="54" fillId="0" borderId="28" xfId="0" applyNumberFormat="1" applyFont="1" applyFill="1" applyBorder="1" applyAlignment="1">
      <alignment horizontal="right" vertical="center"/>
    </xf>
    <xf numFmtId="4" fontId="54" fillId="0" borderId="25" xfId="0" applyNumberFormat="1" applyFont="1" applyFill="1" applyBorder="1" applyAlignment="1">
      <alignment horizontal="right" vertical="center"/>
    </xf>
    <xf numFmtId="4" fontId="54" fillId="0" borderId="35" xfId="0" applyNumberFormat="1" applyFont="1" applyFill="1" applyBorder="1" applyAlignment="1">
      <alignment horizontal="right" vertical="center"/>
    </xf>
    <xf numFmtId="0" fontId="44" fillId="0" borderId="0" xfId="0" applyNumberFormat="1" applyFont="1" applyAlignment="1">
      <alignment horizontal="right"/>
    </xf>
    <xf numFmtId="0" fontId="2" fillId="3" borderId="22" xfId="0" applyNumberFormat="1" applyFont="1" applyFill="1" applyBorder="1" applyAlignment="1">
      <alignment horizontal="center"/>
    </xf>
    <xf numFmtId="0" fontId="2" fillId="3" borderId="20" xfId="0" applyNumberFormat="1" applyFont="1" applyFill="1" applyBorder="1" applyAlignment="1">
      <alignment horizontal="center"/>
    </xf>
    <xf numFmtId="0" fontId="2" fillId="3" borderId="4" xfId="0" applyNumberFormat="1" applyFont="1" applyFill="1" applyBorder="1" applyAlignment="1">
      <alignment horizontal="center"/>
    </xf>
    <xf numFmtId="0" fontId="2" fillId="0" borderId="22" xfId="0" applyNumberFormat="1" applyFont="1" applyBorder="1" applyAlignment="1">
      <alignment horizontal="left"/>
    </xf>
    <xf numFmtId="0" fontId="2" fillId="0" borderId="20" xfId="0" applyNumberFormat="1" applyFont="1" applyBorder="1" applyAlignment="1">
      <alignment horizontal="left"/>
    </xf>
    <xf numFmtId="0" fontId="0" fillId="0" borderId="20" xfId="0" applyBorder="1" applyAlignment="1"/>
    <xf numFmtId="0" fontId="0" fillId="0" borderId="4" xfId="0" applyBorder="1" applyAlignment="1"/>
    <xf numFmtId="0" fontId="2" fillId="0" borderId="70" xfId="0" applyNumberFormat="1" applyFont="1" applyBorder="1" applyAlignment="1">
      <alignment horizontal="left"/>
    </xf>
    <xf numFmtId="0" fontId="2" fillId="0" borderId="71" xfId="0" applyNumberFormat="1" applyFont="1" applyBorder="1" applyAlignment="1">
      <alignment horizontal="left"/>
    </xf>
    <xf numFmtId="43" fontId="2" fillId="0" borderId="72" xfId="1" applyFont="1" applyBorder="1" applyAlignment="1"/>
    <xf numFmtId="165" fontId="2" fillId="0" borderId="71" xfId="0" applyNumberFormat="1" applyFont="1" applyBorder="1" applyAlignment="1">
      <alignment horizontal="right"/>
    </xf>
    <xf numFmtId="165" fontId="2" fillId="0" borderId="72" xfId="0" applyNumberFormat="1" applyFont="1" applyBorder="1" applyAlignment="1">
      <alignment horizontal="right"/>
    </xf>
    <xf numFmtId="0" fontId="2" fillId="0" borderId="71" xfId="0" applyNumberFormat="1" applyFont="1" applyBorder="1" applyAlignment="1">
      <alignment horizontal="center"/>
    </xf>
    <xf numFmtId="0" fontId="2" fillId="0" borderId="72" xfId="0" applyNumberFormat="1" applyFont="1" applyBorder="1" applyAlignment="1">
      <alignment horizontal="center"/>
    </xf>
    <xf numFmtId="43" fontId="0" fillId="0" borderId="72" xfId="1" applyFont="1" applyBorder="1" applyAlignment="1"/>
    <xf numFmtId="0" fontId="0" fillId="0" borderId="71" xfId="0" applyBorder="1" applyAlignment="1"/>
    <xf numFmtId="0" fontId="0" fillId="0" borderId="72" xfId="0" applyBorder="1" applyAlignment="1"/>
    <xf numFmtId="0" fontId="0" fillId="0" borderId="73" xfId="0" applyBorder="1"/>
    <xf numFmtId="0" fontId="2" fillId="3" borderId="74" xfId="0" applyNumberFormat="1" applyFont="1" applyFill="1" applyBorder="1" applyAlignment="1">
      <alignment horizontal="center"/>
    </xf>
    <xf numFmtId="0" fontId="0" fillId="0" borderId="20" xfId="0" applyBorder="1"/>
    <xf numFmtId="165" fontId="2" fillId="0" borderId="0" xfId="0" applyNumberFormat="1" applyFont="1" applyBorder="1" applyAlignment="1"/>
    <xf numFmtId="165" fontId="2" fillId="0" borderId="4" xfId="0" applyNumberFormat="1" applyFont="1" applyBorder="1" applyAlignment="1"/>
    <xf numFmtId="165" fontId="2" fillId="0" borderId="20" xfId="0" applyNumberFormat="1" applyFont="1" applyBorder="1" applyAlignment="1">
      <alignment horizontal="right"/>
    </xf>
    <xf numFmtId="165" fontId="2" fillId="0" borderId="4" xfId="0" applyNumberFormat="1" applyFont="1" applyBorder="1" applyAlignment="1">
      <alignment horizontal="right"/>
    </xf>
    <xf numFmtId="165" fontId="2" fillId="0" borderId="72" xfId="0" applyNumberFormat="1" applyFont="1" applyBorder="1" applyAlignment="1"/>
    <xf numFmtId="43" fontId="0" fillId="0" borderId="0" xfId="0" applyNumberFormat="1"/>
    <xf numFmtId="0" fontId="2" fillId="3" borderId="71" xfId="0" applyNumberFormat="1" applyFont="1" applyFill="1" applyBorder="1" applyAlignment="1">
      <alignment horizontal="center"/>
    </xf>
    <xf numFmtId="0" fontId="2" fillId="3" borderId="72" xfId="0" applyNumberFormat="1" applyFont="1" applyFill="1" applyBorder="1" applyAlignment="1">
      <alignment horizontal="center"/>
    </xf>
    <xf numFmtId="0" fontId="2" fillId="0" borderId="73" xfId="0" applyNumberFormat="1" applyFont="1" applyBorder="1" applyAlignment="1">
      <alignment horizontal="left"/>
    </xf>
    <xf numFmtId="0" fontId="59" fillId="0" borderId="70" xfId="0" applyNumberFormat="1" applyFont="1" applyBorder="1" applyAlignment="1">
      <alignment horizontal="left"/>
    </xf>
    <xf numFmtId="0" fontId="2" fillId="0" borderId="76" xfId="0" applyNumberFormat="1" applyFont="1" applyBorder="1" applyAlignment="1">
      <alignment horizontal="left"/>
    </xf>
    <xf numFmtId="0" fontId="2" fillId="0" borderId="74" xfId="0" applyNumberFormat="1" applyFont="1" applyBorder="1" applyAlignment="1">
      <alignment horizontal="left"/>
    </xf>
    <xf numFmtId="165" fontId="2" fillId="0" borderId="74" xfId="0" applyNumberFormat="1" applyFont="1" applyBorder="1" applyAlignment="1">
      <alignment horizontal="right"/>
    </xf>
    <xf numFmtId="165" fontId="2" fillId="0" borderId="77" xfId="0" applyNumberFormat="1" applyFont="1" applyBorder="1" applyAlignment="1">
      <alignment horizontal="right"/>
    </xf>
    <xf numFmtId="0" fontId="2" fillId="3" borderId="73" xfId="0" applyNumberFormat="1" applyFont="1" applyFill="1" applyBorder="1" applyAlignment="1">
      <alignment horizontal="center"/>
    </xf>
    <xf numFmtId="0" fontId="2" fillId="3" borderId="72" xfId="0" applyNumberFormat="1" applyFont="1" applyFill="1" applyBorder="1" applyAlignment="1"/>
    <xf numFmtId="0" fontId="2" fillId="3" borderId="0" xfId="0" applyNumberFormat="1" applyFont="1" applyFill="1" applyBorder="1" applyAlignment="1"/>
    <xf numFmtId="0" fontId="2" fillId="3" borderId="70" xfId="0" applyNumberFormat="1" applyFont="1" applyFill="1" applyBorder="1" applyAlignment="1"/>
    <xf numFmtId="0" fontId="2" fillId="3" borderId="5" xfId="0" applyNumberFormat="1" applyFont="1" applyFill="1" applyBorder="1" applyAlignment="1"/>
    <xf numFmtId="0" fontId="2" fillId="3" borderId="6" xfId="0" applyNumberFormat="1" applyFont="1" applyFill="1" applyBorder="1" applyAlignment="1"/>
    <xf numFmtId="0" fontId="2" fillId="3" borderId="7" xfId="0" applyNumberFormat="1" applyFont="1" applyFill="1" applyBorder="1" applyAlignment="1"/>
    <xf numFmtId="0" fontId="2" fillId="3" borderId="21" xfId="0" applyNumberFormat="1" applyFont="1" applyFill="1" applyBorder="1" applyAlignment="1">
      <alignment horizontal="center"/>
    </xf>
    <xf numFmtId="0" fontId="2" fillId="3" borderId="5" xfId="0" applyNumberFormat="1" applyFont="1" applyFill="1" applyBorder="1" applyAlignment="1">
      <alignment horizontal="center"/>
    </xf>
    <xf numFmtId="0" fontId="2" fillId="3" borderId="7" xfId="0" applyNumberFormat="1" applyFont="1" applyFill="1" applyBorder="1" applyAlignment="1">
      <alignment horizontal="center"/>
    </xf>
    <xf numFmtId="9" fontId="2" fillId="0" borderId="20" xfId="0" applyNumberFormat="1" applyFont="1" applyBorder="1" applyAlignment="1">
      <alignment horizontal="right"/>
    </xf>
    <xf numFmtId="9" fontId="2" fillId="0" borderId="71" xfId="0" applyNumberFormat="1" applyFont="1" applyBorder="1" applyAlignment="1">
      <alignment horizontal="right"/>
    </xf>
    <xf numFmtId="0" fontId="2" fillId="3" borderId="73" xfId="0" applyNumberFormat="1" applyFont="1" applyFill="1" applyBorder="1" applyAlignment="1">
      <alignment horizontal="center" vertical="center"/>
    </xf>
    <xf numFmtId="0" fontId="2" fillId="3" borderId="22" xfId="0" applyNumberFormat="1" applyFont="1" applyFill="1" applyBorder="1" applyAlignment="1">
      <alignment horizontal="center" vertical="center"/>
    </xf>
    <xf numFmtId="0" fontId="2" fillId="3" borderId="0" xfId="0" applyNumberFormat="1" applyFont="1" applyFill="1" applyBorder="1" applyAlignment="1">
      <alignment horizontal="center" vertical="center"/>
    </xf>
    <xf numFmtId="0" fontId="2" fillId="3" borderId="70" xfId="0" applyNumberFormat="1" applyFont="1" applyFill="1" applyBorder="1" applyAlignment="1">
      <alignment horizontal="center" vertical="center"/>
    </xf>
    <xf numFmtId="0" fontId="2" fillId="3" borderId="6" xfId="0" applyNumberFormat="1" applyFont="1" applyFill="1" applyBorder="1" applyAlignment="1">
      <alignment horizontal="center" vertical="center"/>
    </xf>
    <xf numFmtId="173" fontId="2" fillId="0" borderId="4" xfId="0" applyNumberFormat="1" applyFont="1" applyBorder="1" applyAlignment="1">
      <alignment horizontal="right"/>
    </xf>
    <xf numFmtId="0" fontId="0" fillId="0" borderId="73" xfId="0" applyBorder="1" applyAlignment="1">
      <alignment horizontal="right"/>
    </xf>
    <xf numFmtId="0" fontId="44" fillId="0" borderId="0" xfId="0" applyFont="1"/>
    <xf numFmtId="0" fontId="10" fillId="0" borderId="0" xfId="0" applyFont="1" applyAlignment="1">
      <alignment horizontal="left"/>
    </xf>
    <xf numFmtId="0" fontId="2" fillId="3" borderId="75" xfId="0" applyNumberFormat="1" applyFont="1" applyFill="1" applyBorder="1" applyAlignment="1">
      <alignment horizontal="center"/>
    </xf>
    <xf numFmtId="0" fontId="2" fillId="3" borderId="76" xfId="0" applyNumberFormat="1" applyFont="1" applyFill="1" applyBorder="1" applyAlignment="1">
      <alignment horizontal="center"/>
    </xf>
    <xf numFmtId="0" fontId="2" fillId="3" borderId="73" xfId="0" applyNumberFormat="1" applyFont="1" applyFill="1" applyBorder="1" applyAlignment="1">
      <alignment horizontal="center" vertical="center"/>
    </xf>
    <xf numFmtId="0" fontId="2" fillId="3" borderId="22" xfId="0" applyNumberFormat="1" applyFont="1" applyFill="1" applyBorder="1" applyAlignment="1">
      <alignment horizontal="center" vertical="center"/>
    </xf>
    <xf numFmtId="0" fontId="2" fillId="3" borderId="0" xfId="0" applyNumberFormat="1" applyFont="1" applyFill="1" applyBorder="1" applyAlignment="1">
      <alignment horizontal="center" vertical="center"/>
    </xf>
    <xf numFmtId="0" fontId="2" fillId="3" borderId="70" xfId="0" applyNumberFormat="1" applyFont="1" applyFill="1" applyBorder="1" applyAlignment="1">
      <alignment horizontal="center" vertical="center"/>
    </xf>
    <xf numFmtId="0" fontId="2" fillId="3" borderId="6" xfId="0" applyNumberFormat="1" applyFont="1" applyFill="1" applyBorder="1" applyAlignment="1">
      <alignment horizontal="center" vertical="center"/>
    </xf>
    <xf numFmtId="0" fontId="2" fillId="3" borderId="7" xfId="0" applyNumberFormat="1" applyFont="1" applyFill="1" applyBorder="1" applyAlignment="1">
      <alignment horizontal="center" vertical="center"/>
    </xf>
    <xf numFmtId="0" fontId="2" fillId="3" borderId="77" xfId="0" applyNumberFormat="1" applyFont="1" applyFill="1" applyBorder="1" applyAlignment="1">
      <alignment horizontal="center"/>
    </xf>
    <xf numFmtId="0" fontId="52" fillId="4" borderId="31" xfId="0" applyFont="1" applyFill="1" applyBorder="1" applyAlignment="1">
      <alignment horizontal="center" vertical="center"/>
    </xf>
    <xf numFmtId="0" fontId="53" fillId="4" borderId="32" xfId="0" applyFont="1" applyFill="1" applyBorder="1" applyAlignment="1">
      <alignment horizontal="center" vertical="center" wrapText="1"/>
    </xf>
    <xf numFmtId="0" fontId="53" fillId="4" borderId="31" xfId="0" applyFont="1" applyFill="1" applyBorder="1" applyAlignment="1">
      <alignment horizontal="center" vertical="center" wrapText="1"/>
    </xf>
    <xf numFmtId="0" fontId="53" fillId="4" borderId="28" xfId="0" applyFont="1" applyFill="1" applyBorder="1" applyAlignment="1">
      <alignment horizontal="center" vertical="center"/>
    </xf>
    <xf numFmtId="0" fontId="53" fillId="4" borderId="29" xfId="0" applyFont="1" applyFill="1" applyBorder="1" applyAlignment="1">
      <alignment horizontal="center" vertical="center"/>
    </xf>
    <xf numFmtId="0" fontId="54" fillId="0" borderId="0" xfId="0" applyFont="1" applyFill="1"/>
    <xf numFmtId="0" fontId="0" fillId="0" borderId="0" xfId="0" applyAlignment="1">
      <alignment horizontal="center"/>
    </xf>
    <xf numFmtId="0" fontId="47" fillId="0" borderId="0" xfId="0" applyFont="1" applyAlignment="1">
      <alignment horizontal="center"/>
    </xf>
    <xf numFmtId="0" fontId="48" fillId="6" borderId="63" xfId="0" applyFont="1" applyFill="1" applyBorder="1" applyAlignment="1">
      <alignment horizontal="center" vertical="center"/>
    </xf>
    <xf numFmtId="0" fontId="48" fillId="6" borderId="56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5" fillId="0" borderId="2" xfId="3" applyFont="1" applyFill="1" applyBorder="1" applyAlignment="1">
      <alignment horizontal="center"/>
    </xf>
    <xf numFmtId="0" fontId="5" fillId="0" borderId="19" xfId="3" applyFont="1" applyFill="1" applyBorder="1" applyAlignment="1">
      <alignment horizontal="center"/>
    </xf>
    <xf numFmtId="0" fontId="5" fillId="0" borderId="2" xfId="0" quotePrefix="1" applyFont="1" applyBorder="1" applyAlignment="1">
      <alignment horizontal="center"/>
    </xf>
    <xf numFmtId="0" fontId="5" fillId="0" borderId="3" xfId="0" quotePrefix="1" applyFont="1" applyBorder="1" applyAlignment="1">
      <alignment horizontal="center"/>
    </xf>
    <xf numFmtId="0" fontId="16" fillId="0" borderId="1" xfId="3" applyFont="1" applyBorder="1" applyAlignment="1">
      <alignment horizontal="center"/>
    </xf>
    <xf numFmtId="0" fontId="16" fillId="0" borderId="2" xfId="3" applyFont="1" applyBorder="1" applyAlignment="1">
      <alignment horizontal="center"/>
    </xf>
    <xf numFmtId="0" fontId="16" fillId="0" borderId="3" xfId="3" applyFont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12" fillId="0" borderId="11" xfId="0" applyFont="1" applyBorder="1" applyAlignment="1">
      <alignment horizontal="center"/>
    </xf>
    <xf numFmtId="0" fontId="12" fillId="0" borderId="17" xfId="0" applyFont="1" applyBorder="1" applyAlignment="1">
      <alignment horizontal="center"/>
    </xf>
    <xf numFmtId="0" fontId="12" fillId="0" borderId="15" xfId="0" applyFont="1" applyBorder="1" applyAlignment="1">
      <alignment horizontal="left"/>
    </xf>
    <xf numFmtId="0" fontId="12" fillId="0" borderId="18" xfId="0" applyFont="1" applyBorder="1" applyAlignment="1">
      <alignment horizontal="left"/>
    </xf>
    <xf numFmtId="0" fontId="12" fillId="0" borderId="2" xfId="0" applyFont="1" applyFill="1" applyBorder="1" applyAlignment="1">
      <alignment horizontal="center"/>
    </xf>
    <xf numFmtId="0" fontId="12" fillId="0" borderId="19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23" fillId="0" borderId="2" xfId="0" applyFont="1" applyBorder="1" applyAlignment="1">
      <alignment horizontal="center"/>
    </xf>
    <xf numFmtId="0" fontId="23" fillId="0" borderId="3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53" fillId="4" borderId="48" xfId="0" applyFont="1" applyFill="1" applyBorder="1" applyAlignment="1">
      <alignment horizontal="center" vertical="center" wrapText="1"/>
    </xf>
    <xf numFmtId="0" fontId="53" fillId="4" borderId="34" xfId="0" applyFont="1" applyFill="1" applyBorder="1" applyAlignment="1">
      <alignment horizontal="center" vertical="center" wrapText="1"/>
    </xf>
    <xf numFmtId="0" fontId="52" fillId="4" borderId="34" xfId="0" applyFont="1" applyFill="1" applyBorder="1" applyAlignment="1">
      <alignment horizontal="center" vertical="center"/>
    </xf>
    <xf numFmtId="0" fontId="53" fillId="4" borderId="78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NumberFormat="1" applyAlignment="1">
      <alignment horizontal="left"/>
    </xf>
    <xf numFmtId="0" fontId="4" fillId="0" borderId="67" xfId="0" applyFont="1" applyBorder="1"/>
    <xf numFmtId="0" fontId="4" fillId="0" borderId="69" xfId="0" applyFont="1" applyBorder="1" applyAlignment="1">
      <alignment horizontal="right"/>
    </xf>
  </cellXfs>
  <cellStyles count="6">
    <cellStyle name="Normal" xfId="0" builtinId="0"/>
    <cellStyle name="Normal 6" xfId="3"/>
    <cellStyle name="Porcentagem" xfId="2" builtinId="5"/>
    <cellStyle name="Porcentagem 3" xfId="4"/>
    <cellStyle name="Separador de milhares" xfId="1" builtinId="3"/>
    <cellStyle name="Vírgula 3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2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sz="19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t-BR"/>
              <a:t> Novembro de 2021 a </a:t>
            </a:r>
            <a:r>
              <a:rPr lang="pt-BR" sz="1950" b="1" i="0" u="none" strike="noStrike" baseline="0"/>
              <a:t>Outubro</a:t>
            </a:r>
            <a:r>
              <a:rPr lang="pt-BR"/>
              <a:t> de 2022</a:t>
            </a:r>
          </a:p>
        </c:rich>
      </c:tx>
      <c:layout>
        <c:manualLayout>
          <c:xMode val="edge"/>
          <c:yMode val="edge"/>
          <c:x val="0.29021563793888216"/>
          <c:y val="4.9501196456403433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4478047796284399"/>
          <c:y val="0.17138589988039801"/>
          <c:w val="0.85117366903648162"/>
          <c:h val="0.57263216759063251"/>
        </c:manualLayout>
      </c:layout>
      <c:lineChart>
        <c:grouping val="standard"/>
        <c:ser>
          <c:idx val="0"/>
          <c:order val="0"/>
          <c:tx>
            <c:v>Realizado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DCLP_RCL!$D$8:$O$8</c:f>
              <c:numCache>
                <c:formatCode>0.00%</c:formatCode>
                <c:ptCount val="12"/>
                <c:pt idx="0">
                  <c:v>0.76912810736657744</c:v>
                </c:pt>
                <c:pt idx="1">
                  <c:v>0.79779717124712946</c:v>
                </c:pt>
                <c:pt idx="2">
                  <c:v>0.80362944292683192</c:v>
                </c:pt>
                <c:pt idx="3">
                  <c:v>0.68958436912708332</c:v>
                </c:pt>
                <c:pt idx="4">
                  <c:v>0.94820285015835193</c:v>
                </c:pt>
                <c:pt idx="5">
                  <c:v>0.61134183890988048</c:v>
                </c:pt>
                <c:pt idx="6">
                  <c:v>0.74466478634590916</c:v>
                </c:pt>
                <c:pt idx="7">
                  <c:v>0.70550585504332408</c:v>
                </c:pt>
                <c:pt idx="8">
                  <c:v>0.76196719716094741</c:v>
                </c:pt>
                <c:pt idx="9">
                  <c:v>0.55406177276266122</c:v>
                </c:pt>
                <c:pt idx="10">
                  <c:v>0.77715586617295884</c:v>
                </c:pt>
                <c:pt idx="11">
                  <c:v>0.53677327816029818</c:v>
                </c:pt>
              </c:numCache>
            </c:numRef>
          </c:val>
        </c:ser>
        <c:ser>
          <c:idx val="1"/>
          <c:order val="1"/>
          <c:tx>
            <c:v>Limite: 54,00%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[1]Plan1!$D$9:$O$9</c:f>
              <c:numCache>
                <c:formatCode>General</c:formatCode>
                <c:ptCount val="12"/>
                <c:pt idx="0">
                  <c:v>0.54</c:v>
                </c:pt>
                <c:pt idx="1">
                  <c:v>0.54</c:v>
                </c:pt>
                <c:pt idx="2">
                  <c:v>0.54</c:v>
                </c:pt>
                <c:pt idx="3">
                  <c:v>0.54</c:v>
                </c:pt>
                <c:pt idx="4">
                  <c:v>0.54</c:v>
                </c:pt>
                <c:pt idx="5">
                  <c:v>0.54</c:v>
                </c:pt>
                <c:pt idx="6">
                  <c:v>0.54</c:v>
                </c:pt>
                <c:pt idx="7">
                  <c:v>0.54</c:v>
                </c:pt>
                <c:pt idx="8">
                  <c:v>0.54</c:v>
                </c:pt>
                <c:pt idx="9">
                  <c:v>0.54</c:v>
                </c:pt>
                <c:pt idx="10">
                  <c:v>0.54</c:v>
                </c:pt>
                <c:pt idx="11">
                  <c:v>0.54</c:v>
                </c:pt>
              </c:numCache>
            </c:numRef>
          </c:val>
        </c:ser>
        <c:marker val="1"/>
        <c:axId val="110385792"/>
        <c:axId val="110404736"/>
      </c:lineChart>
      <c:catAx>
        <c:axId val="1103857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6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pt-BR"/>
                  <a:t>Meses</a:t>
                </a:r>
              </a:p>
            </c:rich>
          </c:tx>
          <c:layout>
            <c:manualLayout>
              <c:xMode val="edge"/>
              <c:yMode val="edge"/>
              <c:x val="0.51061638571770729"/>
              <c:y val="0.88842189428310092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110404736"/>
        <c:crosses val="autoZero"/>
        <c:auto val="1"/>
        <c:lblAlgn val="ctr"/>
        <c:lblOffset val="100"/>
        <c:tickLblSkip val="1"/>
        <c:tickMarkSkip val="1"/>
      </c:catAx>
      <c:valAx>
        <c:axId val="110404736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pt-BR"/>
                  <a:t>Despesa Líquida com Pessoal</a:t>
                </a:r>
              </a:p>
            </c:rich>
          </c:tx>
          <c:layout>
            <c:manualLayout>
              <c:xMode val="edge"/>
              <c:yMode val="edge"/>
              <c:x val="1.6985323643056039E-2"/>
              <c:y val="0.24631613101343214"/>
            </c:manualLayout>
          </c:layout>
          <c:spPr>
            <a:noFill/>
            <a:ln w="25400">
              <a:noFill/>
            </a:ln>
          </c:spPr>
        </c:title>
        <c:numFmt formatCode="0.00%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11038579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82683005049902536"/>
          <c:y val="2.9473501242808224E-2"/>
          <c:w val="0.13375806747560814"/>
          <c:h val="9.052649875719769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6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t-BR"/>
    </a:p>
  </c:txPr>
  <c:printSettings>
    <c:headerFooter alignWithMargins="0"/>
    <c:pageMargins b="0.98425196899999956" l="0.78740157499999996" r="0.78740157499999996" t="0.98425196899999956" header="0.49212598500001242" footer="0.49212598500001242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sz="3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t-BR"/>
              <a:t>Termômetro de Cruz</a:t>
            </a:r>
          </a:p>
        </c:rich>
      </c:tx>
      <c:spPr>
        <a:noFill/>
        <a:ln w="25400">
          <a:noFill/>
        </a:ln>
      </c:spPr>
    </c:title>
    <c:plotArea>
      <c:layout/>
      <c:barChart>
        <c:barDir val="col"/>
        <c:grouping val="clustered"/>
        <c:ser>
          <c:idx val="0"/>
          <c:order val="0"/>
          <c:tx>
            <c:v>RESULTADO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val>
            <c:numRef>
              <c:f>[2]CRUZ!$J$102:$J$117</c:f>
              <c:numCache>
                <c:formatCode>General</c:formatCode>
                <c:ptCount val="16"/>
                <c:pt idx="0">
                  <c:v>59301.533333333209</c:v>
                </c:pt>
                <c:pt idx="1">
                  <c:v>-28113.66333333333</c:v>
                </c:pt>
                <c:pt idx="2">
                  <c:v>-8269.1199999999953</c:v>
                </c:pt>
                <c:pt idx="3">
                  <c:v>5654.826666666675</c:v>
                </c:pt>
                <c:pt idx="4">
                  <c:v>-70756.576666666893</c:v>
                </c:pt>
                <c:pt idx="5">
                  <c:v>13654.580000000016</c:v>
                </c:pt>
                <c:pt idx="6">
                  <c:v>78357.869999999966</c:v>
                </c:pt>
                <c:pt idx="7">
                  <c:v>-182954.47666666657</c:v>
                </c:pt>
                <c:pt idx="8">
                  <c:v>-129513.63666666579</c:v>
                </c:pt>
                <c:pt idx="9">
                  <c:v>88479.670000000391</c:v>
                </c:pt>
                <c:pt idx="10">
                  <c:v>80146.053333333286</c:v>
                </c:pt>
                <c:pt idx="11">
                  <c:v>104245.48333333328</c:v>
                </c:pt>
                <c:pt idx="12">
                  <c:v>7241.7066666666651</c:v>
                </c:pt>
                <c:pt idx="13">
                  <c:v>35295.373333333329</c:v>
                </c:pt>
                <c:pt idx="14">
                  <c:v>217853.67333333334</c:v>
                </c:pt>
                <c:pt idx="15">
                  <c:v>-176204.25333333411</c:v>
                </c:pt>
              </c:numCache>
            </c:numRef>
          </c:val>
        </c:ser>
        <c:axId val="111019520"/>
        <c:axId val="111021056"/>
      </c:barChart>
      <c:catAx>
        <c:axId val="111019520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111021056"/>
        <c:crosses val="autoZero"/>
        <c:auto val="1"/>
        <c:lblAlgn val="ctr"/>
        <c:lblOffset val="100"/>
        <c:tickLblSkip val="1"/>
        <c:tickMarkSkip val="1"/>
      </c:catAx>
      <c:valAx>
        <c:axId val="111021056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111019520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t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t-BR"/>
    </a:p>
  </c:txPr>
  <c:printSettings>
    <c:headerFooter alignWithMargins="0"/>
    <c:pageMargins b="0.98425196899999956" l="0.78740157499999996" r="0.78740157499999996" t="0.98425196899999956" header="0.49212598500001248" footer="0.49212598500001248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sz="3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t-BR"/>
              <a:t>Termômetro de Cruz</a:t>
            </a:r>
          </a:p>
        </c:rich>
      </c:tx>
      <c:spPr>
        <a:noFill/>
        <a:ln w="25400">
          <a:noFill/>
        </a:ln>
      </c:spPr>
    </c:title>
    <c:plotArea>
      <c:layout/>
      <c:barChart>
        <c:barDir val="col"/>
        <c:grouping val="clustered"/>
        <c:ser>
          <c:idx val="0"/>
          <c:order val="0"/>
          <c:tx>
            <c:v>RESULTADO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val>
            <c:numRef>
              <c:f>[2]CRUZ!$J$192:$J$207</c:f>
              <c:numCache>
                <c:formatCode>General</c:formatCode>
                <c:ptCount val="16"/>
                <c:pt idx="0">
                  <c:v>67808.04999999993</c:v>
                </c:pt>
                <c:pt idx="1">
                  <c:v>18918.219999999972</c:v>
                </c:pt>
                <c:pt idx="2">
                  <c:v>9857.5100000000093</c:v>
                </c:pt>
                <c:pt idx="3">
                  <c:v>1006.5599999999977</c:v>
                </c:pt>
                <c:pt idx="4">
                  <c:v>249769.87999999989</c:v>
                </c:pt>
                <c:pt idx="5">
                  <c:v>29268.719999999972</c:v>
                </c:pt>
                <c:pt idx="6">
                  <c:v>13008.560000000056</c:v>
                </c:pt>
                <c:pt idx="7">
                  <c:v>101946.72999999998</c:v>
                </c:pt>
                <c:pt idx="8">
                  <c:v>533680.19999999925</c:v>
                </c:pt>
                <c:pt idx="9">
                  <c:v>378077.09999999963</c:v>
                </c:pt>
                <c:pt idx="10">
                  <c:v>35528.70000000007</c:v>
                </c:pt>
                <c:pt idx="11">
                  <c:v>60700.789999999804</c:v>
                </c:pt>
                <c:pt idx="12">
                  <c:v>23912.360000000102</c:v>
                </c:pt>
                <c:pt idx="13">
                  <c:v>7234.86</c:v>
                </c:pt>
                <c:pt idx="14">
                  <c:v>222838.98999999976</c:v>
                </c:pt>
                <c:pt idx="15">
                  <c:v>-676947.98000000138</c:v>
                </c:pt>
              </c:numCache>
            </c:numRef>
          </c:val>
        </c:ser>
        <c:axId val="111041152"/>
        <c:axId val="111051136"/>
      </c:barChart>
      <c:catAx>
        <c:axId val="111041152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111051136"/>
        <c:crosses val="autoZero"/>
        <c:auto val="1"/>
        <c:lblAlgn val="ctr"/>
        <c:lblOffset val="100"/>
        <c:tickLblSkip val="1"/>
        <c:tickMarkSkip val="1"/>
      </c:catAx>
      <c:valAx>
        <c:axId val="111051136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111041152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t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t-BR"/>
    </a:p>
  </c:txPr>
  <c:printSettings>
    <c:headerFooter alignWithMargins="0"/>
    <c:pageMargins b="0.98425196899999956" l="0.78740157499999996" r="0.78740157499999996" t="0.98425196899999956" header="0.49212598500001248" footer="0.49212598500001248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sz="1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t-BR"/>
              <a:t>Termometro de Cruz</a:t>
            </a:r>
          </a:p>
        </c:rich>
      </c:tx>
      <c:layout>
        <c:manualLayout>
          <c:xMode val="edge"/>
          <c:yMode val="edge"/>
          <c:x val="0.38213951629748732"/>
          <c:y val="2.8571514767550609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2980283152707991"/>
          <c:y val="0.22285755739873017"/>
          <c:w val="0.82866127646891208"/>
          <c:h val="0.72952516652746768"/>
        </c:manualLayout>
      </c:layout>
      <c:barChart>
        <c:barDir val="col"/>
        <c:grouping val="clustered"/>
        <c:ser>
          <c:idx val="0"/>
          <c:order val="0"/>
          <c:tx>
            <c:v>Resultado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val>
            <c:numRef>
              <c:f>Cruz!$K$11:$K$26</c:f>
              <c:numCache>
                <c:formatCode>_ * #,##0.00_ ;_ * \-#,##0.00_ ;_ * "-"??_ ;_ @_ </c:formatCode>
                <c:ptCount val="16"/>
                <c:pt idx="0">
                  <c:v>17.261358234420761</c:v>
                </c:pt>
                <c:pt idx="1">
                  <c:v>-11.456102033837686</c:v>
                </c:pt>
                <c:pt idx="2">
                  <c:v>-37.696779059939956</c:v>
                </c:pt>
                <c:pt idx="3">
                  <c:v>-3.2781396924971999</c:v>
                </c:pt>
                <c:pt idx="4">
                  <c:v>-13.997822853152611</c:v>
                </c:pt>
                <c:pt idx="5">
                  <c:v>-8.6847588145299159</c:v>
                </c:pt>
                <c:pt idx="6">
                  <c:v>24.774672736444451</c:v>
                </c:pt>
                <c:pt idx="7">
                  <c:v>32.043775730133994</c:v>
                </c:pt>
                <c:pt idx="8">
                  <c:v>-14.388229243045862</c:v>
                </c:pt>
                <c:pt idx="9">
                  <c:v>-15.519376167690268</c:v>
                </c:pt>
                <c:pt idx="10">
                  <c:v>6.3078960570334477</c:v>
                </c:pt>
                <c:pt idx="11">
                  <c:v>-0.55159854486582838</c:v>
                </c:pt>
                <c:pt idx="12">
                  <c:v>-7.0734458668979521</c:v>
                </c:pt>
                <c:pt idx="13">
                  <c:v>100</c:v>
                </c:pt>
                <c:pt idx="14">
                  <c:v>25.318316630275113</c:v>
                </c:pt>
                <c:pt idx="15">
                  <c:v>19.704303406598697</c:v>
                </c:pt>
              </c:numCache>
            </c:numRef>
          </c:val>
        </c:ser>
        <c:axId val="112009216"/>
        <c:axId val="112010752"/>
      </c:barChart>
      <c:catAx>
        <c:axId val="112009216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112010752"/>
        <c:crosses val="autoZero"/>
        <c:auto val="1"/>
        <c:lblAlgn val="ctr"/>
        <c:lblOffset val="100"/>
        <c:tickLblSkip val="1"/>
        <c:tickMarkSkip val="1"/>
      </c:catAx>
      <c:valAx>
        <c:axId val="112010752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_ * #,##0.00_ ;_ * \-#,##0.00_ ;_ * &quot;-&quot;??_ ;_ @_ 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11200921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73208802186923849"/>
          <c:y val="3.0476161744149802E-2"/>
          <c:w val="0.15057116130379897"/>
          <c:h val="6.8571715891835361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t-BR"/>
    </a:p>
  </c:txPr>
  <c:printSettings>
    <c:headerFooter alignWithMargins="0"/>
    <c:pageMargins b="0.98425196899999956" l="0.78740157499999996" r="0.78740157499999996" t="0.98425196899999956" header="0.49212598500001248" footer="0.49212598500001248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28575</xdr:rowOff>
    </xdr:from>
    <xdr:to>
      <xdr:col>14</xdr:col>
      <xdr:colOff>552450</xdr:colOff>
      <xdr:row>51</xdr:row>
      <xdr:rowOff>58737</xdr:rowOff>
    </xdr:to>
    <xdr:graphicFrame macro="">
      <xdr:nvGraphicFramePr>
        <xdr:cNvPr id="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0.29826</cdr:x>
      <cdr:y>0.22541</cdr:y>
    </cdr:from>
    <cdr:to>
      <cdr:x>0.35614</cdr:x>
      <cdr:y>0.28586</cdr:y>
    </cdr:to>
    <cdr:sp macro="" textlink="">
      <cdr:nvSpPr>
        <cdr:cNvPr id="204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684638" y="927875"/>
          <a:ext cx="520986" cy="24883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pt-BR" sz="1075" b="0" i="0" strike="noStrike">
              <a:solidFill>
                <a:srgbClr val="000000"/>
              </a:solidFill>
              <a:latin typeface="Arial"/>
              <a:cs typeface="Arial"/>
            </a:rPr>
            <a:t>Ago/22</a:t>
          </a:r>
        </a:p>
      </cdr:txBody>
    </cdr:sp>
  </cdr:relSizeAnchor>
  <cdr:relSizeAnchor xmlns:cdr="http://schemas.openxmlformats.org/drawingml/2006/chartDrawing">
    <cdr:from>
      <cdr:x>0.15137</cdr:x>
      <cdr:y>0.29458</cdr:y>
    </cdr:from>
    <cdr:to>
      <cdr:x>0.20999</cdr:x>
      <cdr:y>0.35576</cdr:y>
    </cdr:to>
    <cdr:sp macro="" textlink="">
      <cdr:nvSpPr>
        <cdr:cNvPr id="2050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362536" y="1212617"/>
          <a:ext cx="527646" cy="25184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pt-BR" sz="1075" b="0" i="0" strike="noStrike">
              <a:solidFill>
                <a:srgbClr val="000000"/>
              </a:solidFill>
              <a:latin typeface="Arial"/>
              <a:cs typeface="Arial"/>
            </a:rPr>
            <a:t>Out/22</a:t>
          </a:r>
        </a:p>
      </cdr:txBody>
    </cdr:sp>
  </cdr:relSizeAnchor>
  <cdr:relSizeAnchor xmlns:cdr="http://schemas.openxmlformats.org/drawingml/2006/chartDrawing">
    <cdr:from>
      <cdr:x>0.92931</cdr:x>
      <cdr:y>0.44031</cdr:y>
    </cdr:from>
    <cdr:to>
      <cdr:x>0.98719</cdr:x>
      <cdr:y>0.5025</cdr:y>
    </cdr:to>
    <cdr:sp macro="" textlink="">
      <cdr:nvSpPr>
        <cdr:cNvPr id="2051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364829" y="1812499"/>
          <a:ext cx="520985" cy="25599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pt-BR" sz="1075" b="0" i="0" strike="noStrike">
              <a:solidFill>
                <a:srgbClr val="000000"/>
              </a:solidFill>
              <a:latin typeface="Arial"/>
              <a:cs typeface="Arial"/>
            </a:rPr>
            <a:t>Nov/21</a:t>
          </a:r>
        </a:p>
      </cdr:txBody>
    </cdr:sp>
  </cdr:relSizeAnchor>
  <cdr:relSizeAnchor xmlns:cdr="http://schemas.openxmlformats.org/drawingml/2006/chartDrawing">
    <cdr:from>
      <cdr:x>0.50537</cdr:x>
      <cdr:y>0.3809</cdr:y>
    </cdr:from>
    <cdr:to>
      <cdr:x>0.56301</cdr:x>
      <cdr:y>0.44209</cdr:y>
    </cdr:to>
    <cdr:sp macro="" textlink="">
      <cdr:nvSpPr>
        <cdr:cNvPr id="2052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548878" y="1567941"/>
          <a:ext cx="518824" cy="25188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pt-BR" sz="1075" b="0" i="0" strike="noStrike">
              <a:solidFill>
                <a:srgbClr val="000000"/>
              </a:solidFill>
              <a:latin typeface="Arial"/>
              <a:cs typeface="Arial"/>
            </a:rPr>
            <a:t>Mai/22</a:t>
          </a:r>
        </a:p>
      </cdr:txBody>
    </cdr:sp>
  </cdr:relSizeAnchor>
  <cdr:relSizeAnchor xmlns:cdr="http://schemas.openxmlformats.org/drawingml/2006/chartDrawing">
    <cdr:from>
      <cdr:x>0.43825</cdr:x>
      <cdr:y>0.154</cdr:y>
    </cdr:from>
    <cdr:to>
      <cdr:x>0.49538</cdr:x>
      <cdr:y>0.21494</cdr:y>
    </cdr:to>
    <cdr:sp macro="" textlink="">
      <cdr:nvSpPr>
        <cdr:cNvPr id="2053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944711" y="633941"/>
          <a:ext cx="514234" cy="25085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pt-BR" sz="1075" b="0" i="0" strike="noStrike">
              <a:solidFill>
                <a:srgbClr val="000000"/>
              </a:solidFill>
              <a:latin typeface="Arial"/>
              <a:cs typeface="Arial"/>
            </a:rPr>
            <a:t>Jun/22</a:t>
          </a:r>
        </a:p>
      </cdr:txBody>
    </cdr:sp>
  </cdr:relSizeAnchor>
  <cdr:relSizeAnchor xmlns:cdr="http://schemas.openxmlformats.org/drawingml/2006/chartDrawing">
    <cdr:from>
      <cdr:x>0.58356</cdr:x>
      <cdr:y>0.23926</cdr:y>
    </cdr:from>
    <cdr:to>
      <cdr:x>0.64218</cdr:x>
      <cdr:y>0.30044</cdr:y>
    </cdr:to>
    <cdr:sp macro="" textlink="">
      <cdr:nvSpPr>
        <cdr:cNvPr id="2054" name="Text Box 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252717" y="984871"/>
          <a:ext cx="527646" cy="25184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pt-BR" sz="1075" b="0" i="0" strike="noStrike">
              <a:solidFill>
                <a:srgbClr val="000000"/>
              </a:solidFill>
              <a:latin typeface="Arial"/>
              <a:cs typeface="Arial"/>
            </a:rPr>
            <a:t>Abr/22</a:t>
          </a:r>
        </a:p>
      </cdr:txBody>
    </cdr:sp>
  </cdr:relSizeAnchor>
  <cdr:relSizeAnchor xmlns:cdr="http://schemas.openxmlformats.org/drawingml/2006/chartDrawing">
    <cdr:from>
      <cdr:x>0.6481</cdr:x>
      <cdr:y>0.33809</cdr:y>
    </cdr:from>
    <cdr:to>
      <cdr:x>0.70672</cdr:x>
      <cdr:y>0.39927</cdr:y>
    </cdr:to>
    <cdr:sp macro="" textlink="">
      <cdr:nvSpPr>
        <cdr:cNvPr id="2055" name="Text Box 7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3608" y="1391694"/>
          <a:ext cx="527646" cy="25184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pt-BR" sz="1075" b="0" i="0" strike="noStrike">
              <a:solidFill>
                <a:srgbClr val="000000"/>
              </a:solidFill>
              <a:latin typeface="Arial"/>
              <a:cs typeface="Arial"/>
            </a:rPr>
            <a:t>Mar/22</a:t>
          </a:r>
        </a:p>
      </cdr:txBody>
    </cdr:sp>
  </cdr:relSizeAnchor>
  <cdr:relSizeAnchor xmlns:cdr="http://schemas.openxmlformats.org/drawingml/2006/chartDrawing">
    <cdr:from>
      <cdr:x>0.86949</cdr:x>
      <cdr:y>0.23515</cdr:y>
    </cdr:from>
    <cdr:to>
      <cdr:x>0.92662</cdr:x>
      <cdr:y>0.29634</cdr:y>
    </cdr:to>
    <cdr:sp macro="" textlink="">
      <cdr:nvSpPr>
        <cdr:cNvPr id="2056" name="Text Box 8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826409" y="967952"/>
          <a:ext cx="514234" cy="25188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pt-BR" sz="1075" b="0" i="0" strike="noStrike">
              <a:solidFill>
                <a:srgbClr val="000000"/>
              </a:solidFill>
              <a:latin typeface="Arial"/>
              <a:cs typeface="Arial"/>
            </a:rPr>
            <a:t>Dez/21</a:t>
          </a:r>
        </a:p>
      </cdr:txBody>
    </cdr:sp>
  </cdr:relSizeAnchor>
  <cdr:relSizeAnchor xmlns:cdr="http://schemas.openxmlformats.org/drawingml/2006/chartDrawing">
    <cdr:from>
      <cdr:x>0.79111</cdr:x>
      <cdr:y>0.44344</cdr:y>
    </cdr:from>
    <cdr:to>
      <cdr:x>0.84899</cdr:x>
      <cdr:y>0.50463</cdr:y>
    </cdr:to>
    <cdr:sp macro="" textlink="">
      <cdr:nvSpPr>
        <cdr:cNvPr id="2057" name="Text Box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120866" y="1825387"/>
          <a:ext cx="520985" cy="25188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pt-BR" sz="1075" b="0" i="0" strike="noStrike">
              <a:solidFill>
                <a:srgbClr val="000000"/>
              </a:solidFill>
              <a:latin typeface="Arial"/>
              <a:cs typeface="Arial"/>
            </a:rPr>
            <a:t>Jan/22</a:t>
          </a:r>
        </a:p>
      </cdr:txBody>
    </cdr:sp>
  </cdr:relSizeAnchor>
  <cdr:relSizeAnchor xmlns:cdr="http://schemas.openxmlformats.org/drawingml/2006/chartDrawing">
    <cdr:from>
      <cdr:x>0.72421</cdr:x>
      <cdr:y>0.23822</cdr:y>
    </cdr:from>
    <cdr:to>
      <cdr:x>0.78209</cdr:x>
      <cdr:y>0.29819</cdr:y>
    </cdr:to>
    <cdr:sp macro="" textlink="">
      <cdr:nvSpPr>
        <cdr:cNvPr id="2058" name="Text Box 10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518700" y="980606"/>
          <a:ext cx="520985" cy="24685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pt-BR" sz="1075" b="0" i="0" strike="noStrike">
              <a:solidFill>
                <a:srgbClr val="000000"/>
              </a:solidFill>
              <a:latin typeface="Arial"/>
              <a:cs typeface="Arial"/>
            </a:rPr>
            <a:t>Fev/22</a:t>
          </a:r>
        </a:p>
      </cdr:txBody>
    </cdr:sp>
  </cdr:relSizeAnchor>
  <cdr:relSizeAnchor xmlns:cdr="http://schemas.openxmlformats.org/drawingml/2006/chartDrawing">
    <cdr:from>
      <cdr:x>0.36275</cdr:x>
      <cdr:y>0.34597</cdr:y>
    </cdr:from>
    <cdr:to>
      <cdr:x>0.42162</cdr:x>
      <cdr:y>0.4079</cdr:y>
    </cdr:to>
    <cdr:sp macro="" textlink="">
      <cdr:nvSpPr>
        <cdr:cNvPr id="2059" name="Text Box 1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265121" y="1424129"/>
          <a:ext cx="529896" cy="25492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pt-BR" sz="1075" b="0" i="0" strike="noStrike">
              <a:solidFill>
                <a:srgbClr val="000000"/>
              </a:solidFill>
              <a:latin typeface="Arial"/>
              <a:cs typeface="Arial"/>
            </a:rPr>
            <a:t>Jul/22</a:t>
          </a:r>
        </a:p>
      </cdr:txBody>
    </cdr:sp>
  </cdr:relSizeAnchor>
  <cdr:relSizeAnchor xmlns:cdr="http://schemas.openxmlformats.org/drawingml/2006/chartDrawing">
    <cdr:from>
      <cdr:x>0.22494</cdr:x>
      <cdr:y>0.28309</cdr:y>
    </cdr:from>
    <cdr:to>
      <cdr:x>0.28283</cdr:x>
      <cdr:y>0.34428</cdr:y>
    </cdr:to>
    <cdr:sp macro="" textlink="">
      <cdr:nvSpPr>
        <cdr:cNvPr id="2060" name="Text Box 1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024734" y="1165326"/>
          <a:ext cx="521075" cy="25188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pt-BR" sz="1075" b="0" i="0" strike="noStrike">
              <a:solidFill>
                <a:srgbClr val="000000"/>
              </a:solidFill>
              <a:latin typeface="Arial"/>
              <a:cs typeface="Arial"/>
            </a:rPr>
            <a:t>Set/22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78</xdr:row>
      <xdr:rowOff>0</xdr:rowOff>
    </xdr:from>
    <xdr:to>
      <xdr:col>12</xdr:col>
      <xdr:colOff>0</xdr:colOff>
      <xdr:row>78</xdr:row>
      <xdr:rowOff>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161925</xdr:colOff>
      <xdr:row>78</xdr:row>
      <xdr:rowOff>0</xdr:rowOff>
    </xdr:from>
    <xdr:to>
      <xdr:col>12</xdr:col>
      <xdr:colOff>0</xdr:colOff>
      <xdr:row>78</xdr:row>
      <xdr:rowOff>0</xdr:rowOff>
    </xdr:to>
    <xdr:graphicFrame macro="">
      <xdr:nvGraphicFramePr>
        <xdr:cNvPr id="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42</xdr:row>
      <xdr:rowOff>76200</xdr:rowOff>
    </xdr:from>
    <xdr:to>
      <xdr:col>10</xdr:col>
      <xdr:colOff>628650</xdr:colOff>
      <xdr:row>73</xdr:row>
      <xdr:rowOff>0</xdr:rowOff>
    </xdr:to>
    <xdr:graphicFrame macro="">
      <xdr:nvGraphicFramePr>
        <xdr:cNvPr id="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cuments\Docum2021\Presta&#231;&#227;o_De_Contas_Abril_202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dministrador\Meus%20documentos\Exerc2006\Apresenta12de2006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REO"/>
      <sheetName val="RGF"/>
      <sheetName val="BalOrç"/>
      <sheetName val="SubFunç"/>
      <sheetName val="RPPS"/>
      <sheetName val="Prim"/>
      <sheetName val="RCL"/>
      <sheetName val="DCLP"/>
      <sheetName val="Plan1"/>
      <sheetName val="Mini"/>
      <sheetName val="DespEduc"/>
      <sheetName val="Cronogra"/>
      <sheetName val="Cruz"/>
      <sheetName val="MDE"/>
      <sheetName val="ASPS"/>
      <sheetName val="DespEmp"/>
      <sheetName val="DespLiq"/>
      <sheetName val="DespPaga"/>
      <sheetName val="Exec"/>
      <sheetName val="RAP"/>
      <sheetName val="AcompFAP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9">
          <cell r="D9">
            <v>0.54</v>
          </cell>
          <cell r="E9">
            <v>0.54</v>
          </cell>
          <cell r="F9">
            <v>0.54</v>
          </cell>
          <cell r="G9">
            <v>0.54</v>
          </cell>
          <cell r="H9">
            <v>0.54</v>
          </cell>
          <cell r="I9">
            <v>0.54</v>
          </cell>
          <cell r="J9">
            <v>0.54</v>
          </cell>
          <cell r="K9">
            <v>0.54</v>
          </cell>
          <cell r="L9">
            <v>0.54</v>
          </cell>
          <cell r="M9">
            <v>0.54</v>
          </cell>
          <cell r="N9">
            <v>0.54</v>
          </cell>
          <cell r="O9">
            <v>0.54</v>
          </cell>
        </row>
      </sheetData>
      <sheetData sheetId="9">
        <row r="20">
          <cell r="D20">
            <v>8576229.0500000007</v>
          </cell>
        </row>
      </sheetData>
      <sheetData sheetId="10" refreshError="1"/>
      <sheetData sheetId="11">
        <row r="40">
          <cell r="AE40">
            <v>40865393.119999997</v>
          </cell>
        </row>
      </sheetData>
      <sheetData sheetId="12">
        <row r="28">
          <cell r="I28">
            <v>144789216.63000003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RPPS"/>
      <sheetName val="BalFin"/>
      <sheetName val="VarRPPS"/>
      <sheetName val="PatRPPS"/>
      <sheetName val="FinCons"/>
      <sheetName val="VarCons"/>
      <sheetName val="PatCons"/>
      <sheetName val="Consolid"/>
      <sheetName val="Financ"/>
      <sheetName val="BalSISTN"/>
      <sheetName val="Patrim"/>
      <sheetName val="Resum2"/>
      <sheetName val="DivAt"/>
      <sheetName val="Limites"/>
      <sheetName val="Mínim"/>
      <sheetName val="Atuarial"/>
      <sheetName val="CRUZ"/>
      <sheetName val="Metas"/>
      <sheetName val="DDPEL"/>
      <sheetName val="Resumos"/>
      <sheetName val="RCL"/>
      <sheetName val="MPS"/>
      <sheetName val="Disponib"/>
      <sheetName val="Funç"/>
      <sheetName val="BalOrç"/>
      <sheetName val="Prim"/>
      <sheetName val="Nomi"/>
      <sheetName val="DCL"/>
      <sheetName val="Restos"/>
      <sheetName val="RAPinscritos"/>
      <sheetName val="RecDespFAPS"/>
      <sheetName val="VINC"/>
      <sheetName val="Plan3"/>
      <sheetName val="Plan1"/>
      <sheetName val="Plan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02">
          <cell r="J102">
            <v>59301.533333333209</v>
          </cell>
        </row>
        <row r="103">
          <cell r="J103">
            <v>-28113.66333333333</v>
          </cell>
        </row>
        <row r="104">
          <cell r="J104">
            <v>-8269.1199999999953</v>
          </cell>
        </row>
        <row r="105">
          <cell r="J105">
            <v>5654.826666666675</v>
          </cell>
        </row>
        <row r="106">
          <cell r="J106">
            <v>-70756.576666666893</v>
          </cell>
        </row>
        <row r="107">
          <cell r="J107">
            <v>13654.580000000016</v>
          </cell>
        </row>
        <row r="108">
          <cell r="J108">
            <v>78357.869999999966</v>
          </cell>
        </row>
        <row r="109">
          <cell r="J109">
            <v>-182954.47666666657</v>
          </cell>
        </row>
        <row r="110">
          <cell r="J110">
            <v>-129513.63666666579</v>
          </cell>
        </row>
        <row r="111">
          <cell r="J111">
            <v>88479.670000000391</v>
          </cell>
        </row>
        <row r="112">
          <cell r="J112">
            <v>80146.053333333286</v>
          </cell>
        </row>
        <row r="113">
          <cell r="J113">
            <v>104245.48333333328</v>
          </cell>
        </row>
        <row r="114">
          <cell r="J114">
            <v>7241.7066666666651</v>
          </cell>
        </row>
        <row r="115">
          <cell r="J115">
            <v>35295.373333333329</v>
          </cell>
        </row>
        <row r="116">
          <cell r="J116">
            <v>217853.67333333334</v>
          </cell>
        </row>
        <row r="117">
          <cell r="J117">
            <v>-176204.25333333411</v>
          </cell>
        </row>
        <row r="192">
          <cell r="J192">
            <v>67808.04999999993</v>
          </cell>
        </row>
        <row r="193">
          <cell r="J193">
            <v>18918.219999999972</v>
          </cell>
        </row>
        <row r="194">
          <cell r="J194">
            <v>9857.5100000000093</v>
          </cell>
        </row>
        <row r="195">
          <cell r="J195">
            <v>1006.5599999999977</v>
          </cell>
        </row>
        <row r="196">
          <cell r="J196">
            <v>249769.87999999989</v>
          </cell>
        </row>
        <row r="197">
          <cell r="J197">
            <v>29268.719999999972</v>
          </cell>
        </row>
        <row r="198">
          <cell r="J198">
            <v>13008.560000000056</v>
          </cell>
        </row>
        <row r="199">
          <cell r="J199">
            <v>101946.72999999998</v>
          </cell>
        </row>
        <row r="200">
          <cell r="J200">
            <v>533680.19999999925</v>
          </cell>
        </row>
        <row r="201">
          <cell r="J201">
            <v>378077.09999999963</v>
          </cell>
        </row>
        <row r="202">
          <cell r="J202">
            <v>35528.70000000007</v>
          </cell>
        </row>
        <row r="203">
          <cell r="J203">
            <v>60700.789999999804</v>
          </cell>
        </row>
        <row r="204">
          <cell r="J204">
            <v>23912.360000000102</v>
          </cell>
        </row>
        <row r="205">
          <cell r="J205">
            <v>7234.86</v>
          </cell>
        </row>
        <row r="206">
          <cell r="J206">
            <v>222838.98999999976</v>
          </cell>
        </row>
        <row r="207">
          <cell r="J207">
            <v>-676947.98000000138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4"/>
  <sheetViews>
    <sheetView tabSelected="1" workbookViewId="0">
      <selection activeCell="I25" sqref="I25"/>
    </sheetView>
  </sheetViews>
  <sheetFormatPr defaultRowHeight="15"/>
  <cols>
    <col min="1" max="2" width="1.7109375" customWidth="1"/>
    <col min="3" max="3" width="30.42578125" customWidth="1"/>
    <col min="4" max="4" width="12" customWidth="1"/>
    <col min="5" max="5" width="14.28515625" bestFit="1" customWidth="1"/>
    <col min="6" max="6" width="18.28515625" customWidth="1"/>
    <col min="7" max="7" width="11.7109375" bestFit="1" customWidth="1"/>
    <col min="9" max="9" width="14.7109375" bestFit="1" customWidth="1"/>
  </cols>
  <sheetData>
    <row r="1" spans="1:7">
      <c r="A1" s="568" t="s">
        <v>677</v>
      </c>
      <c r="B1" s="568"/>
      <c r="C1" s="568"/>
      <c r="D1" s="568"/>
      <c r="E1" s="568"/>
      <c r="F1" s="568"/>
      <c r="G1" s="568"/>
    </row>
    <row r="2" spans="1:7">
      <c r="A2" s="568" t="s">
        <v>678</v>
      </c>
      <c r="B2" s="568"/>
      <c r="C2" s="568"/>
      <c r="D2" s="568"/>
      <c r="E2" s="568"/>
      <c r="F2" s="568"/>
      <c r="G2" s="568"/>
    </row>
    <row r="3" spans="1:7">
      <c r="A3" s="569" t="s">
        <v>679</v>
      </c>
      <c r="B3" s="569"/>
      <c r="C3" s="569"/>
      <c r="D3" s="569"/>
      <c r="E3" s="569"/>
      <c r="F3" s="569"/>
      <c r="G3" s="569"/>
    </row>
    <row r="4" spans="1:7">
      <c r="A4" s="568" t="s">
        <v>680</v>
      </c>
      <c r="B4" s="568"/>
      <c r="C4" s="568"/>
      <c r="D4" s="568"/>
      <c r="E4" s="568"/>
      <c r="F4" s="568"/>
      <c r="G4" s="568"/>
    </row>
    <row r="5" spans="1:7">
      <c r="A5" s="568" t="s">
        <v>1236</v>
      </c>
      <c r="B5" s="568"/>
      <c r="C5" s="568"/>
      <c r="D5" s="568"/>
      <c r="E5" s="568"/>
      <c r="F5" s="568"/>
      <c r="G5" s="568"/>
    </row>
    <row r="6" spans="1:7" ht="15.75" thickBot="1">
      <c r="A6" s="568" t="s">
        <v>681</v>
      </c>
      <c r="B6" s="568"/>
      <c r="C6" s="568"/>
      <c r="F6" s="803" t="s">
        <v>682</v>
      </c>
      <c r="G6" s="803"/>
    </row>
    <row r="7" spans="1:7" ht="15.75" thickBot="1">
      <c r="A7" s="804" t="s">
        <v>683</v>
      </c>
      <c r="B7" s="805"/>
      <c r="C7" s="805"/>
      <c r="D7" s="805" t="s">
        <v>1395</v>
      </c>
      <c r="E7" s="805" t="s">
        <v>1399</v>
      </c>
      <c r="F7" s="805" t="s">
        <v>1396</v>
      </c>
      <c r="G7" s="805" t="s">
        <v>684</v>
      </c>
    </row>
    <row r="8" spans="1:7">
      <c r="A8" s="807" t="s">
        <v>685</v>
      </c>
      <c r="B8" s="808"/>
      <c r="C8" s="808"/>
      <c r="D8" s="809"/>
      <c r="E8" s="809"/>
      <c r="F8" s="809"/>
      <c r="G8" s="810"/>
    </row>
    <row r="9" spans="1:7">
      <c r="B9" s="811" t="s">
        <v>686</v>
      </c>
      <c r="C9" s="812"/>
      <c r="D9" s="813">
        <v>180207504.88</v>
      </c>
      <c r="E9" s="813">
        <v>180207504.88</v>
      </c>
      <c r="F9" s="814">
        <v>180207504.88</v>
      </c>
      <c r="G9" s="815">
        <v>180207504.88</v>
      </c>
    </row>
    <row r="10" spans="1:7">
      <c r="B10" s="811" t="s">
        <v>687</v>
      </c>
      <c r="C10" s="812"/>
      <c r="D10" s="813">
        <v>180753017.94</v>
      </c>
      <c r="E10" s="813">
        <v>182317883.77000001</v>
      </c>
      <c r="F10" s="814">
        <v>182539259.59</v>
      </c>
      <c r="G10" s="815">
        <v>183873546.53999999</v>
      </c>
    </row>
    <row r="11" spans="1:7">
      <c r="B11" s="811" t="s">
        <v>688</v>
      </c>
      <c r="C11" s="812"/>
      <c r="D11" s="813">
        <v>55793265.700000003</v>
      </c>
      <c r="E11" s="813">
        <v>87442862.079999998</v>
      </c>
      <c r="F11" s="814">
        <v>117545648.42</v>
      </c>
      <c r="G11" s="815">
        <v>143908127.09999999</v>
      </c>
    </row>
    <row r="12" spans="1:7">
      <c r="B12" s="811" t="s">
        <v>689</v>
      </c>
      <c r="C12" s="812"/>
      <c r="D12" s="813" t="s">
        <v>690</v>
      </c>
      <c r="E12" s="813" t="s">
        <v>690</v>
      </c>
      <c r="F12" s="816" t="s">
        <v>690</v>
      </c>
      <c r="G12" s="817"/>
    </row>
    <row r="13" spans="1:7">
      <c r="B13" s="811" t="s">
        <v>691</v>
      </c>
      <c r="C13" s="812"/>
      <c r="D13" s="813">
        <v>2238985.54</v>
      </c>
      <c r="E13" s="813">
        <v>3772916.41</v>
      </c>
      <c r="F13" s="814">
        <v>4685244.2300000004</v>
      </c>
      <c r="G13" s="815">
        <v>5460990.9400000004</v>
      </c>
    </row>
    <row r="14" spans="1:7">
      <c r="A14" s="811" t="s">
        <v>692</v>
      </c>
      <c r="B14" s="812"/>
      <c r="C14" s="812"/>
      <c r="D14" s="818"/>
      <c r="E14" s="818"/>
      <c r="F14" s="819"/>
      <c r="G14" s="820"/>
    </row>
    <row r="15" spans="1:7">
      <c r="B15" s="811" t="s">
        <v>693</v>
      </c>
      <c r="C15" s="812"/>
      <c r="D15" s="813">
        <v>166698144.47</v>
      </c>
      <c r="E15" s="813">
        <v>166698144.47</v>
      </c>
      <c r="F15" s="814">
        <v>166698144.47</v>
      </c>
      <c r="G15" s="815">
        <v>166698144.47</v>
      </c>
    </row>
    <row r="16" spans="1:7">
      <c r="B16" s="811" t="s">
        <v>694</v>
      </c>
      <c r="C16" s="812"/>
      <c r="D16" s="813">
        <v>170225667.62</v>
      </c>
      <c r="E16" s="813">
        <v>173141034.25999999</v>
      </c>
      <c r="F16" s="814">
        <v>176719570.11000001</v>
      </c>
      <c r="G16" s="815">
        <v>180142416.19999999</v>
      </c>
    </row>
    <row r="17" spans="1:9">
      <c r="B17" s="811" t="s">
        <v>695</v>
      </c>
      <c r="C17" s="812"/>
      <c r="D17" s="813">
        <v>55310851.460000001</v>
      </c>
      <c r="E17" s="813">
        <v>86441919.829999998</v>
      </c>
      <c r="F17" s="814">
        <v>118258104.61</v>
      </c>
      <c r="G17" s="815">
        <v>146517691.12</v>
      </c>
    </row>
    <row r="18" spans="1:9">
      <c r="B18" s="811" t="s">
        <v>696</v>
      </c>
      <c r="C18" s="812"/>
      <c r="D18" s="813">
        <v>48032222.039999999</v>
      </c>
      <c r="E18" s="813">
        <v>79374971.349999994</v>
      </c>
      <c r="F18" s="814">
        <v>107402220.70999999</v>
      </c>
      <c r="G18" s="815">
        <v>138000921.88999999</v>
      </c>
    </row>
    <row r="19" spans="1:9">
      <c r="B19" s="811" t="s">
        <v>697</v>
      </c>
      <c r="C19" s="812"/>
      <c r="D19" s="813">
        <v>43048470.619999997</v>
      </c>
      <c r="E19" s="813">
        <v>72106626.170000002</v>
      </c>
      <c r="F19" s="814">
        <v>102138384.33</v>
      </c>
      <c r="G19" s="815">
        <v>128168366.90000001</v>
      </c>
    </row>
    <row r="20" spans="1:9" ht="15.75" thickBot="1">
      <c r="B20" s="811" t="s">
        <v>698</v>
      </c>
      <c r="C20" s="812"/>
      <c r="D20" s="813">
        <v>7761043.6600000001</v>
      </c>
      <c r="E20" s="813">
        <v>8067890.7300000004</v>
      </c>
      <c r="F20" s="814">
        <v>10143427.710000001</v>
      </c>
      <c r="G20" s="815">
        <v>5907205.21</v>
      </c>
    </row>
    <row r="21" spans="1:9" ht="15.75" thickBot="1">
      <c r="A21" s="821"/>
      <c r="B21" s="821"/>
      <c r="C21" s="821"/>
      <c r="D21" s="821"/>
      <c r="E21" s="821"/>
      <c r="F21" s="821"/>
      <c r="G21" s="821"/>
    </row>
    <row r="22" spans="1:9" ht="15.75" thickBot="1">
      <c r="A22" s="804" t="s">
        <v>699</v>
      </c>
      <c r="B22" s="805"/>
      <c r="C22" s="805"/>
      <c r="D22" s="822" t="s">
        <v>1395</v>
      </c>
      <c r="E22" s="805" t="s">
        <v>1399</v>
      </c>
      <c r="F22" s="805" t="s">
        <v>1396</v>
      </c>
      <c r="G22" s="805" t="s">
        <v>684</v>
      </c>
    </row>
    <row r="23" spans="1:9">
      <c r="A23" s="807" t="s">
        <v>695</v>
      </c>
      <c r="B23" s="823"/>
      <c r="C23" s="823"/>
      <c r="D23" s="824">
        <v>55310851.460000001</v>
      </c>
      <c r="E23" s="825">
        <v>86441919.829999998</v>
      </c>
      <c r="F23" s="826">
        <v>118258104.61</v>
      </c>
      <c r="G23" s="827">
        <v>146517691.12</v>
      </c>
    </row>
    <row r="24" spans="1:9" ht="15.75" thickBot="1">
      <c r="A24" s="811" t="s">
        <v>696</v>
      </c>
      <c r="B24" s="812"/>
      <c r="C24" s="812"/>
      <c r="D24" s="824">
        <v>48032222.039999999</v>
      </c>
      <c r="E24" s="828">
        <v>79374971.349999994</v>
      </c>
      <c r="F24" s="814">
        <v>107402220.70999999</v>
      </c>
      <c r="G24" s="815">
        <v>138000921.88999999</v>
      </c>
    </row>
    <row r="25" spans="1:9" ht="15.75" thickBot="1">
      <c r="A25" s="821"/>
      <c r="B25" s="821"/>
      <c r="C25" s="821"/>
      <c r="D25" s="900" t="s">
        <v>1400</v>
      </c>
      <c r="E25" s="901"/>
      <c r="F25" s="900" t="s">
        <v>1401</v>
      </c>
      <c r="G25" s="901"/>
    </row>
    <row r="26" spans="1:9" ht="15.75" thickBot="1">
      <c r="A26" s="859" t="s">
        <v>1188</v>
      </c>
      <c r="B26" s="859"/>
      <c r="C26" s="860"/>
      <c r="D26" s="830" t="s">
        <v>1396</v>
      </c>
      <c r="E26" s="830" t="s">
        <v>684</v>
      </c>
      <c r="F26" s="830" t="s">
        <v>1396</v>
      </c>
      <c r="G26" s="830" t="s">
        <v>684</v>
      </c>
    </row>
    <row r="27" spans="1:9" ht="15.75" thickBot="1">
      <c r="A27" s="807" t="s">
        <v>462</v>
      </c>
      <c r="B27" s="808"/>
      <c r="C27" s="808"/>
      <c r="D27" s="826">
        <v>131120939.64</v>
      </c>
      <c r="E27" s="826">
        <v>132411457.97</v>
      </c>
      <c r="F27" s="826">
        <v>126551239.62</v>
      </c>
      <c r="G27" s="827">
        <v>132411457.97</v>
      </c>
      <c r="I27" s="829"/>
    </row>
    <row r="28" spans="1:9" ht="15.75" thickBot="1">
      <c r="A28" s="807" t="s">
        <v>700</v>
      </c>
      <c r="B28" s="808"/>
      <c r="C28" s="808"/>
      <c r="D28" s="826">
        <v>130770939.64</v>
      </c>
      <c r="E28" s="826">
        <v>132061457.97</v>
      </c>
      <c r="F28" s="826">
        <v>126301239.62</v>
      </c>
      <c r="G28" s="827">
        <v>132061457.97</v>
      </c>
      <c r="I28" s="829"/>
    </row>
    <row r="29" spans="1:9" ht="15.75" thickBot="1">
      <c r="A29" s="807" t="s">
        <v>701</v>
      </c>
      <c r="B29" s="808"/>
      <c r="C29" s="808"/>
      <c r="D29" s="826">
        <v>130770939.64</v>
      </c>
      <c r="E29" s="826">
        <v>132061457.97</v>
      </c>
      <c r="F29" s="826">
        <v>126201239.62</v>
      </c>
      <c r="G29" s="827">
        <v>132061457.97</v>
      </c>
    </row>
    <row r="30" spans="1:9" ht="15.75" thickBot="1">
      <c r="A30" s="821"/>
      <c r="B30" s="821"/>
      <c r="C30" s="821"/>
      <c r="D30" s="821"/>
      <c r="E30" s="821"/>
      <c r="F30" s="821"/>
      <c r="G30" s="821"/>
    </row>
    <row r="31" spans="1:9" ht="15.75" thickBot="1">
      <c r="A31" s="859" t="s">
        <v>702</v>
      </c>
      <c r="B31" s="859"/>
      <c r="C31" s="860"/>
      <c r="D31" s="805" t="s">
        <v>1395</v>
      </c>
      <c r="E31" s="805" t="s">
        <v>1399</v>
      </c>
      <c r="F31" s="805" t="s">
        <v>1396</v>
      </c>
      <c r="G31" s="805" t="s">
        <v>684</v>
      </c>
    </row>
    <row r="32" spans="1:9">
      <c r="A32" s="807" t="s">
        <v>703</v>
      </c>
      <c r="B32" s="808"/>
      <c r="C32" s="808"/>
      <c r="D32" s="809"/>
      <c r="E32" s="809"/>
      <c r="F32" s="809"/>
      <c r="G32" s="810"/>
    </row>
    <row r="33" spans="1:7">
      <c r="B33" s="811" t="s">
        <v>704</v>
      </c>
      <c r="C33" s="812"/>
      <c r="D33" s="813">
        <v>6375272.1900000004</v>
      </c>
      <c r="E33" s="828">
        <v>10346458.02</v>
      </c>
      <c r="F33" s="814">
        <v>14250522.15</v>
      </c>
      <c r="G33" s="815">
        <v>17920619.949999999</v>
      </c>
    </row>
    <row r="34" spans="1:7">
      <c r="B34" s="811" t="s">
        <v>705</v>
      </c>
      <c r="C34" s="812"/>
      <c r="D34" s="813">
        <v>8781306.5700000003</v>
      </c>
      <c r="E34" s="828">
        <v>14656090.49</v>
      </c>
      <c r="F34" s="814">
        <v>19469636.829999998</v>
      </c>
      <c r="G34" s="815">
        <v>24480346.890000001</v>
      </c>
    </row>
    <row r="35" spans="1:7">
      <c r="B35" s="811" t="s">
        <v>706</v>
      </c>
      <c r="C35" s="812"/>
      <c r="D35" s="813">
        <v>8781306.5700000003</v>
      </c>
      <c r="E35" s="828">
        <v>14656090.49</v>
      </c>
      <c r="F35" s="814">
        <v>19469636.829999998</v>
      </c>
      <c r="G35" s="815">
        <v>24480346.890000001</v>
      </c>
    </row>
    <row r="36" spans="1:7">
      <c r="B36" s="811" t="s">
        <v>707</v>
      </c>
      <c r="C36" s="812"/>
      <c r="D36" s="813">
        <v>8779411.6199999992</v>
      </c>
      <c r="E36" s="828">
        <v>14655019.720000001</v>
      </c>
      <c r="F36" s="814">
        <v>19461254.18</v>
      </c>
      <c r="G36" s="815">
        <v>24470852.670000002</v>
      </c>
    </row>
    <row r="37" spans="1:7">
      <c r="B37" s="811" t="s">
        <v>708</v>
      </c>
      <c r="C37" s="812"/>
      <c r="D37" s="813">
        <v>-2406034.38</v>
      </c>
      <c r="E37" s="828">
        <v>-4309632.47</v>
      </c>
      <c r="F37" s="814">
        <v>-5219114.68</v>
      </c>
      <c r="G37" s="815">
        <v>-6559726.9400000004</v>
      </c>
    </row>
    <row r="38" spans="1:7">
      <c r="A38" s="811" t="s">
        <v>709</v>
      </c>
      <c r="B38" s="812"/>
      <c r="C38" s="812"/>
      <c r="D38" s="818"/>
      <c r="E38" s="820"/>
      <c r="F38" s="819"/>
      <c r="G38" s="820"/>
    </row>
    <row r="39" spans="1:7">
      <c r="B39" s="811" t="s">
        <v>704</v>
      </c>
      <c r="C39" s="812"/>
      <c r="D39" s="828">
        <v>0</v>
      </c>
      <c r="E39" s="828">
        <v>0</v>
      </c>
      <c r="F39" s="814">
        <v>0</v>
      </c>
      <c r="G39" s="814">
        <v>0</v>
      </c>
    </row>
    <row r="40" spans="1:7">
      <c r="B40" s="811" t="s">
        <v>705</v>
      </c>
      <c r="C40" s="812"/>
      <c r="D40" s="828">
        <v>0</v>
      </c>
      <c r="E40" s="828">
        <v>0</v>
      </c>
      <c r="F40" s="814">
        <v>0</v>
      </c>
      <c r="G40" s="814">
        <v>0</v>
      </c>
    </row>
    <row r="41" spans="1:7">
      <c r="B41" s="811" t="s">
        <v>706</v>
      </c>
      <c r="C41" s="812"/>
      <c r="D41" s="828">
        <v>0</v>
      </c>
      <c r="E41" s="828">
        <v>0</v>
      </c>
      <c r="F41" s="814">
        <v>0</v>
      </c>
      <c r="G41" s="814">
        <v>0</v>
      </c>
    </row>
    <row r="42" spans="1:7">
      <c r="B42" s="811" t="s">
        <v>707</v>
      </c>
      <c r="C42" s="812"/>
      <c r="D42" s="828">
        <v>0</v>
      </c>
      <c r="E42" s="828">
        <v>0</v>
      </c>
      <c r="F42" s="814">
        <v>0</v>
      </c>
      <c r="G42" s="814">
        <v>0</v>
      </c>
    </row>
    <row r="43" spans="1:7" ht="15.75" thickBot="1">
      <c r="B43" s="811" t="s">
        <v>708</v>
      </c>
      <c r="C43" s="812"/>
      <c r="D43" s="828">
        <v>0</v>
      </c>
      <c r="E43" s="828">
        <v>0</v>
      </c>
      <c r="F43" s="814">
        <v>0</v>
      </c>
      <c r="G43" s="814">
        <v>0</v>
      </c>
    </row>
    <row r="44" spans="1:7" ht="15.75" thickBot="1">
      <c r="A44" s="821"/>
      <c r="B44" s="821"/>
      <c r="C44" s="821"/>
      <c r="D44" s="821"/>
      <c r="E44" s="821"/>
      <c r="F44" s="821"/>
      <c r="G44" s="821"/>
    </row>
    <row r="45" spans="1:7">
      <c r="A45" s="861" t="s">
        <v>710</v>
      </c>
      <c r="B45" s="861"/>
      <c r="C45" s="862"/>
      <c r="D45" s="805" t="s">
        <v>711</v>
      </c>
      <c r="E45" s="805" t="s">
        <v>712</v>
      </c>
      <c r="F45" s="805" t="s">
        <v>713</v>
      </c>
      <c r="G45" s="806"/>
    </row>
    <row r="46" spans="1:7">
      <c r="A46" s="863"/>
      <c r="B46" s="863"/>
      <c r="C46" s="864"/>
      <c r="D46" s="830" t="s">
        <v>714</v>
      </c>
      <c r="E46" s="830" t="s">
        <v>715</v>
      </c>
      <c r="F46" s="830"/>
      <c r="G46" s="831"/>
    </row>
    <row r="47" spans="1:7">
      <c r="A47" s="863"/>
      <c r="B47" s="863"/>
      <c r="C47" s="864"/>
      <c r="D47" s="830" t="s">
        <v>716</v>
      </c>
      <c r="E47" s="830"/>
      <c r="F47" s="830"/>
      <c r="G47" s="831"/>
    </row>
    <row r="48" spans="1:7" ht="15.75" thickBot="1">
      <c r="A48" s="865"/>
      <c r="B48" s="865"/>
      <c r="C48" s="866"/>
      <c r="D48" s="830" t="s">
        <v>717</v>
      </c>
      <c r="E48" s="830" t="s">
        <v>718</v>
      </c>
      <c r="F48" s="830" t="s">
        <v>719</v>
      </c>
      <c r="G48" s="831"/>
    </row>
    <row r="49" spans="1:7">
      <c r="A49" s="807" t="s">
        <v>720</v>
      </c>
      <c r="B49" s="808"/>
      <c r="C49" s="808"/>
      <c r="D49" s="826">
        <v>0</v>
      </c>
      <c r="E49" s="826">
        <v>2342468.17</v>
      </c>
      <c r="F49" s="809"/>
      <c r="G49" s="810"/>
    </row>
    <row r="50" spans="1:7" ht="15.75" thickBot="1">
      <c r="A50" s="811" t="s">
        <v>721</v>
      </c>
      <c r="B50" s="812"/>
      <c r="C50" s="812"/>
      <c r="D50" s="814">
        <v>0</v>
      </c>
      <c r="E50" s="814">
        <v>4079683.27</v>
      </c>
      <c r="F50" s="819"/>
      <c r="G50" s="820"/>
    </row>
    <row r="51" spans="1:7" ht="15.75" thickBot="1">
      <c r="A51" s="821"/>
      <c r="B51" s="821"/>
      <c r="C51" s="821"/>
      <c r="D51" s="821"/>
      <c r="E51" s="821"/>
      <c r="F51" s="821"/>
      <c r="G51" s="821"/>
    </row>
    <row r="52" spans="1:7">
      <c r="A52" s="861" t="s">
        <v>722</v>
      </c>
      <c r="B52" s="861"/>
      <c r="C52" s="862"/>
      <c r="D52" s="805" t="s">
        <v>723</v>
      </c>
      <c r="E52" s="805" t="s">
        <v>724</v>
      </c>
      <c r="F52" s="805" t="s">
        <v>725</v>
      </c>
      <c r="G52" s="806" t="s">
        <v>726</v>
      </c>
    </row>
    <row r="53" spans="1:7" ht="15.75" thickBot="1">
      <c r="A53" s="865"/>
      <c r="B53" s="865"/>
      <c r="C53" s="866"/>
      <c r="D53" s="830"/>
      <c r="E53" s="830" t="s">
        <v>684</v>
      </c>
      <c r="F53" s="830" t="s">
        <v>684</v>
      </c>
      <c r="G53" s="831" t="s">
        <v>253</v>
      </c>
    </row>
    <row r="54" spans="1:7">
      <c r="B54" s="832" t="s">
        <v>727</v>
      </c>
      <c r="C54" s="807"/>
      <c r="D54" s="826">
        <v>25330498.539999999</v>
      </c>
      <c r="E54" s="826">
        <v>18354.52</v>
      </c>
      <c r="F54" s="826">
        <v>7318733.6500000004</v>
      </c>
      <c r="G54" s="827">
        <v>17993410.370000001</v>
      </c>
    </row>
    <row r="55" spans="1:7">
      <c r="C55" s="833" t="s">
        <v>728</v>
      </c>
      <c r="D55" s="814">
        <v>25328075.960000001</v>
      </c>
      <c r="E55" s="814">
        <v>18354.52</v>
      </c>
      <c r="F55" s="814">
        <v>7316311.0700000003</v>
      </c>
      <c r="G55" s="815">
        <v>17993410.370000001</v>
      </c>
    </row>
    <row r="56" spans="1:7">
      <c r="C56" s="833" t="s">
        <v>729</v>
      </c>
      <c r="D56" s="814">
        <v>2422.58</v>
      </c>
      <c r="E56" s="814">
        <v>0</v>
      </c>
      <c r="F56" s="814">
        <v>2422.58</v>
      </c>
      <c r="G56" s="815">
        <v>0</v>
      </c>
    </row>
    <row r="57" spans="1:7">
      <c r="B57" s="567" t="s">
        <v>730</v>
      </c>
      <c r="C57" s="811"/>
      <c r="D57" s="814">
        <v>3151365.92</v>
      </c>
      <c r="E57" s="814">
        <v>7400.34</v>
      </c>
      <c r="F57" s="814">
        <v>1210119.1000000001</v>
      </c>
      <c r="G57" s="815">
        <v>1933846.48</v>
      </c>
    </row>
    <row r="58" spans="1:7">
      <c r="C58" s="833" t="s">
        <v>728</v>
      </c>
      <c r="D58" s="814">
        <v>3151365.92</v>
      </c>
      <c r="E58" s="814">
        <v>7400.34</v>
      </c>
      <c r="F58" s="814">
        <v>1210119.1000000001</v>
      </c>
      <c r="G58" s="815">
        <v>1933846.48</v>
      </c>
    </row>
    <row r="59" spans="1:7" ht="15.75" thickBot="1">
      <c r="C59" s="833" t="s">
        <v>729</v>
      </c>
      <c r="D59" s="814">
        <v>0</v>
      </c>
      <c r="E59" s="814">
        <v>0</v>
      </c>
      <c r="F59" s="814">
        <v>0</v>
      </c>
      <c r="G59" s="815">
        <v>0</v>
      </c>
    </row>
    <row r="60" spans="1:7" ht="15.75" thickBot="1">
      <c r="A60" s="834" t="s">
        <v>273</v>
      </c>
      <c r="B60" s="835"/>
      <c r="C60" s="835"/>
      <c r="D60" s="836">
        <v>28481864.460000001</v>
      </c>
      <c r="E60" s="836">
        <v>25754.86</v>
      </c>
      <c r="F60" s="836">
        <v>8528852.75</v>
      </c>
      <c r="G60" s="837">
        <v>19927256.850000001</v>
      </c>
    </row>
    <row r="61" spans="1:7" ht="15.75" thickBot="1"/>
    <row r="62" spans="1:7" ht="15.75" thickBot="1">
      <c r="A62" s="806"/>
      <c r="B62" s="838"/>
      <c r="C62" s="804"/>
      <c r="D62" s="805"/>
      <c r="E62" s="867" t="s">
        <v>1397</v>
      </c>
      <c r="F62" s="859"/>
      <c r="G62" s="860"/>
    </row>
    <row r="63" spans="1:7">
      <c r="A63" s="839" t="s">
        <v>731</v>
      </c>
      <c r="B63" s="840"/>
      <c r="C63" s="841"/>
      <c r="D63" s="830" t="s">
        <v>732</v>
      </c>
      <c r="E63" s="830" t="s">
        <v>733</v>
      </c>
      <c r="F63" s="806" t="s">
        <v>734</v>
      </c>
      <c r="G63" s="804"/>
    </row>
    <row r="64" spans="1:7" ht="15.75" thickBot="1">
      <c r="A64" s="842"/>
      <c r="B64" s="843"/>
      <c r="C64" s="844"/>
      <c r="D64" s="845" t="s">
        <v>715</v>
      </c>
      <c r="E64" s="845" t="s">
        <v>735</v>
      </c>
      <c r="F64" s="846" t="s">
        <v>736</v>
      </c>
      <c r="G64" s="847"/>
    </row>
    <row r="65" spans="1:7">
      <c r="A65" s="807" t="s">
        <v>737</v>
      </c>
      <c r="B65" s="808"/>
      <c r="C65" s="808"/>
      <c r="D65" s="826">
        <v>23911974.149999999</v>
      </c>
      <c r="E65" s="848" t="s">
        <v>1189</v>
      </c>
      <c r="F65" s="826">
        <v>31.8</v>
      </c>
      <c r="G65" s="827"/>
    </row>
    <row r="66" spans="1:7">
      <c r="A66" s="811" t="s">
        <v>738</v>
      </c>
      <c r="B66" s="812"/>
      <c r="C66" s="812"/>
      <c r="D66" s="814">
        <v>20997464.289999999</v>
      </c>
      <c r="E66" s="849" t="s">
        <v>1190</v>
      </c>
      <c r="F66" s="814">
        <v>89.17</v>
      </c>
      <c r="G66" s="815"/>
    </row>
    <row r="67" spans="1:7">
      <c r="A67" s="811" t="s">
        <v>739</v>
      </c>
      <c r="B67" s="812"/>
      <c r="C67" s="812"/>
      <c r="D67" s="814">
        <v>0</v>
      </c>
      <c r="E67" s="849" t="s">
        <v>1191</v>
      </c>
      <c r="F67" s="814">
        <v>0</v>
      </c>
      <c r="G67" s="815"/>
    </row>
    <row r="68" spans="1:7" ht="15.75" thickBot="1">
      <c r="A68" s="811" t="s">
        <v>740</v>
      </c>
      <c r="B68" s="812"/>
      <c r="C68" s="812"/>
      <c r="D68" s="814">
        <v>0</v>
      </c>
      <c r="E68" s="849" t="s">
        <v>1192</v>
      </c>
      <c r="F68" s="814">
        <v>0</v>
      </c>
      <c r="G68" s="815"/>
    </row>
    <row r="69" spans="1:7" ht="15.75" thickBot="1">
      <c r="A69" s="821"/>
      <c r="B69" s="821"/>
      <c r="C69" s="821"/>
      <c r="D69" s="821"/>
      <c r="E69" s="821"/>
      <c r="F69" s="821"/>
      <c r="G69" s="821"/>
    </row>
    <row r="70" spans="1:7" ht="15.75" thickBot="1">
      <c r="A70" s="850"/>
      <c r="B70" s="850"/>
      <c r="C70" s="851"/>
      <c r="D70" s="805" t="s">
        <v>732</v>
      </c>
      <c r="E70" s="867" t="s">
        <v>741</v>
      </c>
      <c r="F70" s="859"/>
      <c r="G70" s="859"/>
    </row>
    <row r="71" spans="1:7">
      <c r="A71" s="852" t="s">
        <v>1193</v>
      </c>
      <c r="B71" s="852"/>
      <c r="C71" s="853"/>
      <c r="D71" s="830" t="s">
        <v>715</v>
      </c>
      <c r="E71" s="830" t="s">
        <v>733</v>
      </c>
      <c r="F71" s="805" t="s">
        <v>742</v>
      </c>
      <c r="G71" s="806"/>
    </row>
    <row r="72" spans="1:7" ht="15.75" thickBot="1">
      <c r="A72" s="854"/>
      <c r="B72" s="852"/>
      <c r="C72" s="853"/>
      <c r="D72" s="830"/>
      <c r="E72" s="830" t="s">
        <v>743</v>
      </c>
      <c r="F72" s="830"/>
      <c r="G72" s="831"/>
    </row>
    <row r="73" spans="1:7" ht="15.75" thickBot="1">
      <c r="A73" s="832" t="s">
        <v>744</v>
      </c>
      <c r="B73" s="807"/>
      <c r="C73" s="808"/>
      <c r="D73" s="826">
        <v>18804665.859999999</v>
      </c>
      <c r="E73" s="848" t="s">
        <v>1192</v>
      </c>
      <c r="F73" s="855">
        <v>25.48</v>
      </c>
      <c r="G73" s="856"/>
    </row>
    <row r="74" spans="1:7" ht="15.75" thickBot="1">
      <c r="A74" s="821"/>
      <c r="B74" s="821"/>
      <c r="C74" s="821"/>
      <c r="D74" s="821"/>
      <c r="E74" s="821"/>
      <c r="F74" s="821"/>
      <c r="G74" s="821"/>
    </row>
    <row r="75" spans="1:7" ht="15.75" thickBot="1">
      <c r="A75" s="804" t="s">
        <v>745</v>
      </c>
      <c r="B75" s="805"/>
      <c r="C75" s="805"/>
      <c r="D75" s="805" t="s">
        <v>746</v>
      </c>
      <c r="E75" s="805"/>
      <c r="F75" s="805"/>
      <c r="G75" s="806"/>
    </row>
    <row r="76" spans="1:7" ht="15.75" thickBot="1">
      <c r="A76" s="834" t="s">
        <v>747</v>
      </c>
      <c r="B76" s="835"/>
      <c r="C76" s="835"/>
      <c r="D76" s="836">
        <v>0</v>
      </c>
      <c r="E76" s="836"/>
      <c r="F76" s="836"/>
      <c r="G76" s="837"/>
    </row>
    <row r="77" spans="1:7">
      <c r="A77" s="857" t="s">
        <v>1398</v>
      </c>
    </row>
    <row r="78" spans="1:7">
      <c r="A78" s="1"/>
    </row>
    <row r="83" spans="2:9">
      <c r="B83" s="858" t="s">
        <v>95</v>
      </c>
      <c r="C83" s="54"/>
      <c r="D83" s="55" t="s">
        <v>96</v>
      </c>
      <c r="E83" s="56"/>
      <c r="F83" s="446" t="s">
        <v>97</v>
      </c>
      <c r="G83" s="55"/>
      <c r="I83" s="446"/>
    </row>
    <row r="84" spans="2:9">
      <c r="B84" s="858" t="s">
        <v>98</v>
      </c>
      <c r="C84" s="54"/>
      <c r="D84" s="55" t="s">
        <v>99</v>
      </c>
      <c r="E84" s="56"/>
      <c r="F84" s="446" t="s">
        <v>100</v>
      </c>
      <c r="G84" s="55"/>
      <c r="I84" s="446"/>
    </row>
  </sheetData>
  <mergeCells count="8">
    <mergeCell ref="A52:C53"/>
    <mergeCell ref="E62:G62"/>
    <mergeCell ref="E70:G70"/>
    <mergeCell ref="F25:G25"/>
    <mergeCell ref="D25:E25"/>
    <mergeCell ref="A26:C26"/>
    <mergeCell ref="A31:C31"/>
    <mergeCell ref="A45:C48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27"/>
  <sheetViews>
    <sheetView topLeftCell="A102" workbookViewId="0">
      <selection activeCell="I102" sqref="I102"/>
    </sheetView>
  </sheetViews>
  <sheetFormatPr defaultRowHeight="15"/>
  <cols>
    <col min="1" max="1" width="24.7109375" customWidth="1"/>
    <col min="2" max="2" width="8.140625" customWidth="1"/>
    <col min="3" max="4" width="10.140625" customWidth="1"/>
    <col min="5" max="6" width="10.85546875" bestFit="1" customWidth="1"/>
    <col min="7" max="7" width="1" customWidth="1"/>
    <col min="8" max="8" width="10.85546875" bestFit="1" customWidth="1"/>
    <col min="9" max="9" width="17.5703125" bestFit="1" customWidth="1"/>
    <col min="10" max="10" width="8.140625" customWidth="1"/>
    <col min="11" max="11" width="1" customWidth="1"/>
    <col min="12" max="12" width="10.140625" customWidth="1"/>
    <col min="13" max="13" width="10" customWidth="1"/>
    <col min="14" max="14" width="10.140625" customWidth="1"/>
    <col min="15" max="15" width="1" customWidth="1"/>
    <col min="16" max="16" width="11.140625" customWidth="1"/>
    <col min="17" max="17" width="0.5703125" customWidth="1"/>
  </cols>
  <sheetData>
    <row r="1" spans="1:16" ht="11.85" customHeight="1">
      <c r="A1" s="789" t="s">
        <v>758</v>
      </c>
      <c r="B1" s="789"/>
      <c r="M1" s="682" t="s">
        <v>759</v>
      </c>
    </row>
    <row r="2" spans="1:16" ht="11.1" customHeight="1">
      <c r="A2" s="789" t="s">
        <v>678</v>
      </c>
      <c r="B2" s="789"/>
    </row>
    <row r="3" spans="1:16" ht="11.85" customHeight="1">
      <c r="A3" s="795" t="s">
        <v>760</v>
      </c>
      <c r="B3" s="795"/>
    </row>
    <row r="4" spans="1:16" ht="11.85" customHeight="1">
      <c r="A4" s="789" t="s">
        <v>761</v>
      </c>
      <c r="B4" s="789"/>
    </row>
    <row r="5" spans="1:16" ht="11.85" customHeight="1">
      <c r="A5" s="789" t="s">
        <v>1236</v>
      </c>
      <c r="B5" s="789"/>
    </row>
    <row r="6" spans="1:16" ht="5.85" customHeight="1"/>
    <row r="7" spans="1:16" ht="11.1" customHeight="1">
      <c r="A7" s="794" t="s">
        <v>762</v>
      </c>
      <c r="B7" s="794"/>
      <c r="C7" s="794"/>
      <c r="D7" s="794"/>
      <c r="E7" s="794"/>
      <c r="F7" s="794"/>
      <c r="G7" s="482"/>
      <c r="H7" s="482"/>
      <c r="I7" s="482"/>
      <c r="L7" s="781" t="s">
        <v>754</v>
      </c>
      <c r="O7" s="781"/>
      <c r="P7" s="781"/>
    </row>
    <row r="8" spans="1:16" ht="11.85" customHeight="1">
      <c r="A8" s="763" t="s">
        <v>685</v>
      </c>
      <c r="B8" s="902" t="s">
        <v>763</v>
      </c>
      <c r="C8" s="765" t="s">
        <v>764</v>
      </c>
      <c r="D8" s="770" t="s">
        <v>765</v>
      </c>
      <c r="E8" s="771"/>
      <c r="F8" s="771"/>
      <c r="G8" s="771"/>
      <c r="H8" s="771"/>
      <c r="I8" s="765" t="s">
        <v>1667</v>
      </c>
    </row>
    <row r="9" spans="1:16" ht="17.850000000000001" customHeight="1">
      <c r="A9" s="764"/>
      <c r="B9" s="869"/>
      <c r="C9" s="769"/>
      <c r="D9" s="765" t="s">
        <v>767</v>
      </c>
      <c r="E9" s="765" t="s">
        <v>768</v>
      </c>
      <c r="F9" s="765" t="s">
        <v>769</v>
      </c>
      <c r="G9" s="785"/>
      <c r="H9" s="765" t="s">
        <v>770</v>
      </c>
      <c r="I9" s="769" t="s">
        <v>1669</v>
      </c>
    </row>
    <row r="10" spans="1:16" ht="11.1" customHeight="1">
      <c r="A10" s="683" t="s">
        <v>771</v>
      </c>
      <c r="B10" s="786" t="s">
        <v>772</v>
      </c>
      <c r="C10" s="786" t="s">
        <v>1402</v>
      </c>
      <c r="D10" s="786" t="s">
        <v>1403</v>
      </c>
      <c r="E10" s="786" t="s">
        <v>1404</v>
      </c>
      <c r="F10" s="786" t="s">
        <v>1405</v>
      </c>
      <c r="G10" s="787"/>
      <c r="H10" s="786" t="s">
        <v>1406</v>
      </c>
      <c r="I10" s="786" t="s">
        <v>1407</v>
      </c>
    </row>
    <row r="11" spans="1:16" ht="11.85" customHeight="1">
      <c r="A11" s="685" t="s">
        <v>1408</v>
      </c>
      <c r="B11" s="775" t="s">
        <v>773</v>
      </c>
      <c r="C11" s="775" t="s">
        <v>1238</v>
      </c>
      <c r="D11" s="775" t="s">
        <v>1409</v>
      </c>
      <c r="E11" s="775" t="s">
        <v>1410</v>
      </c>
      <c r="F11" s="775" t="s">
        <v>1239</v>
      </c>
      <c r="G11" s="777"/>
      <c r="H11" s="775" t="s">
        <v>1411</v>
      </c>
      <c r="I11" s="775" t="s">
        <v>1412</v>
      </c>
    </row>
    <row r="12" spans="1:16" ht="11.85" customHeight="1">
      <c r="A12" s="685" t="s">
        <v>1413</v>
      </c>
      <c r="B12" s="775" t="s">
        <v>774</v>
      </c>
      <c r="C12" s="775" t="s">
        <v>774</v>
      </c>
      <c r="D12" s="775" t="s">
        <v>1414</v>
      </c>
      <c r="E12" s="775" t="s">
        <v>1415</v>
      </c>
      <c r="F12" s="775" t="s">
        <v>1241</v>
      </c>
      <c r="G12" s="777"/>
      <c r="H12" s="775" t="s">
        <v>1416</v>
      </c>
      <c r="I12" s="775" t="s">
        <v>1417</v>
      </c>
    </row>
    <row r="13" spans="1:16" ht="11.85" customHeight="1">
      <c r="A13" s="685" t="s">
        <v>1418</v>
      </c>
      <c r="B13" s="775" t="s">
        <v>775</v>
      </c>
      <c r="C13" s="775" t="s">
        <v>775</v>
      </c>
      <c r="D13" s="775" t="s">
        <v>1419</v>
      </c>
      <c r="E13" s="775" t="s">
        <v>1420</v>
      </c>
      <c r="F13" s="775" t="s">
        <v>1421</v>
      </c>
      <c r="G13" s="777"/>
      <c r="H13" s="775" t="s">
        <v>1422</v>
      </c>
      <c r="I13" s="775" t="s">
        <v>1423</v>
      </c>
    </row>
    <row r="14" spans="1:16" ht="11.1" customHeight="1">
      <c r="A14" s="685" t="s">
        <v>1424</v>
      </c>
      <c r="B14" s="775" t="s">
        <v>776</v>
      </c>
      <c r="C14" s="775" t="s">
        <v>776</v>
      </c>
      <c r="D14" s="775" t="s">
        <v>1425</v>
      </c>
      <c r="E14" s="775" t="s">
        <v>1426</v>
      </c>
      <c r="F14" s="775" t="s">
        <v>1427</v>
      </c>
      <c r="G14" s="777"/>
      <c r="H14" s="775" t="s">
        <v>1428</v>
      </c>
      <c r="I14" s="775" t="s">
        <v>1429</v>
      </c>
    </row>
    <row r="15" spans="1:16" ht="11.85" customHeight="1">
      <c r="A15" s="685" t="s">
        <v>1430</v>
      </c>
      <c r="B15" s="775" t="s">
        <v>777</v>
      </c>
      <c r="C15" s="775" t="s">
        <v>777</v>
      </c>
      <c r="D15" s="775" t="s">
        <v>1431</v>
      </c>
      <c r="E15" s="775" t="s">
        <v>690</v>
      </c>
      <c r="F15" s="775" t="s">
        <v>1432</v>
      </c>
      <c r="G15" s="777"/>
      <c r="H15" s="775" t="s">
        <v>690</v>
      </c>
      <c r="I15" s="775" t="s">
        <v>1433</v>
      </c>
    </row>
    <row r="16" spans="1:16" ht="11.85" customHeight="1">
      <c r="A16" s="685" t="s">
        <v>1434</v>
      </c>
      <c r="B16" s="775" t="s">
        <v>778</v>
      </c>
      <c r="C16" s="775" t="s">
        <v>778</v>
      </c>
      <c r="D16" s="775" t="s">
        <v>1435</v>
      </c>
      <c r="E16" s="775" t="s">
        <v>1436</v>
      </c>
      <c r="F16" s="775" t="s">
        <v>1253</v>
      </c>
      <c r="G16" s="777"/>
      <c r="H16" s="775" t="s">
        <v>1437</v>
      </c>
      <c r="I16" s="775" t="s">
        <v>1438</v>
      </c>
    </row>
    <row r="17" spans="1:9" ht="11.85" customHeight="1">
      <c r="A17" s="685" t="s">
        <v>1439</v>
      </c>
      <c r="B17" s="775" t="s">
        <v>779</v>
      </c>
      <c r="C17" s="775" t="s">
        <v>779</v>
      </c>
      <c r="D17" s="775" t="s">
        <v>1440</v>
      </c>
      <c r="E17" s="775" t="s">
        <v>1441</v>
      </c>
      <c r="F17" s="775" t="s">
        <v>1442</v>
      </c>
      <c r="G17" s="777"/>
      <c r="H17" s="775" t="s">
        <v>1443</v>
      </c>
      <c r="I17" s="775" t="s">
        <v>1444</v>
      </c>
    </row>
    <row r="18" spans="1:9" ht="11.1" customHeight="1">
      <c r="A18" s="685" t="s">
        <v>1445</v>
      </c>
      <c r="B18" s="775" t="s">
        <v>780</v>
      </c>
      <c r="C18" s="775" t="s">
        <v>780</v>
      </c>
      <c r="D18" s="775" t="s">
        <v>1446</v>
      </c>
      <c r="E18" s="775" t="s">
        <v>1447</v>
      </c>
      <c r="F18" s="775" t="s">
        <v>1448</v>
      </c>
      <c r="G18" s="777"/>
      <c r="H18" s="775" t="s">
        <v>1449</v>
      </c>
      <c r="I18" s="775" t="s">
        <v>1450</v>
      </c>
    </row>
    <row r="19" spans="1:9" ht="11.85" customHeight="1">
      <c r="A19" s="685" t="s">
        <v>1451</v>
      </c>
      <c r="B19" s="775" t="s">
        <v>781</v>
      </c>
      <c r="C19" s="775" t="s">
        <v>1255</v>
      </c>
      <c r="D19" s="775" t="s">
        <v>1452</v>
      </c>
      <c r="E19" s="775" t="s">
        <v>1453</v>
      </c>
      <c r="F19" s="775" t="s">
        <v>1256</v>
      </c>
      <c r="G19" s="777"/>
      <c r="H19" s="775" t="s">
        <v>1454</v>
      </c>
      <c r="I19" s="775" t="s">
        <v>1455</v>
      </c>
    </row>
    <row r="20" spans="1:9" ht="11.85" customHeight="1">
      <c r="A20" s="685" t="s">
        <v>1456</v>
      </c>
      <c r="B20" s="775" t="s">
        <v>782</v>
      </c>
      <c r="C20" s="775" t="s">
        <v>782</v>
      </c>
      <c r="D20" s="775" t="s">
        <v>1457</v>
      </c>
      <c r="E20" s="775" t="s">
        <v>1458</v>
      </c>
      <c r="F20" s="775" t="s">
        <v>1261</v>
      </c>
      <c r="G20" s="777"/>
      <c r="H20" s="775" t="s">
        <v>1459</v>
      </c>
      <c r="I20" s="775" t="s">
        <v>1460</v>
      </c>
    </row>
    <row r="21" spans="1:9" ht="11.85" customHeight="1">
      <c r="A21" s="685" t="s">
        <v>1461</v>
      </c>
      <c r="B21" s="775" t="s">
        <v>783</v>
      </c>
      <c r="C21" s="775" t="s">
        <v>1258</v>
      </c>
      <c r="D21" s="775" t="s">
        <v>1462</v>
      </c>
      <c r="E21" s="775" t="s">
        <v>1463</v>
      </c>
      <c r="F21" s="775" t="s">
        <v>1259</v>
      </c>
      <c r="G21" s="777"/>
      <c r="H21" s="775" t="s">
        <v>1464</v>
      </c>
      <c r="I21" s="775" t="s">
        <v>1465</v>
      </c>
    </row>
    <row r="22" spans="1:9" ht="11.1" customHeight="1">
      <c r="A22" s="685" t="s">
        <v>1466</v>
      </c>
      <c r="B22" s="775" t="s">
        <v>784</v>
      </c>
      <c r="C22" s="775" t="s">
        <v>784</v>
      </c>
      <c r="D22" s="775" t="s">
        <v>1467</v>
      </c>
      <c r="E22" s="775" t="s">
        <v>1468</v>
      </c>
      <c r="F22" s="775" t="s">
        <v>1469</v>
      </c>
      <c r="G22" s="777"/>
      <c r="H22" s="775" t="s">
        <v>1470</v>
      </c>
      <c r="I22" s="775" t="s">
        <v>1471</v>
      </c>
    </row>
    <row r="23" spans="1:9" ht="11.85" customHeight="1">
      <c r="A23" s="685" t="s">
        <v>1472</v>
      </c>
      <c r="B23" s="775" t="s">
        <v>785</v>
      </c>
      <c r="C23" s="775" t="s">
        <v>1473</v>
      </c>
      <c r="D23" s="775" t="s">
        <v>1474</v>
      </c>
      <c r="E23" s="775" t="s">
        <v>1475</v>
      </c>
      <c r="F23" s="775" t="s">
        <v>1476</v>
      </c>
      <c r="G23" s="777"/>
      <c r="H23" s="775" t="s">
        <v>1477</v>
      </c>
      <c r="I23" s="775" t="s">
        <v>1478</v>
      </c>
    </row>
    <row r="24" spans="1:9" ht="11.85" customHeight="1">
      <c r="A24" s="685" t="s">
        <v>1479</v>
      </c>
      <c r="B24" s="775" t="s">
        <v>690</v>
      </c>
      <c r="C24" s="775" t="s">
        <v>786</v>
      </c>
      <c r="D24" s="775" t="s">
        <v>1480</v>
      </c>
      <c r="E24" s="775" t="s">
        <v>1481</v>
      </c>
      <c r="F24" s="775" t="s">
        <v>1482</v>
      </c>
      <c r="G24" s="777"/>
      <c r="H24" s="775" t="s">
        <v>1483</v>
      </c>
      <c r="I24" s="775" t="s">
        <v>1484</v>
      </c>
    </row>
    <row r="25" spans="1:9" ht="11.85" customHeight="1">
      <c r="A25" s="685" t="s">
        <v>1485</v>
      </c>
      <c r="B25" s="775" t="s">
        <v>785</v>
      </c>
      <c r="C25" s="775" t="s">
        <v>1486</v>
      </c>
      <c r="D25" s="775" t="s">
        <v>1487</v>
      </c>
      <c r="E25" s="775" t="s">
        <v>1488</v>
      </c>
      <c r="F25" s="775" t="s">
        <v>1489</v>
      </c>
      <c r="G25" s="777"/>
      <c r="H25" s="775" t="s">
        <v>1490</v>
      </c>
      <c r="I25" s="775" t="s">
        <v>1491</v>
      </c>
    </row>
    <row r="26" spans="1:9" ht="11.1" customHeight="1">
      <c r="A26" s="685" t="s">
        <v>1492</v>
      </c>
      <c r="B26" s="775" t="s">
        <v>787</v>
      </c>
      <c r="C26" s="775" t="s">
        <v>1263</v>
      </c>
      <c r="D26" s="775" t="s">
        <v>1493</v>
      </c>
      <c r="E26" s="775" t="s">
        <v>1494</v>
      </c>
      <c r="F26" s="775" t="s">
        <v>1264</v>
      </c>
      <c r="G26" s="777"/>
      <c r="H26" s="775" t="s">
        <v>1495</v>
      </c>
      <c r="I26" s="775" t="s">
        <v>1496</v>
      </c>
    </row>
    <row r="27" spans="1:9" ht="11.85" customHeight="1">
      <c r="A27" s="685" t="s">
        <v>1497</v>
      </c>
      <c r="B27" s="775" t="s">
        <v>788</v>
      </c>
      <c r="C27" s="775" t="s">
        <v>1498</v>
      </c>
      <c r="D27" s="775" t="s">
        <v>1499</v>
      </c>
      <c r="E27" s="775" t="s">
        <v>809</v>
      </c>
      <c r="F27" s="775" t="s">
        <v>1500</v>
      </c>
      <c r="G27" s="777"/>
      <c r="H27" s="775" t="s">
        <v>1501</v>
      </c>
      <c r="I27" s="775" t="s">
        <v>1502</v>
      </c>
    </row>
    <row r="28" spans="1:9" ht="11.85" customHeight="1">
      <c r="A28" s="685" t="s">
        <v>1503</v>
      </c>
      <c r="B28" s="775" t="s">
        <v>789</v>
      </c>
      <c r="C28" s="775" t="s">
        <v>1504</v>
      </c>
      <c r="D28" s="775" t="s">
        <v>1505</v>
      </c>
      <c r="E28" s="775" t="s">
        <v>1196</v>
      </c>
      <c r="F28" s="775" t="s">
        <v>1506</v>
      </c>
      <c r="G28" s="777"/>
      <c r="H28" s="775" t="s">
        <v>1507</v>
      </c>
      <c r="I28" s="775" t="s">
        <v>1508</v>
      </c>
    </row>
    <row r="29" spans="1:9" ht="11.85" customHeight="1">
      <c r="A29" s="685" t="s">
        <v>1509</v>
      </c>
      <c r="B29" s="775" t="s">
        <v>790</v>
      </c>
      <c r="C29" s="775" t="s">
        <v>790</v>
      </c>
      <c r="D29" s="775" t="s">
        <v>1510</v>
      </c>
      <c r="E29" s="775" t="s">
        <v>1511</v>
      </c>
      <c r="F29" s="775" t="s">
        <v>1512</v>
      </c>
      <c r="G29" s="777"/>
      <c r="H29" s="775" t="s">
        <v>1513</v>
      </c>
      <c r="I29" s="775" t="s">
        <v>1514</v>
      </c>
    </row>
    <row r="30" spans="1:9" ht="11.1" customHeight="1">
      <c r="A30" s="685" t="s">
        <v>1515</v>
      </c>
      <c r="B30" s="775" t="s">
        <v>791</v>
      </c>
      <c r="C30" s="775" t="s">
        <v>791</v>
      </c>
      <c r="D30" s="775" t="s">
        <v>1516</v>
      </c>
      <c r="E30" s="775" t="s">
        <v>1517</v>
      </c>
      <c r="F30" s="775" t="s">
        <v>1277</v>
      </c>
      <c r="G30" s="777"/>
      <c r="H30" s="775" t="s">
        <v>1518</v>
      </c>
      <c r="I30" s="775" t="s">
        <v>1519</v>
      </c>
    </row>
    <row r="31" spans="1:9" ht="11.85" customHeight="1">
      <c r="A31" s="685" t="s">
        <v>1520</v>
      </c>
      <c r="B31" s="775" t="s">
        <v>792</v>
      </c>
      <c r="C31" s="775" t="s">
        <v>793</v>
      </c>
      <c r="D31" s="775" t="s">
        <v>1521</v>
      </c>
      <c r="E31" s="775" t="s">
        <v>1522</v>
      </c>
      <c r="F31" s="775" t="s">
        <v>1523</v>
      </c>
      <c r="G31" s="777"/>
      <c r="H31" s="775" t="s">
        <v>1524</v>
      </c>
      <c r="I31" s="775" t="s">
        <v>1525</v>
      </c>
    </row>
    <row r="32" spans="1:9" ht="11.85" customHeight="1">
      <c r="A32" s="685" t="s">
        <v>1526</v>
      </c>
      <c r="B32" s="775" t="s">
        <v>690</v>
      </c>
      <c r="C32" s="775" t="s">
        <v>690</v>
      </c>
      <c r="D32" s="775" t="s">
        <v>1527</v>
      </c>
      <c r="E32" s="775" t="s">
        <v>690</v>
      </c>
      <c r="F32" s="775" t="s">
        <v>1528</v>
      </c>
      <c r="G32" s="777"/>
      <c r="H32" s="775" t="s">
        <v>690</v>
      </c>
      <c r="I32" s="775" t="s">
        <v>1529</v>
      </c>
    </row>
    <row r="33" spans="1:16" ht="11.85" customHeight="1">
      <c r="A33" s="685" t="s">
        <v>1530</v>
      </c>
      <c r="B33" s="775" t="s">
        <v>794</v>
      </c>
      <c r="C33" s="775" t="s">
        <v>795</v>
      </c>
      <c r="D33" s="775" t="s">
        <v>1531</v>
      </c>
      <c r="E33" s="775" t="s">
        <v>1532</v>
      </c>
      <c r="F33" s="775" t="s">
        <v>1533</v>
      </c>
      <c r="G33" s="777"/>
      <c r="H33" s="775" t="s">
        <v>1534</v>
      </c>
      <c r="I33" s="775" t="s">
        <v>1535</v>
      </c>
    </row>
    <row r="34" spans="1:16" ht="11.1" customHeight="1">
      <c r="A34" s="685" t="s">
        <v>1536</v>
      </c>
      <c r="B34" s="775" t="s">
        <v>690</v>
      </c>
      <c r="C34" s="775" t="s">
        <v>690</v>
      </c>
      <c r="D34" s="775" t="s">
        <v>1537</v>
      </c>
      <c r="E34" s="775" t="s">
        <v>690</v>
      </c>
      <c r="F34" s="775" t="s">
        <v>1538</v>
      </c>
      <c r="G34" s="777"/>
      <c r="H34" s="775" t="s">
        <v>690</v>
      </c>
      <c r="I34" s="775" t="s">
        <v>1539</v>
      </c>
    </row>
    <row r="35" spans="1:16" ht="11.85" customHeight="1">
      <c r="A35" s="685" t="s">
        <v>1540</v>
      </c>
      <c r="B35" s="775" t="s">
        <v>796</v>
      </c>
      <c r="C35" s="775" t="s">
        <v>796</v>
      </c>
      <c r="D35" s="775" t="s">
        <v>1541</v>
      </c>
      <c r="E35" s="775" t="s">
        <v>1542</v>
      </c>
      <c r="F35" s="775" t="s">
        <v>1543</v>
      </c>
      <c r="G35" s="777"/>
      <c r="H35" s="775" t="s">
        <v>1544</v>
      </c>
      <c r="I35" s="775" t="s">
        <v>1545</v>
      </c>
    </row>
    <row r="36" spans="1:16" ht="11.85" customHeight="1">
      <c r="A36" s="685" t="s">
        <v>1546</v>
      </c>
      <c r="B36" s="775" t="s">
        <v>797</v>
      </c>
      <c r="C36" s="775" t="s">
        <v>1291</v>
      </c>
      <c r="D36" s="775" t="s">
        <v>1547</v>
      </c>
      <c r="E36" s="775" t="s">
        <v>1548</v>
      </c>
      <c r="F36" s="775" t="s">
        <v>1292</v>
      </c>
      <c r="G36" s="777"/>
      <c r="H36" s="775" t="s">
        <v>1549</v>
      </c>
      <c r="I36" s="775" t="s">
        <v>1550</v>
      </c>
    </row>
    <row r="37" spans="1:16" ht="11.85" customHeight="1">
      <c r="A37" s="685" t="s">
        <v>1551</v>
      </c>
      <c r="B37" s="775" t="s">
        <v>798</v>
      </c>
      <c r="C37" s="775" t="s">
        <v>798</v>
      </c>
      <c r="D37" s="775" t="s">
        <v>690</v>
      </c>
      <c r="E37" s="775" t="s">
        <v>690</v>
      </c>
      <c r="F37" s="775" t="s">
        <v>690</v>
      </c>
      <c r="G37" s="777"/>
      <c r="H37" s="775" t="s">
        <v>690</v>
      </c>
      <c r="I37" s="775" t="s">
        <v>798</v>
      </c>
    </row>
    <row r="38" spans="1:16" ht="11.1" customHeight="1">
      <c r="A38" s="685" t="s">
        <v>1552</v>
      </c>
      <c r="B38" s="775" t="s">
        <v>798</v>
      </c>
      <c r="C38" s="775" t="s">
        <v>798</v>
      </c>
      <c r="D38" s="775" t="s">
        <v>690</v>
      </c>
      <c r="E38" s="775" t="s">
        <v>690</v>
      </c>
      <c r="F38" s="775" t="s">
        <v>690</v>
      </c>
      <c r="G38" s="777"/>
      <c r="H38" s="775" t="s">
        <v>690</v>
      </c>
      <c r="I38" s="775" t="s">
        <v>798</v>
      </c>
    </row>
    <row r="39" spans="1:16" ht="11.85" customHeight="1">
      <c r="A39" s="685" t="s">
        <v>1553</v>
      </c>
      <c r="B39" s="775" t="s">
        <v>799</v>
      </c>
      <c r="C39" s="775" t="s">
        <v>799</v>
      </c>
      <c r="D39" s="775" t="s">
        <v>1554</v>
      </c>
      <c r="E39" s="775" t="s">
        <v>1555</v>
      </c>
      <c r="F39" s="775" t="s">
        <v>1295</v>
      </c>
      <c r="G39" s="777"/>
      <c r="H39" s="775" t="s">
        <v>1556</v>
      </c>
      <c r="I39" s="775" t="s">
        <v>1557</v>
      </c>
    </row>
    <row r="40" spans="1:16" ht="11.85" customHeight="1">
      <c r="A40" s="685" t="s">
        <v>1558</v>
      </c>
      <c r="B40" s="775" t="s">
        <v>800</v>
      </c>
      <c r="C40" s="775" t="s">
        <v>1301</v>
      </c>
      <c r="D40" s="775" t="s">
        <v>690</v>
      </c>
      <c r="E40" s="775" t="s">
        <v>690</v>
      </c>
      <c r="F40" s="775" t="s">
        <v>1197</v>
      </c>
      <c r="G40" s="777"/>
      <c r="H40" s="775" t="s">
        <v>1559</v>
      </c>
      <c r="I40" s="775" t="s">
        <v>1560</v>
      </c>
    </row>
    <row r="41" spans="1:16" ht="11.85" customHeight="1">
      <c r="A41" s="685" t="s">
        <v>1497</v>
      </c>
      <c r="B41" s="775" t="s">
        <v>800</v>
      </c>
      <c r="C41" s="775" t="s">
        <v>1561</v>
      </c>
      <c r="D41" s="775" t="s">
        <v>690</v>
      </c>
      <c r="E41" s="775" t="s">
        <v>690</v>
      </c>
      <c r="F41" s="775" t="s">
        <v>1198</v>
      </c>
      <c r="G41" s="777"/>
      <c r="H41" s="775" t="s">
        <v>1562</v>
      </c>
      <c r="I41" s="775" t="s">
        <v>1563</v>
      </c>
    </row>
    <row r="42" spans="1:16" ht="11.1" customHeight="1">
      <c r="A42" s="685" t="s">
        <v>1503</v>
      </c>
      <c r="B42" s="775" t="s">
        <v>690</v>
      </c>
      <c r="C42" s="775" t="s">
        <v>801</v>
      </c>
      <c r="D42" s="775" t="s">
        <v>690</v>
      </c>
      <c r="E42" s="775" t="s">
        <v>690</v>
      </c>
      <c r="F42" s="775" t="s">
        <v>1199</v>
      </c>
      <c r="G42" s="777"/>
      <c r="H42" s="775" t="s">
        <v>1200</v>
      </c>
      <c r="I42" s="775" t="s">
        <v>1201</v>
      </c>
    </row>
    <row r="43" spans="1:16" ht="11.85" customHeight="1">
      <c r="A43" s="685" t="s">
        <v>1564</v>
      </c>
      <c r="B43" s="775" t="s">
        <v>802</v>
      </c>
      <c r="C43" s="775" t="s">
        <v>1306</v>
      </c>
      <c r="D43" s="775" t="s">
        <v>1565</v>
      </c>
      <c r="E43" s="775" t="s">
        <v>1566</v>
      </c>
      <c r="F43" s="775" t="s">
        <v>1307</v>
      </c>
      <c r="G43" s="777"/>
      <c r="H43" s="775" t="s">
        <v>1567</v>
      </c>
      <c r="I43" s="775" t="s">
        <v>1568</v>
      </c>
    </row>
    <row r="44" spans="1:16" ht="11.85" customHeight="1">
      <c r="A44" s="685" t="s">
        <v>1569</v>
      </c>
      <c r="B44" s="775" t="s">
        <v>802</v>
      </c>
      <c r="C44" s="775" t="s">
        <v>1306</v>
      </c>
      <c r="D44" s="775" t="s">
        <v>1565</v>
      </c>
      <c r="E44" s="775" t="s">
        <v>1566</v>
      </c>
      <c r="F44" s="775" t="s">
        <v>1307</v>
      </c>
      <c r="G44" s="777"/>
      <c r="H44" s="775" t="s">
        <v>1567</v>
      </c>
      <c r="I44" s="775" t="s">
        <v>1568</v>
      </c>
    </row>
    <row r="45" spans="1:16" ht="11.85" customHeight="1">
      <c r="A45" s="685" t="s">
        <v>803</v>
      </c>
      <c r="B45" s="775" t="s">
        <v>804</v>
      </c>
      <c r="C45" s="775" t="s">
        <v>1202</v>
      </c>
      <c r="D45" s="775" t="s">
        <v>1570</v>
      </c>
      <c r="E45" s="775" t="s">
        <v>1571</v>
      </c>
      <c r="F45" s="775" t="s">
        <v>1572</v>
      </c>
      <c r="G45" s="777"/>
      <c r="H45" s="775" t="s">
        <v>1573</v>
      </c>
      <c r="I45" s="775" t="s">
        <v>1574</v>
      </c>
    </row>
    <row r="46" spans="1:16" ht="11.1" customHeight="1">
      <c r="A46" s="685" t="s">
        <v>805</v>
      </c>
      <c r="B46" s="775" t="s">
        <v>806</v>
      </c>
      <c r="C46" s="775" t="s">
        <v>1575</v>
      </c>
      <c r="D46" s="775" t="s">
        <v>1576</v>
      </c>
      <c r="E46" s="775" t="s">
        <v>1577</v>
      </c>
      <c r="F46" s="775" t="s">
        <v>1578</v>
      </c>
      <c r="G46" s="777"/>
      <c r="H46" s="775" t="s">
        <v>1579</v>
      </c>
      <c r="I46" s="775" t="s">
        <v>1580</v>
      </c>
    </row>
    <row r="47" spans="1:16" ht="11.85" customHeight="1">
      <c r="A47" s="762" t="s">
        <v>1581</v>
      </c>
      <c r="B47" s="762"/>
      <c r="C47" s="762"/>
      <c r="D47" s="762"/>
      <c r="E47" s="762"/>
      <c r="F47" s="762"/>
      <c r="G47" s="762"/>
      <c r="H47" s="762"/>
      <c r="I47" s="762"/>
      <c r="N47" s="762"/>
      <c r="O47" s="762"/>
      <c r="P47" s="762"/>
    </row>
    <row r="48" spans="1:16" ht="5.85" customHeight="1"/>
    <row r="49" spans="1:16" ht="11.85" customHeight="1">
      <c r="A49" s="789" t="s">
        <v>758</v>
      </c>
      <c r="B49" s="789"/>
      <c r="M49" s="682" t="s">
        <v>807</v>
      </c>
    </row>
    <row r="50" spans="1:16" ht="11.1" customHeight="1">
      <c r="A50" s="789" t="s">
        <v>678</v>
      </c>
      <c r="B50" s="789"/>
    </row>
    <row r="51" spans="1:16" ht="11.85" customHeight="1">
      <c r="A51" s="795" t="s">
        <v>760</v>
      </c>
      <c r="B51" s="795"/>
    </row>
    <row r="52" spans="1:16" ht="11.85" customHeight="1">
      <c r="A52" s="789" t="s">
        <v>761</v>
      </c>
      <c r="B52" s="789"/>
    </row>
    <row r="53" spans="1:16" ht="11.85" customHeight="1">
      <c r="A53" s="789" t="s">
        <v>1236</v>
      </c>
      <c r="B53" s="789"/>
    </row>
    <row r="54" spans="1:16" ht="5.85" customHeight="1"/>
    <row r="55" spans="1:16" ht="11.1" customHeight="1">
      <c r="A55" s="794" t="s">
        <v>762</v>
      </c>
      <c r="B55" s="794"/>
      <c r="C55" s="794"/>
      <c r="D55" s="794"/>
      <c r="E55" s="794"/>
      <c r="F55" s="794"/>
      <c r="G55" s="482"/>
      <c r="H55" s="482"/>
      <c r="I55" s="482"/>
      <c r="L55" s="781" t="s">
        <v>754</v>
      </c>
      <c r="O55" s="781"/>
      <c r="P55" s="781"/>
    </row>
    <row r="56" spans="1:16" ht="11.85" customHeight="1">
      <c r="A56" s="763" t="s">
        <v>685</v>
      </c>
      <c r="B56" s="765" t="s">
        <v>763</v>
      </c>
      <c r="C56" s="765" t="s">
        <v>764</v>
      </c>
      <c r="D56" s="770" t="s">
        <v>765</v>
      </c>
      <c r="E56" s="771"/>
      <c r="F56" s="771"/>
      <c r="G56" s="771"/>
      <c r="H56" s="771"/>
      <c r="I56" s="765" t="s">
        <v>766</v>
      </c>
      <c r="M56" s="483"/>
    </row>
    <row r="57" spans="1:16" ht="17.850000000000001" customHeight="1">
      <c r="A57" s="764"/>
      <c r="B57" s="767"/>
      <c r="C57" s="769"/>
      <c r="D57" s="765" t="s">
        <v>767</v>
      </c>
      <c r="E57" s="765" t="s">
        <v>768</v>
      </c>
      <c r="F57" s="765" t="s">
        <v>769</v>
      </c>
      <c r="G57" s="785"/>
      <c r="H57" s="765" t="s">
        <v>770</v>
      </c>
      <c r="I57" s="769"/>
      <c r="M57" s="483"/>
    </row>
    <row r="58" spans="1:16" ht="11.1" customHeight="1">
      <c r="A58" s="683" t="s">
        <v>808</v>
      </c>
      <c r="B58" s="786" t="s">
        <v>806</v>
      </c>
      <c r="C58" s="786" t="s">
        <v>1575</v>
      </c>
      <c r="D58" s="786" t="s">
        <v>1576</v>
      </c>
      <c r="E58" s="786" t="s">
        <v>1582</v>
      </c>
      <c r="F58" s="786" t="s">
        <v>1578</v>
      </c>
      <c r="G58" s="787"/>
      <c r="H58" s="786" t="s">
        <v>1583</v>
      </c>
      <c r="I58" s="786" t="s">
        <v>1580</v>
      </c>
      <c r="M58" s="483"/>
    </row>
    <row r="59" spans="1:16" ht="11.85" customHeight="1">
      <c r="A59" s="685" t="s">
        <v>810</v>
      </c>
      <c r="B59" s="775" t="s">
        <v>690</v>
      </c>
      <c r="C59" s="775" t="s">
        <v>690</v>
      </c>
      <c r="D59" s="775" t="s">
        <v>690</v>
      </c>
      <c r="E59" s="775" t="s">
        <v>690</v>
      </c>
      <c r="F59" s="775" t="s">
        <v>690</v>
      </c>
      <c r="G59" s="777"/>
      <c r="H59" s="775" t="s">
        <v>690</v>
      </c>
      <c r="I59" s="775" t="s">
        <v>690</v>
      </c>
      <c r="M59" s="483"/>
    </row>
    <row r="60" spans="1:16" ht="11.85" customHeight="1">
      <c r="A60" s="685" t="s">
        <v>811</v>
      </c>
      <c r="B60" s="775" t="s">
        <v>806</v>
      </c>
      <c r="C60" s="775" t="s">
        <v>1575</v>
      </c>
      <c r="D60" s="775" t="s">
        <v>1576</v>
      </c>
      <c r="E60" s="775" t="s">
        <v>1582</v>
      </c>
      <c r="F60" s="775" t="s">
        <v>1578</v>
      </c>
      <c r="G60" s="777"/>
      <c r="H60" s="775" t="s">
        <v>1583</v>
      </c>
      <c r="I60" s="775" t="s">
        <v>690</v>
      </c>
      <c r="M60" s="483"/>
    </row>
    <row r="61" spans="1:16" ht="11.85" customHeight="1">
      <c r="A61" s="685" t="s">
        <v>812</v>
      </c>
      <c r="B61" s="775" t="s">
        <v>690</v>
      </c>
      <c r="C61" s="775" t="s">
        <v>1388</v>
      </c>
      <c r="D61" s="775" t="s">
        <v>690</v>
      </c>
      <c r="E61" s="775" t="s">
        <v>690</v>
      </c>
      <c r="F61" s="775" t="s">
        <v>1388</v>
      </c>
      <c r="G61" s="777"/>
      <c r="H61" s="775" t="s">
        <v>690</v>
      </c>
      <c r="I61" s="775" t="s">
        <v>690</v>
      </c>
      <c r="M61" s="483"/>
    </row>
    <row r="62" spans="1:16" ht="11.1" customHeight="1">
      <c r="A62" s="685" t="s">
        <v>1389</v>
      </c>
      <c r="B62" s="775" t="s">
        <v>690</v>
      </c>
      <c r="C62" s="775" t="s">
        <v>690</v>
      </c>
      <c r="D62" s="775" t="s">
        <v>690</v>
      </c>
      <c r="E62" s="775" t="s">
        <v>690</v>
      </c>
      <c r="F62" s="775" t="s">
        <v>690</v>
      </c>
      <c r="G62" s="777"/>
      <c r="H62" s="775" t="s">
        <v>690</v>
      </c>
      <c r="I62" s="775" t="s">
        <v>690</v>
      </c>
      <c r="M62" s="483"/>
    </row>
    <row r="63" spans="1:16" ht="11.85" customHeight="1">
      <c r="A63" s="705" t="s">
        <v>1584</v>
      </c>
      <c r="B63" s="758" t="s">
        <v>690</v>
      </c>
      <c r="C63" s="758" t="s">
        <v>1388</v>
      </c>
      <c r="D63" s="758" t="s">
        <v>690</v>
      </c>
      <c r="E63" s="758" t="s">
        <v>690</v>
      </c>
      <c r="F63" s="758" t="s">
        <v>1388</v>
      </c>
      <c r="G63" s="759"/>
      <c r="H63" s="758" t="s">
        <v>690</v>
      </c>
      <c r="I63" s="758" t="s">
        <v>690</v>
      </c>
      <c r="M63" s="483"/>
    </row>
    <row r="64" spans="1:16" ht="5.85" customHeight="1">
      <c r="A64" s="484"/>
      <c r="B64" s="484"/>
      <c r="C64" s="484"/>
      <c r="D64" s="484"/>
      <c r="E64" s="484"/>
      <c r="F64" s="484"/>
      <c r="G64" s="484"/>
      <c r="I64" s="484"/>
      <c r="M64" s="482"/>
    </row>
    <row r="65" spans="1:13" ht="11.85" customHeight="1">
      <c r="A65" s="904" t="s">
        <v>692</v>
      </c>
      <c r="B65" s="903" t="s">
        <v>813</v>
      </c>
      <c r="C65" s="903" t="s">
        <v>814</v>
      </c>
      <c r="D65" s="905" t="s">
        <v>815</v>
      </c>
      <c r="E65" s="872"/>
      <c r="F65" s="902" t="s">
        <v>816</v>
      </c>
      <c r="G65" s="771"/>
      <c r="H65" s="905" t="s">
        <v>817</v>
      </c>
      <c r="I65" s="872"/>
      <c r="J65" s="903" t="s">
        <v>818</v>
      </c>
      <c r="K65" s="771"/>
      <c r="L65" s="903" t="s">
        <v>819</v>
      </c>
      <c r="M65" s="902" t="s">
        <v>820</v>
      </c>
    </row>
    <row r="66" spans="1:13" ht="17.100000000000001" customHeight="1">
      <c r="A66" s="868"/>
      <c r="B66" s="870"/>
      <c r="C66" s="870"/>
      <c r="D66" s="765" t="s">
        <v>821</v>
      </c>
      <c r="E66" s="765" t="s">
        <v>822</v>
      </c>
      <c r="F66" s="869"/>
      <c r="G66" s="784"/>
      <c r="H66" s="765" t="s">
        <v>821</v>
      </c>
      <c r="I66" s="765" t="s">
        <v>823</v>
      </c>
      <c r="J66" s="870"/>
      <c r="K66" s="785"/>
      <c r="L66" s="870"/>
      <c r="M66" s="869"/>
    </row>
    <row r="67" spans="1:13" ht="11.85" customHeight="1">
      <c r="A67" s="683" t="s">
        <v>824</v>
      </c>
      <c r="B67" s="796" t="s">
        <v>825</v>
      </c>
      <c r="C67" s="796" t="s">
        <v>1585</v>
      </c>
      <c r="D67" s="796" t="s">
        <v>1586</v>
      </c>
      <c r="E67" s="796" t="s">
        <v>1587</v>
      </c>
      <c r="F67" s="796" t="s">
        <v>1588</v>
      </c>
      <c r="G67" s="802"/>
      <c r="H67" s="796" t="s">
        <v>1589</v>
      </c>
      <c r="I67" s="796" t="s">
        <v>1590</v>
      </c>
      <c r="J67" s="796" t="s">
        <v>1591</v>
      </c>
      <c r="K67" s="797"/>
      <c r="L67" s="796" t="s">
        <v>1592</v>
      </c>
      <c r="M67" s="796" t="s">
        <v>690</v>
      </c>
    </row>
    <row r="68" spans="1:13" ht="11.85" customHeight="1">
      <c r="A68" s="685" t="s">
        <v>1593</v>
      </c>
      <c r="B68" s="773" t="s">
        <v>826</v>
      </c>
      <c r="C68" s="773" t="s">
        <v>1314</v>
      </c>
      <c r="D68" s="773" t="s">
        <v>1594</v>
      </c>
      <c r="E68" s="773" t="s">
        <v>1315</v>
      </c>
      <c r="F68" s="773" t="s">
        <v>1595</v>
      </c>
      <c r="G68" s="793"/>
      <c r="H68" s="773" t="s">
        <v>1596</v>
      </c>
      <c r="I68" s="773" t="s">
        <v>1316</v>
      </c>
      <c r="J68" s="773" t="s">
        <v>1597</v>
      </c>
      <c r="K68" s="774"/>
      <c r="L68" s="773" t="s">
        <v>1317</v>
      </c>
      <c r="M68" s="773" t="s">
        <v>690</v>
      </c>
    </row>
    <row r="69" spans="1:13" ht="11.85" customHeight="1">
      <c r="A69" s="685" t="s">
        <v>1598</v>
      </c>
      <c r="B69" s="773" t="s">
        <v>827</v>
      </c>
      <c r="C69" s="773" t="s">
        <v>1322</v>
      </c>
      <c r="D69" s="773" t="s">
        <v>1599</v>
      </c>
      <c r="E69" s="773" t="s">
        <v>1323</v>
      </c>
      <c r="F69" s="773" t="s">
        <v>1600</v>
      </c>
      <c r="G69" s="793"/>
      <c r="H69" s="773" t="s">
        <v>1601</v>
      </c>
      <c r="I69" s="773" t="s">
        <v>1324</v>
      </c>
      <c r="J69" s="773" t="s">
        <v>1602</v>
      </c>
      <c r="K69" s="774"/>
      <c r="L69" s="773" t="s">
        <v>1325</v>
      </c>
      <c r="M69" s="773" t="s">
        <v>690</v>
      </c>
    </row>
    <row r="70" spans="1:13" ht="11.1" customHeight="1">
      <c r="A70" s="685" t="s">
        <v>1603</v>
      </c>
      <c r="B70" s="773" t="s">
        <v>828</v>
      </c>
      <c r="C70" s="773" t="s">
        <v>1327</v>
      </c>
      <c r="D70" s="773" t="s">
        <v>690</v>
      </c>
      <c r="E70" s="773" t="s">
        <v>829</v>
      </c>
      <c r="F70" s="773" t="s">
        <v>1604</v>
      </c>
      <c r="G70" s="793"/>
      <c r="H70" s="773" t="s">
        <v>690</v>
      </c>
      <c r="I70" s="773" t="s">
        <v>829</v>
      </c>
      <c r="J70" s="773" t="s">
        <v>1604</v>
      </c>
      <c r="K70" s="774"/>
      <c r="L70" s="773" t="s">
        <v>829</v>
      </c>
      <c r="M70" s="773" t="s">
        <v>690</v>
      </c>
    </row>
    <row r="71" spans="1:13" ht="11.85" customHeight="1">
      <c r="A71" s="685" t="s">
        <v>1605</v>
      </c>
      <c r="B71" s="773" t="s">
        <v>830</v>
      </c>
      <c r="C71" s="773" t="s">
        <v>1329</v>
      </c>
      <c r="D71" s="773" t="s">
        <v>1606</v>
      </c>
      <c r="E71" s="773" t="s">
        <v>1330</v>
      </c>
      <c r="F71" s="773" t="s">
        <v>1607</v>
      </c>
      <c r="G71" s="793"/>
      <c r="H71" s="773" t="s">
        <v>1608</v>
      </c>
      <c r="I71" s="773" t="s">
        <v>1331</v>
      </c>
      <c r="J71" s="773" t="s">
        <v>1609</v>
      </c>
      <c r="K71" s="774"/>
      <c r="L71" s="773" t="s">
        <v>1332</v>
      </c>
      <c r="M71" s="773" t="s">
        <v>690</v>
      </c>
    </row>
    <row r="72" spans="1:13" ht="11.85" customHeight="1">
      <c r="A72" s="685" t="s">
        <v>1610</v>
      </c>
      <c r="B72" s="773" t="s">
        <v>831</v>
      </c>
      <c r="C72" s="773" t="s">
        <v>1338</v>
      </c>
      <c r="D72" s="773" t="s">
        <v>1611</v>
      </c>
      <c r="E72" s="773" t="s">
        <v>1339</v>
      </c>
      <c r="F72" s="773" t="s">
        <v>1612</v>
      </c>
      <c r="G72" s="793"/>
      <c r="H72" s="773" t="s">
        <v>1613</v>
      </c>
      <c r="I72" s="773" t="s">
        <v>1340</v>
      </c>
      <c r="J72" s="773" t="s">
        <v>1614</v>
      </c>
      <c r="K72" s="774"/>
      <c r="L72" s="773" t="s">
        <v>1341</v>
      </c>
      <c r="M72" s="773" t="s">
        <v>690</v>
      </c>
    </row>
    <row r="73" spans="1:13" ht="11.85" customHeight="1">
      <c r="A73" s="685" t="s">
        <v>1615</v>
      </c>
      <c r="B73" s="773" t="s">
        <v>832</v>
      </c>
      <c r="C73" s="773" t="s">
        <v>1345</v>
      </c>
      <c r="D73" s="773" t="s">
        <v>1616</v>
      </c>
      <c r="E73" s="773" t="s">
        <v>1346</v>
      </c>
      <c r="F73" s="773" t="s">
        <v>1617</v>
      </c>
      <c r="G73" s="793"/>
      <c r="H73" s="773" t="s">
        <v>1613</v>
      </c>
      <c r="I73" s="773" t="s">
        <v>1340</v>
      </c>
      <c r="J73" s="773" t="s">
        <v>1618</v>
      </c>
      <c r="K73" s="774"/>
      <c r="L73" s="773" t="s">
        <v>1341</v>
      </c>
      <c r="M73" s="773" t="s">
        <v>690</v>
      </c>
    </row>
    <row r="74" spans="1:13" ht="11.1" customHeight="1">
      <c r="A74" s="685" t="s">
        <v>1619</v>
      </c>
      <c r="B74" s="773">
        <v>283</v>
      </c>
      <c r="C74" s="773" t="s">
        <v>1350</v>
      </c>
      <c r="D74" s="773" t="s">
        <v>1351</v>
      </c>
      <c r="E74" s="773" t="s">
        <v>1351</v>
      </c>
      <c r="F74" s="773">
        <v>283</v>
      </c>
      <c r="G74" s="793"/>
      <c r="H74" s="773" t="s">
        <v>690</v>
      </c>
      <c r="I74" s="773" t="s">
        <v>690</v>
      </c>
      <c r="J74" s="773" t="s">
        <v>1350</v>
      </c>
      <c r="K74" s="774"/>
      <c r="L74" s="773" t="s">
        <v>690</v>
      </c>
      <c r="M74" s="773" t="s">
        <v>690</v>
      </c>
    </row>
    <row r="75" spans="1:13" ht="11.85" customHeight="1">
      <c r="A75" s="685" t="s">
        <v>1620</v>
      </c>
      <c r="B75" s="773" t="s">
        <v>833</v>
      </c>
      <c r="C75" s="773" t="s">
        <v>834</v>
      </c>
      <c r="D75" s="773" t="s">
        <v>690</v>
      </c>
      <c r="E75" s="773" t="s">
        <v>690</v>
      </c>
      <c r="F75" s="773" t="s">
        <v>834</v>
      </c>
      <c r="G75" s="793"/>
      <c r="H75" s="773" t="s">
        <v>690</v>
      </c>
      <c r="I75" s="773" t="s">
        <v>690</v>
      </c>
      <c r="J75" s="773" t="s">
        <v>834</v>
      </c>
      <c r="K75" s="774"/>
      <c r="L75" s="773" t="s">
        <v>690</v>
      </c>
      <c r="M75" s="773" t="s">
        <v>690</v>
      </c>
    </row>
    <row r="76" spans="1:13" ht="11.85" customHeight="1">
      <c r="A76" s="685" t="s">
        <v>835</v>
      </c>
      <c r="B76" s="773">
        <v>709.85</v>
      </c>
      <c r="C76" s="773">
        <v>709.85</v>
      </c>
      <c r="D76" s="773" t="s">
        <v>690</v>
      </c>
      <c r="E76" s="773" t="s">
        <v>690</v>
      </c>
      <c r="F76" s="773">
        <v>709.85</v>
      </c>
      <c r="G76" s="793"/>
      <c r="H76" s="773" t="s">
        <v>690</v>
      </c>
      <c r="I76" s="773" t="s">
        <v>690</v>
      </c>
      <c r="J76" s="773">
        <v>709.85</v>
      </c>
      <c r="K76" s="774"/>
      <c r="L76" s="773" t="s">
        <v>690</v>
      </c>
      <c r="M76" s="773" t="s">
        <v>690</v>
      </c>
    </row>
    <row r="77" spans="1:13" ht="11.85" customHeight="1">
      <c r="A77" s="705" t="s">
        <v>836</v>
      </c>
      <c r="B77" s="778" t="s">
        <v>837</v>
      </c>
      <c r="C77" s="778" t="s">
        <v>1621</v>
      </c>
      <c r="D77" s="778" t="s">
        <v>1622</v>
      </c>
      <c r="E77" s="778" t="s">
        <v>1623</v>
      </c>
      <c r="F77" s="778" t="s">
        <v>1624</v>
      </c>
      <c r="G77" s="801"/>
      <c r="H77" s="778" t="s">
        <v>1625</v>
      </c>
      <c r="I77" s="778" t="s">
        <v>1626</v>
      </c>
      <c r="J77" s="778" t="s">
        <v>1627</v>
      </c>
      <c r="K77" s="779"/>
      <c r="L77" s="778" t="s">
        <v>1628</v>
      </c>
      <c r="M77" s="778" t="s">
        <v>690</v>
      </c>
    </row>
    <row r="78" spans="1:13" ht="11.1" customHeight="1">
      <c r="A78" s="617" t="s">
        <v>838</v>
      </c>
      <c r="B78" s="798" t="s">
        <v>839</v>
      </c>
      <c r="C78" s="798" t="s">
        <v>1629</v>
      </c>
      <c r="D78" s="798" t="s">
        <v>1630</v>
      </c>
      <c r="E78" s="798" t="s">
        <v>1631</v>
      </c>
      <c r="F78" s="798" t="s">
        <v>1632</v>
      </c>
      <c r="G78" s="800"/>
      <c r="H78" s="798" t="s">
        <v>1633</v>
      </c>
      <c r="I78" s="798" t="s">
        <v>1634</v>
      </c>
      <c r="J78" s="798" t="s">
        <v>1635</v>
      </c>
      <c r="K78" s="799"/>
      <c r="L78" s="798" t="s">
        <v>1636</v>
      </c>
      <c r="M78" s="798" t="s">
        <v>690</v>
      </c>
    </row>
    <row r="79" spans="1:13" ht="11.85" customHeight="1">
      <c r="A79" s="683" t="s">
        <v>840</v>
      </c>
      <c r="B79" s="796" t="s">
        <v>690</v>
      </c>
      <c r="C79" s="796" t="s">
        <v>690</v>
      </c>
      <c r="D79" s="796" t="s">
        <v>690</v>
      </c>
      <c r="E79" s="796" t="s">
        <v>690</v>
      </c>
      <c r="F79" s="796" t="s">
        <v>690</v>
      </c>
      <c r="G79" s="802"/>
      <c r="H79" s="796" t="s">
        <v>690</v>
      </c>
      <c r="I79" s="796" t="s">
        <v>690</v>
      </c>
      <c r="J79" s="796" t="s">
        <v>690</v>
      </c>
      <c r="K79" s="797"/>
      <c r="L79" s="796" t="s">
        <v>690</v>
      </c>
      <c r="M79" s="796" t="s">
        <v>690</v>
      </c>
    </row>
    <row r="80" spans="1:13" ht="11.85" customHeight="1">
      <c r="A80" s="685" t="s">
        <v>1637</v>
      </c>
      <c r="B80" s="773" t="s">
        <v>690</v>
      </c>
      <c r="C80" s="773" t="s">
        <v>690</v>
      </c>
      <c r="D80" s="773" t="s">
        <v>690</v>
      </c>
      <c r="E80" s="773" t="s">
        <v>690</v>
      </c>
      <c r="F80" s="773" t="s">
        <v>690</v>
      </c>
      <c r="G80" s="793"/>
      <c r="H80" s="773" t="s">
        <v>690</v>
      </c>
      <c r="I80" s="773" t="s">
        <v>690</v>
      </c>
      <c r="J80" s="773" t="s">
        <v>690</v>
      </c>
      <c r="K80" s="774"/>
      <c r="L80" s="773" t="s">
        <v>690</v>
      </c>
      <c r="M80" s="773" t="s">
        <v>690</v>
      </c>
    </row>
    <row r="81" spans="1:16" ht="11.85" customHeight="1">
      <c r="A81" s="705" t="s">
        <v>1638</v>
      </c>
      <c r="B81" s="778" t="s">
        <v>690</v>
      </c>
      <c r="C81" s="778" t="s">
        <v>690</v>
      </c>
      <c r="D81" s="778" t="s">
        <v>690</v>
      </c>
      <c r="E81" s="778" t="s">
        <v>690</v>
      </c>
      <c r="F81" s="778" t="s">
        <v>690</v>
      </c>
      <c r="G81" s="801"/>
      <c r="H81" s="778" t="s">
        <v>690</v>
      </c>
      <c r="I81" s="778" t="s">
        <v>690</v>
      </c>
      <c r="J81" s="778" t="s">
        <v>690</v>
      </c>
      <c r="K81" s="779"/>
      <c r="L81" s="778" t="s">
        <v>690</v>
      </c>
      <c r="M81" s="778" t="s">
        <v>690</v>
      </c>
    </row>
    <row r="82" spans="1:16" ht="11.1" customHeight="1">
      <c r="A82" s="617" t="s">
        <v>841</v>
      </c>
      <c r="B82" s="798" t="s">
        <v>839</v>
      </c>
      <c r="C82" s="798" t="s">
        <v>1629</v>
      </c>
      <c r="D82" s="798" t="s">
        <v>1630</v>
      </c>
      <c r="E82" s="798" t="s">
        <v>1631</v>
      </c>
      <c r="F82" s="798" t="s">
        <v>1632</v>
      </c>
      <c r="G82" s="800"/>
      <c r="H82" s="798" t="s">
        <v>1633</v>
      </c>
      <c r="I82" s="798" t="s">
        <v>1634</v>
      </c>
      <c r="J82" s="798" t="s">
        <v>1635</v>
      </c>
      <c r="K82" s="799"/>
      <c r="L82" s="798" t="s">
        <v>1636</v>
      </c>
      <c r="M82" s="798" t="s">
        <v>690</v>
      </c>
    </row>
    <row r="83" spans="1:16" ht="11.85" customHeight="1">
      <c r="A83" s="617" t="s">
        <v>842</v>
      </c>
      <c r="B83" s="798" t="s">
        <v>690</v>
      </c>
      <c r="C83" s="798" t="s">
        <v>690</v>
      </c>
      <c r="D83" s="798" t="s">
        <v>690</v>
      </c>
      <c r="E83" s="798" t="s">
        <v>690</v>
      </c>
      <c r="F83" s="798" t="s">
        <v>690</v>
      </c>
      <c r="G83" s="800"/>
      <c r="H83" s="798" t="s">
        <v>690</v>
      </c>
      <c r="I83" s="798" t="s">
        <v>1639</v>
      </c>
      <c r="J83" s="798" t="s">
        <v>690</v>
      </c>
      <c r="K83" s="799"/>
      <c r="L83" s="798" t="s">
        <v>1640</v>
      </c>
      <c r="M83" s="798" t="s">
        <v>690</v>
      </c>
    </row>
    <row r="84" spans="1:16" ht="11.85" customHeight="1">
      <c r="A84" s="618" t="s">
        <v>843</v>
      </c>
      <c r="B84" s="790" t="s">
        <v>839</v>
      </c>
      <c r="C84" s="790" t="s">
        <v>1629</v>
      </c>
      <c r="D84" s="790" t="s">
        <v>1630</v>
      </c>
      <c r="E84" s="790" t="s">
        <v>1631</v>
      </c>
      <c r="F84" s="790" t="s">
        <v>690</v>
      </c>
      <c r="G84" s="792"/>
      <c r="H84" s="790" t="s">
        <v>1633</v>
      </c>
      <c r="I84" s="790" t="s">
        <v>1578</v>
      </c>
      <c r="J84" s="790" t="s">
        <v>1635</v>
      </c>
      <c r="K84" s="791"/>
      <c r="L84" s="790" t="s">
        <v>1578</v>
      </c>
      <c r="M84" s="790" t="s">
        <v>690</v>
      </c>
    </row>
    <row r="85" spans="1:16" ht="11.85" customHeight="1">
      <c r="A85" s="619" t="s">
        <v>844</v>
      </c>
      <c r="B85" s="798" t="s">
        <v>845</v>
      </c>
      <c r="C85" s="798" t="s">
        <v>1204</v>
      </c>
      <c r="D85" s="798" t="s">
        <v>690</v>
      </c>
      <c r="E85" s="798" t="s">
        <v>690</v>
      </c>
      <c r="F85" s="798" t="s">
        <v>1204</v>
      </c>
      <c r="G85" s="800"/>
      <c r="H85" s="798" t="s">
        <v>690</v>
      </c>
      <c r="I85" s="798" t="s">
        <v>690</v>
      </c>
      <c r="J85" s="798" t="s">
        <v>1204</v>
      </c>
      <c r="K85" s="799"/>
      <c r="L85" s="798" t="s">
        <v>690</v>
      </c>
      <c r="M85" s="798" t="s">
        <v>690</v>
      </c>
    </row>
    <row r="86" spans="1:16" ht="5.85" customHeight="1">
      <c r="A86" s="484"/>
      <c r="B86" s="484"/>
      <c r="C86" s="484"/>
      <c r="D86" s="484"/>
      <c r="E86" s="484"/>
      <c r="F86" s="484"/>
      <c r="G86" s="484"/>
      <c r="H86" s="484"/>
      <c r="I86" s="484"/>
      <c r="J86" s="484"/>
      <c r="K86" s="484"/>
      <c r="L86" s="485"/>
      <c r="M86" s="485"/>
    </row>
    <row r="87" spans="1:16" ht="11.1" customHeight="1">
      <c r="A87" s="763" t="s">
        <v>846</v>
      </c>
      <c r="B87" s="765" t="s">
        <v>763</v>
      </c>
      <c r="C87" s="765" t="s">
        <v>764</v>
      </c>
      <c r="D87" s="770" t="s">
        <v>765</v>
      </c>
      <c r="E87" s="771"/>
      <c r="F87" s="771"/>
      <c r="G87" s="771"/>
      <c r="H87" s="771"/>
      <c r="I87" s="765" t="s">
        <v>766</v>
      </c>
      <c r="J87" s="782"/>
      <c r="K87" s="766"/>
      <c r="L87" s="483"/>
    </row>
    <row r="88" spans="1:16" ht="17.850000000000001" customHeight="1">
      <c r="A88" s="764"/>
      <c r="B88" s="767"/>
      <c r="C88" s="769"/>
      <c r="D88" s="765" t="s">
        <v>767</v>
      </c>
      <c r="E88" s="765" t="s">
        <v>768</v>
      </c>
      <c r="F88" s="765" t="s">
        <v>769</v>
      </c>
      <c r="G88" s="784"/>
      <c r="H88" s="765" t="s">
        <v>770</v>
      </c>
      <c r="I88" s="767"/>
      <c r="J88" s="783"/>
      <c r="K88" s="768"/>
      <c r="L88" s="483"/>
    </row>
    <row r="89" spans="1:16" ht="11.85" customHeight="1">
      <c r="A89" s="683" t="s">
        <v>803</v>
      </c>
      <c r="B89" s="786" t="s">
        <v>804</v>
      </c>
      <c r="C89" s="786" t="s">
        <v>1202</v>
      </c>
      <c r="D89" s="786" t="s">
        <v>1570</v>
      </c>
      <c r="E89" s="786" t="s">
        <v>1571</v>
      </c>
      <c r="F89" s="786" t="s">
        <v>1572</v>
      </c>
      <c r="G89" s="788"/>
      <c r="H89" s="786" t="s">
        <v>1573</v>
      </c>
      <c r="I89" s="786" t="s">
        <v>1574</v>
      </c>
      <c r="J89" s="788"/>
      <c r="K89" s="787"/>
      <c r="L89" s="483"/>
    </row>
    <row r="90" spans="1:16" ht="11.1" customHeight="1">
      <c r="A90" s="685" t="s">
        <v>1408</v>
      </c>
      <c r="B90" s="775" t="s">
        <v>804</v>
      </c>
      <c r="C90" s="775" t="s">
        <v>1202</v>
      </c>
      <c r="D90" s="775" t="s">
        <v>1570</v>
      </c>
      <c r="E90" s="775" t="s">
        <v>1571</v>
      </c>
      <c r="F90" s="775" t="s">
        <v>1572</v>
      </c>
      <c r="G90" s="776"/>
      <c r="H90" s="775" t="s">
        <v>1573</v>
      </c>
      <c r="I90" s="775" t="s">
        <v>1574</v>
      </c>
      <c r="J90" s="776"/>
      <c r="K90" s="777"/>
      <c r="L90" s="483"/>
    </row>
    <row r="91" spans="1:16" ht="11.85" customHeight="1">
      <c r="A91" s="685" t="s">
        <v>1434</v>
      </c>
      <c r="B91" s="775" t="s">
        <v>847</v>
      </c>
      <c r="C91" s="775" t="s">
        <v>847</v>
      </c>
      <c r="D91" s="775" t="s">
        <v>1641</v>
      </c>
      <c r="E91" s="775" t="s">
        <v>1642</v>
      </c>
      <c r="F91" s="775" t="s">
        <v>1643</v>
      </c>
      <c r="G91" s="776"/>
      <c r="H91" s="775" t="s">
        <v>1644</v>
      </c>
      <c r="I91" s="775" t="s">
        <v>1645</v>
      </c>
      <c r="J91" s="776"/>
      <c r="K91" s="777"/>
      <c r="L91" s="483"/>
    </row>
    <row r="92" spans="1:16" ht="11.85" customHeight="1">
      <c r="A92" s="685" t="s">
        <v>1439</v>
      </c>
      <c r="B92" s="775" t="s">
        <v>847</v>
      </c>
      <c r="C92" s="775" t="s">
        <v>847</v>
      </c>
      <c r="D92" s="775" t="s">
        <v>1641</v>
      </c>
      <c r="E92" s="775" t="s">
        <v>1642</v>
      </c>
      <c r="F92" s="775" t="s">
        <v>1643</v>
      </c>
      <c r="G92" s="776"/>
      <c r="H92" s="775" t="s">
        <v>1644</v>
      </c>
      <c r="I92" s="775" t="s">
        <v>1645</v>
      </c>
      <c r="J92" s="776"/>
      <c r="K92" s="777"/>
      <c r="L92" s="483"/>
    </row>
    <row r="93" spans="1:16" ht="11.85" customHeight="1">
      <c r="A93" s="685" t="s">
        <v>1492</v>
      </c>
      <c r="B93" s="775" t="s">
        <v>690</v>
      </c>
      <c r="C93" s="775" t="s">
        <v>1205</v>
      </c>
      <c r="D93" s="775" t="s">
        <v>690</v>
      </c>
      <c r="E93" s="775" t="s">
        <v>690</v>
      </c>
      <c r="F93" s="775" t="s">
        <v>1205</v>
      </c>
      <c r="G93" s="776"/>
      <c r="H93" s="775" t="s">
        <v>1206</v>
      </c>
      <c r="I93" s="775" t="s">
        <v>690</v>
      </c>
      <c r="J93" s="776"/>
      <c r="K93" s="777"/>
      <c r="L93" s="483"/>
    </row>
    <row r="94" spans="1:16" ht="11.1" customHeight="1">
      <c r="A94" s="685" t="s">
        <v>1503</v>
      </c>
      <c r="B94" s="775" t="s">
        <v>690</v>
      </c>
      <c r="C94" s="775" t="s">
        <v>1205</v>
      </c>
      <c r="D94" s="775" t="s">
        <v>690</v>
      </c>
      <c r="E94" s="775" t="s">
        <v>690</v>
      </c>
      <c r="F94" s="775" t="s">
        <v>1205</v>
      </c>
      <c r="G94" s="776"/>
      <c r="H94" s="775" t="s">
        <v>1206</v>
      </c>
      <c r="I94" s="775" t="s">
        <v>690</v>
      </c>
      <c r="J94" s="776"/>
      <c r="K94" s="777"/>
      <c r="L94" s="483"/>
    </row>
    <row r="95" spans="1:16" ht="11.85" customHeight="1">
      <c r="A95" s="762" t="s">
        <v>1581</v>
      </c>
      <c r="B95" s="762"/>
      <c r="C95" s="762"/>
      <c r="D95" s="762"/>
      <c r="E95" s="762"/>
      <c r="F95" s="762"/>
      <c r="G95" s="762"/>
      <c r="H95" s="762"/>
      <c r="I95" s="762"/>
      <c r="J95" s="762"/>
      <c r="K95" s="762"/>
      <c r="L95" s="762"/>
      <c r="M95" s="762"/>
      <c r="N95" s="762"/>
      <c r="O95" s="762"/>
      <c r="P95" s="762"/>
    </row>
    <row r="96" spans="1:16" ht="5.85" customHeight="1"/>
    <row r="97" spans="1:16" ht="11.85" customHeight="1">
      <c r="A97" s="789" t="s">
        <v>758</v>
      </c>
      <c r="B97" s="789"/>
      <c r="M97" s="682" t="s">
        <v>849</v>
      </c>
    </row>
    <row r="98" spans="1:16" ht="11.1" customHeight="1">
      <c r="A98" s="789" t="s">
        <v>678</v>
      </c>
      <c r="B98" s="789"/>
    </row>
    <row r="99" spans="1:16" ht="11.85" customHeight="1">
      <c r="A99" s="795" t="s">
        <v>760</v>
      </c>
      <c r="B99" s="795"/>
    </row>
    <row r="100" spans="1:16" ht="11.85" customHeight="1">
      <c r="A100" s="789" t="s">
        <v>761</v>
      </c>
      <c r="B100" s="789"/>
    </row>
    <row r="101" spans="1:16" ht="11.85" customHeight="1">
      <c r="A101" s="789" t="s">
        <v>1236</v>
      </c>
      <c r="B101" s="789"/>
    </row>
    <row r="102" spans="1:16" ht="5.85" customHeight="1"/>
    <row r="103" spans="1:16" ht="11.1" customHeight="1">
      <c r="A103" s="794" t="s">
        <v>762</v>
      </c>
      <c r="B103" s="794"/>
      <c r="C103" s="794"/>
      <c r="D103" s="794"/>
      <c r="E103" s="794"/>
      <c r="F103" s="794"/>
      <c r="G103" s="482"/>
      <c r="H103" s="482"/>
      <c r="I103" s="482"/>
      <c r="J103" s="482"/>
      <c r="K103" s="482"/>
      <c r="L103" s="781" t="s">
        <v>754</v>
      </c>
      <c r="O103" s="781"/>
      <c r="P103" s="781"/>
    </row>
    <row r="104" spans="1:16" ht="11.85" customHeight="1">
      <c r="A104" s="904" t="s">
        <v>846</v>
      </c>
      <c r="B104" s="903" t="s">
        <v>763</v>
      </c>
      <c r="C104" s="903" t="s">
        <v>764</v>
      </c>
      <c r="D104" s="905" t="s">
        <v>765</v>
      </c>
      <c r="E104" s="871"/>
      <c r="F104" s="871"/>
      <c r="G104" s="871"/>
      <c r="H104" s="872"/>
      <c r="I104" s="902" t="s">
        <v>766</v>
      </c>
      <c r="J104" s="782"/>
      <c r="K104" s="766"/>
      <c r="L104" s="483"/>
    </row>
    <row r="105" spans="1:16" ht="17.850000000000001" customHeight="1">
      <c r="A105" s="868"/>
      <c r="B105" s="870"/>
      <c r="C105" s="870"/>
      <c r="D105" s="765" t="s">
        <v>767</v>
      </c>
      <c r="E105" s="765" t="s">
        <v>768</v>
      </c>
      <c r="F105" s="765" t="s">
        <v>769</v>
      </c>
      <c r="G105" s="784"/>
      <c r="H105" s="765" t="s">
        <v>770</v>
      </c>
      <c r="I105" s="869"/>
      <c r="J105" s="783"/>
      <c r="K105" s="768"/>
      <c r="L105" s="483"/>
    </row>
    <row r="106" spans="1:16" ht="11.1" customHeight="1">
      <c r="A106" s="683" t="s">
        <v>1520</v>
      </c>
      <c r="B106" s="786" t="s">
        <v>848</v>
      </c>
      <c r="C106" s="786" t="s">
        <v>848</v>
      </c>
      <c r="D106" s="786" t="s">
        <v>1646</v>
      </c>
      <c r="E106" s="786" t="s">
        <v>1647</v>
      </c>
      <c r="F106" s="786" t="s">
        <v>1648</v>
      </c>
      <c r="G106" s="788"/>
      <c r="H106" s="786" t="s">
        <v>1649</v>
      </c>
      <c r="I106" s="786" t="s">
        <v>1650</v>
      </c>
      <c r="J106" s="788"/>
      <c r="K106" s="787"/>
      <c r="L106" s="483"/>
    </row>
    <row r="107" spans="1:16" ht="11.85" customHeight="1">
      <c r="A107" s="705" t="s">
        <v>1540</v>
      </c>
      <c r="B107" s="758" t="s">
        <v>848</v>
      </c>
      <c r="C107" s="758" t="s">
        <v>848</v>
      </c>
      <c r="D107" s="758" t="s">
        <v>1646</v>
      </c>
      <c r="E107" s="758" t="s">
        <v>1647</v>
      </c>
      <c r="F107" s="758" t="s">
        <v>1648</v>
      </c>
      <c r="G107" s="780"/>
      <c r="H107" s="758" t="s">
        <v>1649</v>
      </c>
      <c r="I107" s="758" t="s">
        <v>1650</v>
      </c>
      <c r="J107" s="780"/>
      <c r="K107" s="759"/>
      <c r="L107" s="483"/>
    </row>
    <row r="108" spans="1:16" ht="11.85" customHeight="1">
      <c r="A108" s="484"/>
      <c r="B108" s="484"/>
      <c r="C108" s="484"/>
      <c r="D108" s="484"/>
      <c r="E108" s="484"/>
      <c r="F108" s="484"/>
      <c r="G108" s="484"/>
      <c r="H108" s="484"/>
      <c r="I108" s="484"/>
      <c r="J108" s="484"/>
      <c r="K108" s="484"/>
      <c r="L108" s="482"/>
      <c r="M108" s="482"/>
    </row>
    <row r="109" spans="1:16" ht="11.85" customHeight="1">
      <c r="A109" s="763" t="s">
        <v>850</v>
      </c>
      <c r="B109" s="765" t="s">
        <v>813</v>
      </c>
      <c r="C109" s="765" t="s">
        <v>814</v>
      </c>
      <c r="D109" s="770" t="s">
        <v>815</v>
      </c>
      <c r="E109" s="771"/>
      <c r="F109" s="765" t="s">
        <v>1667</v>
      </c>
      <c r="G109" s="771"/>
      <c r="H109" s="770" t="s">
        <v>817</v>
      </c>
      <c r="I109" s="772"/>
      <c r="J109" s="765" t="s">
        <v>1667</v>
      </c>
      <c r="K109" s="771"/>
      <c r="L109" s="903" t="s">
        <v>819</v>
      </c>
      <c r="M109" s="902" t="s">
        <v>820</v>
      </c>
    </row>
    <row r="110" spans="1:16" ht="17.100000000000001" customHeight="1">
      <c r="A110" s="764"/>
      <c r="B110" s="767"/>
      <c r="C110" s="769"/>
      <c r="D110" s="765" t="s">
        <v>821</v>
      </c>
      <c r="E110" s="765" t="s">
        <v>822</v>
      </c>
      <c r="F110" s="767" t="s">
        <v>1668</v>
      </c>
      <c r="G110" s="784"/>
      <c r="H110" s="765" t="s">
        <v>821</v>
      </c>
      <c r="I110" s="765" t="s">
        <v>823</v>
      </c>
      <c r="J110" s="769" t="s">
        <v>1670</v>
      </c>
      <c r="K110" s="785"/>
      <c r="L110" s="870"/>
      <c r="M110" s="869"/>
    </row>
    <row r="111" spans="1:16" ht="11.85" customHeight="1">
      <c r="A111" s="683" t="s">
        <v>836</v>
      </c>
      <c r="B111" s="796" t="s">
        <v>837</v>
      </c>
      <c r="C111" s="786" t="s">
        <v>1621</v>
      </c>
      <c r="D111" s="786" t="s">
        <v>1622</v>
      </c>
      <c r="E111" s="786" t="s">
        <v>1623</v>
      </c>
      <c r="F111" s="786" t="s">
        <v>1624</v>
      </c>
      <c r="G111" s="788"/>
      <c r="H111" s="786" t="s">
        <v>1625</v>
      </c>
      <c r="I111" s="786" t="s">
        <v>1626</v>
      </c>
      <c r="J111" s="786" t="s">
        <v>1627</v>
      </c>
      <c r="K111" s="787"/>
      <c r="L111" s="786" t="s">
        <v>1628</v>
      </c>
      <c r="M111" s="786" t="s">
        <v>690</v>
      </c>
    </row>
    <row r="112" spans="1:16" ht="11.85" customHeight="1">
      <c r="A112" s="685" t="s">
        <v>1593</v>
      </c>
      <c r="B112" s="773" t="s">
        <v>851</v>
      </c>
      <c r="C112" s="775" t="s">
        <v>1651</v>
      </c>
      <c r="D112" s="775" t="s">
        <v>1622</v>
      </c>
      <c r="E112" s="775" t="s">
        <v>1623</v>
      </c>
      <c r="F112" s="775" t="s">
        <v>1652</v>
      </c>
      <c r="G112" s="776"/>
      <c r="H112" s="775" t="s">
        <v>1625</v>
      </c>
      <c r="I112" s="775" t="s">
        <v>1626</v>
      </c>
      <c r="J112" s="775" t="s">
        <v>1653</v>
      </c>
      <c r="K112" s="777"/>
      <c r="L112" s="775" t="s">
        <v>1628</v>
      </c>
      <c r="M112" s="775" t="s">
        <v>690</v>
      </c>
    </row>
    <row r="113" spans="1:16" ht="11.85" customHeight="1">
      <c r="A113" s="685" t="s">
        <v>1598</v>
      </c>
      <c r="B113" s="773" t="s">
        <v>852</v>
      </c>
      <c r="C113" s="775" t="s">
        <v>1654</v>
      </c>
      <c r="D113" s="775" t="s">
        <v>1655</v>
      </c>
      <c r="E113" s="775" t="s">
        <v>1656</v>
      </c>
      <c r="F113" s="775" t="s">
        <v>1657</v>
      </c>
      <c r="G113" s="776"/>
      <c r="H113" s="775" t="s">
        <v>1658</v>
      </c>
      <c r="I113" s="775" t="s">
        <v>1659</v>
      </c>
      <c r="J113" s="775" t="s">
        <v>1660</v>
      </c>
      <c r="K113" s="777"/>
      <c r="L113" s="775" t="s">
        <v>1661</v>
      </c>
      <c r="M113" s="775" t="s">
        <v>690</v>
      </c>
    </row>
    <row r="114" spans="1:16" ht="11.1" customHeight="1">
      <c r="A114" s="685" t="s">
        <v>1603</v>
      </c>
      <c r="B114" s="773">
        <v>301</v>
      </c>
      <c r="C114" s="775" t="s">
        <v>853</v>
      </c>
      <c r="D114" s="775" t="s">
        <v>690</v>
      </c>
      <c r="E114" s="775" t="s">
        <v>690</v>
      </c>
      <c r="F114" s="775" t="s">
        <v>853</v>
      </c>
      <c r="G114" s="776"/>
      <c r="H114" s="775" t="s">
        <v>690</v>
      </c>
      <c r="I114" s="775" t="s">
        <v>690</v>
      </c>
      <c r="J114" s="775" t="s">
        <v>853</v>
      </c>
      <c r="K114" s="777"/>
      <c r="L114" s="775" t="s">
        <v>690</v>
      </c>
      <c r="M114" s="775" t="s">
        <v>690</v>
      </c>
    </row>
    <row r="115" spans="1:16" ht="11.85" customHeight="1">
      <c r="A115" s="685" t="s">
        <v>1605</v>
      </c>
      <c r="B115" s="773" t="s">
        <v>854</v>
      </c>
      <c r="C115" s="775" t="s">
        <v>1662</v>
      </c>
      <c r="D115" s="775" t="s">
        <v>1663</v>
      </c>
      <c r="E115" s="775" t="s">
        <v>1664</v>
      </c>
      <c r="F115" s="775" t="s">
        <v>1665</v>
      </c>
      <c r="G115" s="776"/>
      <c r="H115" s="775" t="s">
        <v>1663</v>
      </c>
      <c r="I115" s="775" t="s">
        <v>1664</v>
      </c>
      <c r="J115" s="775" t="s">
        <v>1665</v>
      </c>
      <c r="K115" s="777"/>
      <c r="L115" s="775" t="s">
        <v>1666</v>
      </c>
      <c r="M115" s="775" t="s">
        <v>690</v>
      </c>
    </row>
    <row r="116" spans="1:16" ht="11.85" customHeight="1">
      <c r="A116" s="685" t="s">
        <v>1610</v>
      </c>
      <c r="B116" s="773">
        <v>302</v>
      </c>
      <c r="C116" s="775" t="s">
        <v>855</v>
      </c>
      <c r="D116" s="775" t="s">
        <v>690</v>
      </c>
      <c r="E116" s="775" t="s">
        <v>690</v>
      </c>
      <c r="F116" s="775" t="s">
        <v>855</v>
      </c>
      <c r="G116" s="776"/>
      <c r="H116" s="775" t="s">
        <v>690</v>
      </c>
      <c r="I116" s="775" t="s">
        <v>690</v>
      </c>
      <c r="J116" s="775" t="s">
        <v>855</v>
      </c>
      <c r="K116" s="777"/>
      <c r="L116" s="775" t="s">
        <v>690</v>
      </c>
      <c r="M116" s="775" t="s">
        <v>690</v>
      </c>
    </row>
    <row r="117" spans="1:16" ht="11.85" customHeight="1">
      <c r="A117" s="705" t="s">
        <v>1620</v>
      </c>
      <c r="B117" s="778">
        <v>302</v>
      </c>
      <c r="C117" s="758" t="s">
        <v>855</v>
      </c>
      <c r="D117" s="758" t="s">
        <v>690</v>
      </c>
      <c r="E117" s="758" t="s">
        <v>690</v>
      </c>
      <c r="F117" s="758" t="s">
        <v>855</v>
      </c>
      <c r="G117" s="780"/>
      <c r="H117" s="758" t="s">
        <v>690</v>
      </c>
      <c r="I117" s="758" t="s">
        <v>690</v>
      </c>
      <c r="J117" s="758" t="s">
        <v>855</v>
      </c>
      <c r="K117" s="759"/>
      <c r="L117" s="758" t="s">
        <v>690</v>
      </c>
      <c r="M117" s="758" t="s">
        <v>690</v>
      </c>
    </row>
    <row r="118" spans="1:16" ht="11.1" customHeight="1">
      <c r="A118" s="760" t="s">
        <v>856</v>
      </c>
      <c r="B118" s="760"/>
      <c r="C118" s="760"/>
      <c r="D118" s="760"/>
      <c r="E118" s="760"/>
      <c r="F118" s="760"/>
      <c r="G118" s="760"/>
      <c r="H118" s="760"/>
      <c r="I118" s="760"/>
      <c r="J118" s="760"/>
      <c r="K118" s="485"/>
      <c r="L118" s="485"/>
      <c r="M118" s="485"/>
    </row>
    <row r="119" spans="1:16" ht="5.85" customHeight="1"/>
    <row r="120" spans="1:16" ht="11.85" customHeight="1"/>
    <row r="121" spans="1:16" ht="5.85" customHeight="1"/>
    <row r="122" spans="1:16">
      <c r="A122" s="761"/>
      <c r="B122" s="761"/>
      <c r="C122" s="761"/>
      <c r="D122" s="761"/>
      <c r="E122" s="761"/>
      <c r="F122" s="761"/>
      <c r="G122" s="761"/>
      <c r="H122" s="761"/>
      <c r="I122" s="761"/>
      <c r="J122" s="761"/>
      <c r="K122" s="761"/>
      <c r="L122" s="761"/>
      <c r="M122" s="761"/>
      <c r="N122" s="761"/>
      <c r="O122" s="761"/>
      <c r="P122" s="761"/>
    </row>
    <row r="123" spans="1:16" ht="11.85" customHeight="1">
      <c r="A123" s="873" t="s">
        <v>1203</v>
      </c>
      <c r="B123" s="873"/>
      <c r="C123" s="873"/>
      <c r="D123" s="873"/>
      <c r="E123" s="873"/>
      <c r="F123" s="873"/>
      <c r="G123" s="873"/>
      <c r="H123" s="873"/>
      <c r="I123" s="873"/>
      <c r="J123" s="873"/>
      <c r="K123" s="873"/>
      <c r="L123" s="873"/>
      <c r="M123" s="873"/>
      <c r="N123" s="873"/>
      <c r="O123" s="873"/>
      <c r="P123" s="873"/>
    </row>
    <row r="124" spans="1:16" ht="5.85" customHeight="1"/>
    <row r="126" spans="1:16">
      <c r="A126" s="55" t="s">
        <v>95</v>
      </c>
      <c r="C126" s="54"/>
      <c r="D126" s="55" t="s">
        <v>96</v>
      </c>
      <c r="E126" s="56"/>
      <c r="G126" s="55"/>
      <c r="I126" s="446" t="s">
        <v>97</v>
      </c>
    </row>
    <row r="127" spans="1:16">
      <c r="A127" s="55" t="s">
        <v>98</v>
      </c>
      <c r="C127" s="54"/>
      <c r="D127" s="55" t="s">
        <v>99</v>
      </c>
      <c r="E127" s="56"/>
      <c r="G127" s="55"/>
      <c r="I127" s="446" t="s">
        <v>100</v>
      </c>
    </row>
  </sheetData>
  <mergeCells count="18">
    <mergeCell ref="A123:P123"/>
    <mergeCell ref="A104:A105"/>
    <mergeCell ref="B104:B105"/>
    <mergeCell ref="C104:C105"/>
    <mergeCell ref="D104:H104"/>
    <mergeCell ref="I104:I105"/>
    <mergeCell ref="M109:M110"/>
    <mergeCell ref="L109:L110"/>
    <mergeCell ref="M65:M66"/>
    <mergeCell ref="L65:L66"/>
    <mergeCell ref="J65:J66"/>
    <mergeCell ref="H65:I65"/>
    <mergeCell ref="F65:F66"/>
    <mergeCell ref="D65:E65"/>
    <mergeCell ref="C65:C66"/>
    <mergeCell ref="B65:B66"/>
    <mergeCell ref="A65:A66"/>
    <mergeCell ref="B8:B9"/>
  </mergeCells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L156"/>
  <sheetViews>
    <sheetView workbookViewId="0"/>
  </sheetViews>
  <sheetFormatPr defaultColWidth="11.5703125" defaultRowHeight="15"/>
  <cols>
    <col min="1" max="1" width="1.7109375" customWidth="1"/>
    <col min="2" max="2" width="28" customWidth="1"/>
    <col min="5" max="5" width="10.7109375" customWidth="1"/>
    <col min="6" max="6" width="11.7109375" customWidth="1"/>
    <col min="7" max="7" width="7.42578125" customWidth="1"/>
    <col min="8" max="9" width="10.7109375" customWidth="1"/>
    <col min="10" max="10" width="12" customWidth="1"/>
    <col min="11" max="11" width="7.85546875" customWidth="1"/>
    <col min="12" max="12" width="10.7109375" customWidth="1"/>
  </cols>
  <sheetData>
    <row r="1" spans="1:12" ht="11.45" customHeight="1">
      <c r="A1" s="614" t="s">
        <v>677</v>
      </c>
      <c r="B1" s="614"/>
      <c r="C1" s="614"/>
      <c r="D1" s="614"/>
      <c r="E1" s="614"/>
      <c r="F1" s="614"/>
      <c r="G1" s="614"/>
      <c r="H1" s="614"/>
      <c r="I1" s="614"/>
      <c r="J1" s="614"/>
      <c r="K1" s="614"/>
      <c r="L1" s="614"/>
    </row>
    <row r="2" spans="1:12" ht="11.45" customHeight="1">
      <c r="A2" s="614" t="s">
        <v>857</v>
      </c>
      <c r="B2" s="614"/>
      <c r="C2" s="614"/>
      <c r="D2" s="614"/>
      <c r="E2" s="614"/>
      <c r="F2" s="614"/>
      <c r="G2" s="614"/>
      <c r="H2" s="614"/>
      <c r="I2" s="614"/>
      <c r="J2" s="614"/>
      <c r="K2" s="614"/>
      <c r="L2" s="614"/>
    </row>
    <row r="3" spans="1:12" ht="11.45" customHeight="1">
      <c r="A3" s="615" t="s">
        <v>858</v>
      </c>
      <c r="B3" s="615"/>
      <c r="C3" s="615"/>
      <c r="D3" s="615"/>
      <c r="E3" s="615"/>
      <c r="F3" s="615"/>
      <c r="G3" s="615"/>
      <c r="H3" s="615"/>
      <c r="I3" s="615"/>
      <c r="J3" s="615"/>
      <c r="K3" s="615"/>
      <c r="L3" s="615"/>
    </row>
    <row r="4" spans="1:12" ht="11.45" customHeight="1">
      <c r="A4" s="614" t="s">
        <v>859</v>
      </c>
      <c r="B4" s="614"/>
      <c r="C4" s="614"/>
      <c r="D4" s="614"/>
      <c r="E4" s="614"/>
      <c r="F4" s="614"/>
      <c r="G4" s="614"/>
      <c r="H4" s="614"/>
      <c r="I4" s="614"/>
      <c r="J4" s="614"/>
      <c r="K4" s="614"/>
      <c r="L4" s="614"/>
    </row>
    <row r="5" spans="1:12" ht="11.45" customHeight="1">
      <c r="A5" s="614" t="s">
        <v>1236</v>
      </c>
      <c r="B5" s="614"/>
      <c r="C5" s="614"/>
      <c r="D5" s="614"/>
      <c r="E5" s="614"/>
      <c r="F5" s="614"/>
      <c r="G5" s="614"/>
      <c r="H5" s="614"/>
      <c r="I5" s="614"/>
      <c r="J5" s="614"/>
      <c r="K5" s="614"/>
      <c r="L5" s="614"/>
    </row>
    <row r="7" spans="1:12" ht="11.45" customHeight="1">
      <c r="A7" s="614" t="s">
        <v>860</v>
      </c>
      <c r="B7" s="614"/>
      <c r="C7" s="614"/>
      <c r="D7" s="614"/>
      <c r="E7" s="614"/>
      <c r="L7" s="486" t="s">
        <v>754</v>
      </c>
    </row>
    <row r="8" spans="1:12" ht="11.45" customHeight="1">
      <c r="A8" s="576" t="s">
        <v>861</v>
      </c>
      <c r="B8" s="576"/>
      <c r="C8" s="487" t="s">
        <v>862</v>
      </c>
      <c r="D8" s="487" t="s">
        <v>862</v>
      </c>
      <c r="E8" s="577" t="s">
        <v>695</v>
      </c>
      <c r="F8" s="577"/>
      <c r="G8" s="577"/>
      <c r="H8" s="487" t="s">
        <v>863</v>
      </c>
      <c r="I8" s="577" t="s">
        <v>696</v>
      </c>
      <c r="J8" s="577"/>
      <c r="K8" s="577"/>
      <c r="L8" s="488" t="s">
        <v>864</v>
      </c>
    </row>
    <row r="9" spans="1:12" ht="11.45" customHeight="1">
      <c r="A9" s="576"/>
      <c r="B9" s="576"/>
      <c r="C9" s="489" t="s">
        <v>865</v>
      </c>
      <c r="D9" s="489" t="s">
        <v>866</v>
      </c>
      <c r="E9" s="489" t="s">
        <v>821</v>
      </c>
      <c r="F9" s="489" t="s">
        <v>715</v>
      </c>
      <c r="G9" s="489" t="s">
        <v>275</v>
      </c>
      <c r="H9" s="489" t="s">
        <v>867</v>
      </c>
      <c r="I9" s="489" t="s">
        <v>821</v>
      </c>
      <c r="J9" s="489" t="s">
        <v>715</v>
      </c>
      <c r="K9" s="489" t="s">
        <v>275</v>
      </c>
      <c r="L9" s="490" t="s">
        <v>867</v>
      </c>
    </row>
    <row r="10" spans="1:12" ht="11.45" customHeight="1">
      <c r="A10" s="576"/>
      <c r="B10" s="576"/>
      <c r="C10" s="491" t="s">
        <v>867</v>
      </c>
      <c r="D10" s="491" t="s">
        <v>717</v>
      </c>
      <c r="E10" s="491" t="s">
        <v>867</v>
      </c>
      <c r="F10" s="491" t="s">
        <v>718</v>
      </c>
      <c r="G10" s="491" t="s">
        <v>868</v>
      </c>
      <c r="H10" s="491" t="s">
        <v>869</v>
      </c>
      <c r="I10" s="491" t="s">
        <v>867</v>
      </c>
      <c r="J10" s="491" t="s">
        <v>870</v>
      </c>
      <c r="K10" s="491" t="s">
        <v>871</v>
      </c>
      <c r="L10" s="492" t="s">
        <v>872</v>
      </c>
    </row>
    <row r="11" spans="1:12" ht="0.75" customHeight="1"/>
    <row r="12" spans="1:12" ht="11.45" customHeight="1">
      <c r="A12" s="493" t="s">
        <v>873</v>
      </c>
      <c r="B12" s="494"/>
      <c r="C12" s="495">
        <v>134785727.71000001</v>
      </c>
      <c r="D12" s="495">
        <v>147158643.47</v>
      </c>
      <c r="E12" s="495">
        <v>22090844.300000001</v>
      </c>
      <c r="F12" s="495">
        <v>118362101.78</v>
      </c>
      <c r="G12" s="495">
        <v>80.78</v>
      </c>
      <c r="H12" s="495">
        <v>28796541.690000001</v>
      </c>
      <c r="I12" s="495">
        <v>24460548.41</v>
      </c>
      <c r="J12" s="495">
        <v>109875921.98999999</v>
      </c>
      <c r="K12" s="495">
        <v>79.62</v>
      </c>
      <c r="L12" s="496">
        <v>37282721.479999997</v>
      </c>
    </row>
    <row r="13" spans="1:12" ht="11.45" customHeight="1">
      <c r="A13" s="571" t="s">
        <v>874</v>
      </c>
      <c r="B13" s="571"/>
      <c r="C13" s="497">
        <v>4038528.52</v>
      </c>
      <c r="D13" s="497">
        <v>4018528.52</v>
      </c>
      <c r="E13" s="497">
        <v>552414.38</v>
      </c>
      <c r="F13" s="497">
        <v>3160708.44</v>
      </c>
      <c r="G13" s="498">
        <v>2.16</v>
      </c>
      <c r="H13" s="497">
        <v>857820.08</v>
      </c>
      <c r="I13" s="497">
        <v>620354.81000000006</v>
      </c>
      <c r="J13" s="497">
        <v>3091306.8</v>
      </c>
      <c r="K13" s="497">
        <v>2.2400000000000002</v>
      </c>
      <c r="L13" s="499">
        <v>927221.72</v>
      </c>
    </row>
    <row r="14" spans="1:12" ht="11.45" customHeight="1">
      <c r="B14" s="571" t="s">
        <v>875</v>
      </c>
      <c r="C14" s="497">
        <v>4038528.52</v>
      </c>
      <c r="D14" s="497">
        <v>4018528.52</v>
      </c>
      <c r="E14" s="497">
        <v>552414.38</v>
      </c>
      <c r="F14" s="497">
        <v>3160708.44</v>
      </c>
      <c r="G14" s="498">
        <v>2.16</v>
      </c>
      <c r="H14" s="497">
        <v>857820.08</v>
      </c>
      <c r="I14" s="497">
        <v>620354.81000000006</v>
      </c>
      <c r="J14" s="497">
        <v>3091306.8</v>
      </c>
      <c r="K14" s="498">
        <v>2.2400000000000002</v>
      </c>
      <c r="L14" s="499">
        <v>927221.72</v>
      </c>
    </row>
    <row r="15" spans="1:12" ht="11.45" customHeight="1">
      <c r="A15" s="571" t="s">
        <v>876</v>
      </c>
      <c r="B15" s="571"/>
      <c r="C15" s="497">
        <v>18000</v>
      </c>
      <c r="D15" s="497">
        <v>12000</v>
      </c>
      <c r="E15" s="497">
        <v>0</v>
      </c>
      <c r="F15" s="497">
        <v>0</v>
      </c>
      <c r="G15" s="498">
        <v>0</v>
      </c>
      <c r="H15" s="497">
        <v>12000</v>
      </c>
      <c r="I15" s="497">
        <v>0</v>
      </c>
      <c r="J15" s="497">
        <v>0</v>
      </c>
      <c r="K15" s="497">
        <v>0</v>
      </c>
      <c r="L15" s="499">
        <v>12000</v>
      </c>
    </row>
    <row r="16" spans="1:12" ht="11.45" customHeight="1">
      <c r="B16" s="571" t="s">
        <v>877</v>
      </c>
      <c r="C16" s="497">
        <v>18000</v>
      </c>
      <c r="D16" s="497">
        <v>12000</v>
      </c>
      <c r="E16" s="497">
        <v>0</v>
      </c>
      <c r="F16" s="497">
        <v>0</v>
      </c>
      <c r="G16" s="498">
        <v>0</v>
      </c>
      <c r="H16" s="497">
        <v>12000</v>
      </c>
      <c r="I16" s="497">
        <v>0</v>
      </c>
      <c r="J16" s="497">
        <v>0</v>
      </c>
      <c r="K16" s="498">
        <v>0</v>
      </c>
      <c r="L16" s="499">
        <v>12000</v>
      </c>
    </row>
    <row r="17" spans="1:12" ht="11.45" customHeight="1">
      <c r="A17" s="571" t="s">
        <v>878</v>
      </c>
      <c r="B17" s="571"/>
      <c r="C17" s="497">
        <v>17954019.969999999</v>
      </c>
      <c r="D17" s="497">
        <v>18640401.399999999</v>
      </c>
      <c r="E17" s="497">
        <v>2793929.87</v>
      </c>
      <c r="F17" s="497">
        <v>15650299.07</v>
      </c>
      <c r="G17" s="498">
        <v>10.68</v>
      </c>
      <c r="H17" s="497">
        <v>2990102.33</v>
      </c>
      <c r="I17" s="497">
        <v>2876004.75</v>
      </c>
      <c r="J17" s="497">
        <v>15211883.65</v>
      </c>
      <c r="K17" s="497">
        <v>11.02</v>
      </c>
      <c r="L17" s="499">
        <v>3428517.75</v>
      </c>
    </row>
    <row r="18" spans="1:12" ht="11.45" customHeight="1">
      <c r="B18" s="571" t="s">
        <v>879</v>
      </c>
      <c r="C18" s="497">
        <v>101985.48</v>
      </c>
      <c r="D18" s="497">
        <v>132282.48000000001</v>
      </c>
      <c r="E18" s="497">
        <v>2485.4699999999998</v>
      </c>
      <c r="F18" s="497">
        <v>104603.73</v>
      </c>
      <c r="G18" s="498">
        <v>7.0000000000000007E-2</v>
      </c>
      <c r="H18" s="497">
        <v>27678.75</v>
      </c>
      <c r="I18" s="497">
        <v>12460.51</v>
      </c>
      <c r="J18" s="497">
        <v>85202.95</v>
      </c>
      <c r="K18" s="498">
        <v>0.06</v>
      </c>
      <c r="L18" s="499">
        <v>47079.53</v>
      </c>
    </row>
    <row r="19" spans="1:12" ht="11.45" customHeight="1">
      <c r="B19" s="571" t="s">
        <v>880</v>
      </c>
      <c r="C19" s="497">
        <v>15635847.16</v>
      </c>
      <c r="D19" s="497">
        <v>15832992.710000001</v>
      </c>
      <c r="E19" s="497">
        <v>2493686.16</v>
      </c>
      <c r="F19" s="497">
        <v>13612437.85</v>
      </c>
      <c r="G19" s="498">
        <v>9.2899999999999991</v>
      </c>
      <c r="H19" s="497">
        <v>2220554.86</v>
      </c>
      <c r="I19" s="497">
        <v>2553507.23</v>
      </c>
      <c r="J19" s="497">
        <v>13312553.24</v>
      </c>
      <c r="K19" s="498">
        <v>9.65</v>
      </c>
      <c r="L19" s="499">
        <v>2520439.4700000002</v>
      </c>
    </row>
    <row r="20" spans="1:12" ht="11.45" customHeight="1">
      <c r="B20" s="571" t="s">
        <v>881</v>
      </c>
      <c r="C20" s="497">
        <v>573492.69999999995</v>
      </c>
      <c r="D20" s="497">
        <v>760007.7</v>
      </c>
      <c r="E20" s="497">
        <v>73769.570000000007</v>
      </c>
      <c r="F20" s="497">
        <v>727564.61</v>
      </c>
      <c r="G20" s="498">
        <v>0.5</v>
      </c>
      <c r="H20" s="497">
        <v>32443.09</v>
      </c>
      <c r="I20" s="497">
        <v>63835.38</v>
      </c>
      <c r="J20" s="497">
        <v>623551.43000000005</v>
      </c>
      <c r="K20" s="498">
        <v>0.45</v>
      </c>
      <c r="L20" s="499">
        <v>136456.26999999999</v>
      </c>
    </row>
    <row r="21" spans="1:12" ht="11.45" customHeight="1">
      <c r="B21" s="571" t="s">
        <v>882</v>
      </c>
      <c r="C21" s="497">
        <v>10000</v>
      </c>
      <c r="D21" s="497">
        <v>8000</v>
      </c>
      <c r="E21" s="497">
        <v>0</v>
      </c>
      <c r="F21" s="497">
        <v>1278.3499999999999</v>
      </c>
      <c r="G21" s="498">
        <v>0</v>
      </c>
      <c r="H21" s="497">
        <v>6721.65</v>
      </c>
      <c r="I21" s="497">
        <v>0</v>
      </c>
      <c r="J21" s="497">
        <v>1278.3499999999999</v>
      </c>
      <c r="K21" s="498">
        <v>0</v>
      </c>
      <c r="L21" s="499">
        <v>6721.65</v>
      </c>
    </row>
    <row r="22" spans="1:12" ht="11.45" customHeight="1">
      <c r="B22" s="571" t="s">
        <v>883</v>
      </c>
      <c r="C22" s="497">
        <v>500</v>
      </c>
      <c r="D22" s="497">
        <v>5</v>
      </c>
      <c r="E22" s="497">
        <v>0</v>
      </c>
      <c r="F22" s="497">
        <v>0</v>
      </c>
      <c r="G22" s="498">
        <v>0</v>
      </c>
      <c r="H22" s="497">
        <v>5</v>
      </c>
      <c r="I22" s="497">
        <v>0</v>
      </c>
      <c r="J22" s="497">
        <v>0</v>
      </c>
      <c r="K22" s="498">
        <v>0</v>
      </c>
      <c r="L22" s="499">
        <v>5</v>
      </c>
    </row>
    <row r="23" spans="1:12" ht="11.45" customHeight="1">
      <c r="B23" s="571" t="s">
        <v>884</v>
      </c>
      <c r="C23" s="497">
        <v>66000</v>
      </c>
      <c r="D23" s="497">
        <v>81000</v>
      </c>
      <c r="E23" s="497">
        <v>0</v>
      </c>
      <c r="F23" s="497">
        <v>67881.95</v>
      </c>
      <c r="G23" s="498">
        <v>0.05</v>
      </c>
      <c r="H23" s="497">
        <v>13118.05</v>
      </c>
      <c r="I23" s="497">
        <v>8290</v>
      </c>
      <c r="J23" s="497">
        <v>67881.95</v>
      </c>
      <c r="K23" s="498">
        <v>0.05</v>
      </c>
      <c r="L23" s="499">
        <v>13118.05</v>
      </c>
    </row>
    <row r="24" spans="1:12" ht="11.45" customHeight="1">
      <c r="B24" s="571" t="s">
        <v>885</v>
      </c>
      <c r="C24" s="497">
        <v>29000</v>
      </c>
      <c r="D24" s="497">
        <v>20853.060000000001</v>
      </c>
      <c r="E24" s="497">
        <v>4079.8</v>
      </c>
      <c r="F24" s="497">
        <v>13120.1</v>
      </c>
      <c r="G24" s="498">
        <v>0.01</v>
      </c>
      <c r="H24" s="497">
        <v>7732.96</v>
      </c>
      <c r="I24" s="497">
        <v>620</v>
      </c>
      <c r="J24" s="497">
        <v>3068.88</v>
      </c>
      <c r="K24" s="498">
        <v>0</v>
      </c>
      <c r="L24" s="499">
        <v>17784.18</v>
      </c>
    </row>
    <row r="25" spans="1:12" ht="11.45" customHeight="1">
      <c r="B25" s="571" t="s">
        <v>886</v>
      </c>
      <c r="C25" s="497">
        <v>10500</v>
      </c>
      <c r="D25" s="497">
        <v>601</v>
      </c>
      <c r="E25" s="497">
        <v>0</v>
      </c>
      <c r="F25" s="497">
        <v>569</v>
      </c>
      <c r="G25" s="498">
        <v>0</v>
      </c>
      <c r="H25" s="497">
        <v>32</v>
      </c>
      <c r="I25" s="497">
        <v>0</v>
      </c>
      <c r="J25" s="497">
        <v>569</v>
      </c>
      <c r="K25" s="498">
        <v>0</v>
      </c>
      <c r="L25" s="499">
        <v>32</v>
      </c>
    </row>
    <row r="26" spans="1:12" ht="11.45" customHeight="1">
      <c r="B26" s="571" t="s">
        <v>887</v>
      </c>
      <c r="C26" s="497">
        <v>9000</v>
      </c>
      <c r="D26" s="497">
        <v>1000</v>
      </c>
      <c r="E26" s="497">
        <v>0</v>
      </c>
      <c r="F26" s="497">
        <v>0</v>
      </c>
      <c r="G26" s="498">
        <v>0</v>
      </c>
      <c r="H26" s="497">
        <v>1000</v>
      </c>
      <c r="I26" s="497">
        <v>0</v>
      </c>
      <c r="J26" s="497">
        <v>0</v>
      </c>
      <c r="K26" s="498">
        <v>0</v>
      </c>
      <c r="L26" s="499">
        <v>1000</v>
      </c>
    </row>
    <row r="27" spans="1:12" ht="11.45" customHeight="1">
      <c r="B27" s="571" t="s">
        <v>888</v>
      </c>
      <c r="C27" s="497">
        <v>539989.76000000001</v>
      </c>
      <c r="D27" s="497">
        <v>547097.76</v>
      </c>
      <c r="E27" s="497">
        <v>84210.13</v>
      </c>
      <c r="F27" s="497">
        <v>418247.87</v>
      </c>
      <c r="G27" s="498">
        <v>0.28999999999999998</v>
      </c>
      <c r="H27" s="497">
        <v>128849.89</v>
      </c>
      <c r="I27" s="497">
        <v>84210.13</v>
      </c>
      <c r="J27" s="497">
        <v>418247.87</v>
      </c>
      <c r="K27" s="498">
        <v>0.3</v>
      </c>
      <c r="L27" s="499">
        <v>128849.89</v>
      </c>
    </row>
    <row r="28" spans="1:12" ht="11.45" customHeight="1">
      <c r="B28" s="571" t="s">
        <v>889</v>
      </c>
      <c r="C28" s="497">
        <v>10</v>
      </c>
      <c r="D28" s="497">
        <v>10</v>
      </c>
      <c r="E28" s="497">
        <v>0</v>
      </c>
      <c r="F28" s="497">
        <v>0</v>
      </c>
      <c r="G28" s="498">
        <v>0</v>
      </c>
      <c r="H28" s="497">
        <v>10</v>
      </c>
      <c r="I28" s="497">
        <v>0</v>
      </c>
      <c r="J28" s="497">
        <v>0</v>
      </c>
      <c r="K28" s="498">
        <v>0</v>
      </c>
      <c r="L28" s="499">
        <v>10</v>
      </c>
    </row>
    <row r="29" spans="1:12" ht="11.45" customHeight="1">
      <c r="B29" s="571" t="s">
        <v>890</v>
      </c>
      <c r="C29" s="497">
        <v>816074.1</v>
      </c>
      <c r="D29" s="497">
        <v>821282.1</v>
      </c>
      <c r="E29" s="497">
        <v>126637.74</v>
      </c>
      <c r="F29" s="497">
        <v>617620.93999999994</v>
      </c>
      <c r="G29" s="498">
        <v>0.42</v>
      </c>
      <c r="H29" s="497">
        <v>203661.16</v>
      </c>
      <c r="I29" s="497">
        <v>126637.74</v>
      </c>
      <c r="J29" s="497">
        <v>617620.93999999994</v>
      </c>
      <c r="K29" s="498">
        <v>0.45</v>
      </c>
      <c r="L29" s="499">
        <v>203661.16</v>
      </c>
    </row>
    <row r="30" spans="1:12" ht="11.45" customHeight="1">
      <c r="B30" s="571" t="s">
        <v>891</v>
      </c>
      <c r="C30" s="497">
        <v>161620.76999999999</v>
      </c>
      <c r="D30" s="497">
        <v>435269.59</v>
      </c>
      <c r="E30" s="497">
        <v>9061</v>
      </c>
      <c r="F30" s="497">
        <v>86974.67</v>
      </c>
      <c r="G30" s="498">
        <v>0.06</v>
      </c>
      <c r="H30" s="497">
        <v>348294.92</v>
      </c>
      <c r="I30" s="497">
        <v>26443.759999999998</v>
      </c>
      <c r="J30" s="497">
        <v>81909.039999999994</v>
      </c>
      <c r="K30" s="498">
        <v>0.06</v>
      </c>
      <c r="L30" s="499">
        <v>353360.55</v>
      </c>
    </row>
    <row r="31" spans="1:12" ht="11.45" customHeight="1">
      <c r="A31" s="571" t="s">
        <v>892</v>
      </c>
      <c r="B31" s="571"/>
      <c r="C31" s="497">
        <v>119219.65</v>
      </c>
      <c r="D31" s="497">
        <v>159283.65</v>
      </c>
      <c r="E31" s="497">
        <v>5222.16</v>
      </c>
      <c r="F31" s="497">
        <v>55856.47</v>
      </c>
      <c r="G31" s="498">
        <v>0.04</v>
      </c>
      <c r="H31" s="497">
        <v>103427.18</v>
      </c>
      <c r="I31" s="497">
        <v>8300.7000000000007</v>
      </c>
      <c r="J31" s="497">
        <v>44752.83</v>
      </c>
      <c r="K31" s="497">
        <v>0.03</v>
      </c>
      <c r="L31" s="499">
        <v>114530.82</v>
      </c>
    </row>
    <row r="32" spans="1:12" ht="11.45" customHeight="1">
      <c r="B32" s="571" t="s">
        <v>893</v>
      </c>
      <c r="C32" s="497">
        <v>25793</v>
      </c>
      <c r="D32" s="497">
        <v>7594</v>
      </c>
      <c r="E32" s="497">
        <v>0</v>
      </c>
      <c r="F32" s="497">
        <v>0</v>
      </c>
      <c r="G32" s="498">
        <v>0</v>
      </c>
      <c r="H32" s="497">
        <v>7594</v>
      </c>
      <c r="I32" s="497">
        <v>0</v>
      </c>
      <c r="J32" s="497">
        <v>0</v>
      </c>
      <c r="K32" s="498">
        <v>0</v>
      </c>
      <c r="L32" s="499">
        <v>7594</v>
      </c>
    </row>
    <row r="33" spans="1:12" ht="11.45" customHeight="1">
      <c r="B33" s="571" t="s">
        <v>894</v>
      </c>
      <c r="C33" s="497">
        <v>93425.65</v>
      </c>
      <c r="D33" s="497">
        <v>151688.65</v>
      </c>
      <c r="E33" s="497">
        <v>5222.16</v>
      </c>
      <c r="F33" s="497">
        <v>55856.47</v>
      </c>
      <c r="G33" s="498">
        <v>0.04</v>
      </c>
      <c r="H33" s="497">
        <v>95832.18</v>
      </c>
      <c r="I33" s="497">
        <v>8300.7000000000007</v>
      </c>
      <c r="J33" s="497">
        <v>44752.83</v>
      </c>
      <c r="K33" s="498">
        <v>0.03</v>
      </c>
      <c r="L33" s="499">
        <v>106935.82</v>
      </c>
    </row>
    <row r="34" spans="1:12" ht="11.45" customHeight="1">
      <c r="B34" s="571" t="s">
        <v>890</v>
      </c>
      <c r="C34" s="497">
        <v>1</v>
      </c>
      <c r="D34" s="497">
        <v>1</v>
      </c>
      <c r="E34" s="497">
        <v>0</v>
      </c>
      <c r="F34" s="497">
        <v>0</v>
      </c>
      <c r="G34" s="498">
        <v>0</v>
      </c>
      <c r="H34" s="497">
        <v>1</v>
      </c>
      <c r="I34" s="497">
        <v>0</v>
      </c>
      <c r="J34" s="497">
        <v>0</v>
      </c>
      <c r="K34" s="498">
        <v>0</v>
      </c>
      <c r="L34" s="499">
        <v>1</v>
      </c>
    </row>
    <row r="35" spans="1:12" ht="11.45" customHeight="1">
      <c r="A35" s="571" t="s">
        <v>895</v>
      </c>
      <c r="B35" s="571"/>
      <c r="C35" s="497">
        <v>1567190.17</v>
      </c>
      <c r="D35" s="497">
        <v>1722812.53</v>
      </c>
      <c r="E35" s="497">
        <v>196254.75</v>
      </c>
      <c r="F35" s="497">
        <v>1194267.4099999999</v>
      </c>
      <c r="G35" s="498">
        <v>0.82</v>
      </c>
      <c r="H35" s="497">
        <v>528545.12</v>
      </c>
      <c r="I35" s="497">
        <v>180257.06</v>
      </c>
      <c r="J35" s="497">
        <v>863685.17</v>
      </c>
      <c r="K35" s="497">
        <v>0.63</v>
      </c>
      <c r="L35" s="499">
        <v>859127.36</v>
      </c>
    </row>
    <row r="36" spans="1:12" ht="11.45" customHeight="1">
      <c r="B36" s="571" t="s">
        <v>880</v>
      </c>
      <c r="C36" s="497">
        <v>215412.17</v>
      </c>
      <c r="D36" s="497">
        <v>218300.12</v>
      </c>
      <c r="E36" s="497">
        <v>14277.72</v>
      </c>
      <c r="F36" s="497">
        <v>197283.91</v>
      </c>
      <c r="G36" s="498">
        <v>0.13</v>
      </c>
      <c r="H36" s="497">
        <v>21016.21</v>
      </c>
      <c r="I36" s="497">
        <v>24526.68</v>
      </c>
      <c r="J36" s="497">
        <v>146589.19</v>
      </c>
      <c r="K36" s="498">
        <v>0.11</v>
      </c>
      <c r="L36" s="499">
        <v>71710.929999999993</v>
      </c>
    </row>
    <row r="37" spans="1:12" ht="11.45" customHeight="1">
      <c r="B37" s="571" t="s">
        <v>896</v>
      </c>
      <c r="C37" s="497">
        <v>117626</v>
      </c>
      <c r="D37" s="497">
        <v>129225.18</v>
      </c>
      <c r="E37" s="497">
        <v>0</v>
      </c>
      <c r="F37" s="497">
        <v>114827.27</v>
      </c>
      <c r="G37" s="498">
        <v>0.08</v>
      </c>
      <c r="H37" s="497">
        <v>14397.91</v>
      </c>
      <c r="I37" s="497">
        <v>15000</v>
      </c>
      <c r="J37" s="497">
        <v>78027.649999999994</v>
      </c>
      <c r="K37" s="498">
        <v>0.06</v>
      </c>
      <c r="L37" s="499">
        <v>51197.53</v>
      </c>
    </row>
    <row r="38" spans="1:12" ht="11.45" customHeight="1">
      <c r="B38" s="571" t="s">
        <v>897</v>
      </c>
      <c r="C38" s="497">
        <v>77113</v>
      </c>
      <c r="D38" s="497">
        <v>82173.75</v>
      </c>
      <c r="E38" s="497">
        <v>5060.75</v>
      </c>
      <c r="F38" s="497">
        <v>82060.75</v>
      </c>
      <c r="G38" s="498">
        <v>0.06</v>
      </c>
      <c r="H38" s="497">
        <v>113</v>
      </c>
      <c r="I38" s="497">
        <v>5060.75</v>
      </c>
      <c r="J38" s="497">
        <v>61407.91</v>
      </c>
      <c r="K38" s="498">
        <v>0.04</v>
      </c>
      <c r="L38" s="499">
        <v>20765.84</v>
      </c>
    </row>
    <row r="39" spans="1:12" ht="11.45" customHeight="1">
      <c r="B39" s="571" t="s">
        <v>898</v>
      </c>
      <c r="C39" s="497">
        <v>497407.23</v>
      </c>
      <c r="D39" s="497">
        <v>586530.75</v>
      </c>
      <c r="E39" s="497">
        <v>29205.31</v>
      </c>
      <c r="F39" s="497">
        <v>398830.82</v>
      </c>
      <c r="G39" s="498">
        <v>0.27</v>
      </c>
      <c r="H39" s="497">
        <v>187699.93</v>
      </c>
      <c r="I39" s="497">
        <v>58597.64</v>
      </c>
      <c r="J39" s="497">
        <v>295861.49</v>
      </c>
      <c r="K39" s="498">
        <v>0.21</v>
      </c>
      <c r="L39" s="499">
        <v>290669.26</v>
      </c>
    </row>
    <row r="40" spans="1:12" ht="11.45" customHeight="1">
      <c r="B40" s="571" t="s">
        <v>899</v>
      </c>
      <c r="C40" s="497">
        <v>582654.77</v>
      </c>
      <c r="D40" s="497">
        <v>599456.91</v>
      </c>
      <c r="E40" s="497">
        <v>100448.82</v>
      </c>
      <c r="F40" s="497">
        <v>338734.71</v>
      </c>
      <c r="G40" s="498">
        <v>0.23</v>
      </c>
      <c r="H40" s="497">
        <v>260722.2</v>
      </c>
      <c r="I40" s="497">
        <v>75371.990000000005</v>
      </c>
      <c r="J40" s="497">
        <v>264831.13</v>
      </c>
      <c r="K40" s="498">
        <v>0.19</v>
      </c>
      <c r="L40" s="499">
        <v>334625.78000000003</v>
      </c>
    </row>
    <row r="41" spans="1:12" ht="11.45" customHeight="1">
      <c r="B41" s="571" t="s">
        <v>888</v>
      </c>
      <c r="C41" s="497">
        <v>8559.23</v>
      </c>
      <c r="D41" s="497">
        <v>5842.23</v>
      </c>
      <c r="E41" s="497">
        <v>0</v>
      </c>
      <c r="F41" s="497">
        <v>0</v>
      </c>
      <c r="G41" s="498">
        <v>0</v>
      </c>
      <c r="H41" s="497">
        <v>5842.23</v>
      </c>
      <c r="I41" s="497">
        <v>0</v>
      </c>
      <c r="J41" s="497">
        <v>0</v>
      </c>
      <c r="K41" s="498">
        <v>0</v>
      </c>
      <c r="L41" s="499">
        <v>5842.23</v>
      </c>
    </row>
    <row r="42" spans="1:12" ht="11.45" customHeight="1">
      <c r="B42" s="571" t="s">
        <v>921</v>
      </c>
      <c r="C42" s="497">
        <v>0</v>
      </c>
      <c r="D42" s="497">
        <v>7300.82</v>
      </c>
      <c r="E42" s="497">
        <v>0</v>
      </c>
      <c r="F42" s="497">
        <v>0</v>
      </c>
      <c r="G42" s="498">
        <v>0</v>
      </c>
      <c r="H42" s="497">
        <v>7300.82</v>
      </c>
      <c r="I42" s="497">
        <v>0</v>
      </c>
      <c r="J42" s="497">
        <v>0</v>
      </c>
      <c r="K42" s="498">
        <v>0</v>
      </c>
      <c r="L42" s="499">
        <v>7300.82</v>
      </c>
    </row>
    <row r="43" spans="1:12" ht="11.45" customHeight="1">
      <c r="B43" s="571" t="s">
        <v>900</v>
      </c>
      <c r="C43" s="497">
        <v>68409.77</v>
      </c>
      <c r="D43" s="497">
        <v>58977</v>
      </c>
      <c r="E43" s="497">
        <v>44377</v>
      </c>
      <c r="F43" s="497">
        <v>53021</v>
      </c>
      <c r="G43" s="498">
        <v>0.04</v>
      </c>
      <c r="H43" s="497">
        <v>5956</v>
      </c>
      <c r="I43" s="497">
        <v>0</v>
      </c>
      <c r="J43" s="497">
        <v>8644</v>
      </c>
      <c r="K43" s="498">
        <v>0.01</v>
      </c>
      <c r="L43" s="499">
        <v>50333</v>
      </c>
    </row>
    <row r="44" spans="1:12" ht="11.45" customHeight="1">
      <c r="A44" s="571"/>
      <c r="B44" s="571" t="s">
        <v>901</v>
      </c>
      <c r="C44" s="497">
        <v>8</v>
      </c>
      <c r="D44" s="497">
        <v>35005.769999999997</v>
      </c>
      <c r="E44" s="497">
        <v>2885.15</v>
      </c>
      <c r="F44" s="497">
        <v>9508.9500000000007</v>
      </c>
      <c r="G44" s="498">
        <v>0.01</v>
      </c>
      <c r="H44" s="497">
        <v>25496.82</v>
      </c>
      <c r="I44" s="497">
        <v>1700</v>
      </c>
      <c r="J44" s="497">
        <v>8323.7999999999993</v>
      </c>
      <c r="K44" s="497">
        <v>0.01</v>
      </c>
      <c r="L44" s="499">
        <v>26681.97</v>
      </c>
    </row>
    <row r="45" spans="1:12" ht="11.45" customHeight="1">
      <c r="A45" t="s">
        <v>902</v>
      </c>
      <c r="B45" s="571"/>
      <c r="C45" s="497">
        <v>32386275.52</v>
      </c>
      <c r="D45" s="497">
        <v>34738394.799999997</v>
      </c>
      <c r="E45" s="497">
        <v>5955741.2199999997</v>
      </c>
      <c r="F45" s="497">
        <v>27947725.02</v>
      </c>
      <c r="G45" s="498">
        <v>19.07</v>
      </c>
      <c r="H45" s="497">
        <v>6790669.7800000003</v>
      </c>
      <c r="I45" s="497">
        <v>5873777.2699999996</v>
      </c>
      <c r="J45" s="497">
        <v>27253126.02</v>
      </c>
      <c r="K45" s="498">
        <v>19.75</v>
      </c>
      <c r="L45" s="499">
        <v>7485268.7800000003</v>
      </c>
    </row>
    <row r="46" spans="1:12" ht="11.45" customHeight="1">
      <c r="B46" s="571" t="s">
        <v>880</v>
      </c>
      <c r="C46" s="497">
        <v>79998</v>
      </c>
      <c r="D46" s="497">
        <v>79998</v>
      </c>
      <c r="E46" s="497">
        <v>253</v>
      </c>
      <c r="F46" s="497">
        <v>31829.439999999999</v>
      </c>
      <c r="G46" s="498">
        <v>0.02</v>
      </c>
      <c r="H46" s="497">
        <v>48168.56</v>
      </c>
      <c r="I46" s="497">
        <v>6996.78</v>
      </c>
      <c r="J46" s="497">
        <v>19219.66</v>
      </c>
      <c r="K46" s="498">
        <v>0.01</v>
      </c>
      <c r="L46" s="499">
        <v>60778.34</v>
      </c>
    </row>
    <row r="47" spans="1:12" ht="11.45" customHeight="1">
      <c r="B47" s="571" t="s">
        <v>903</v>
      </c>
      <c r="C47" s="497">
        <v>27962675.059999999</v>
      </c>
      <c r="D47" s="497">
        <v>30302675.059999999</v>
      </c>
      <c r="E47" s="497">
        <v>5010710.0599999996</v>
      </c>
      <c r="F47" s="497">
        <v>24480346.890000001</v>
      </c>
      <c r="G47" s="498">
        <v>16.71</v>
      </c>
      <c r="H47" s="497">
        <v>5822328.1699999999</v>
      </c>
      <c r="I47" s="497">
        <v>5010710.0599999996</v>
      </c>
      <c r="J47" s="497">
        <v>24480346.890000001</v>
      </c>
      <c r="K47" s="498">
        <v>17.739999999999998</v>
      </c>
      <c r="L47" s="499">
        <v>5822328.1699999999</v>
      </c>
    </row>
    <row r="48" spans="1:12" ht="11.45" customHeight="1">
      <c r="A48" s="571"/>
      <c r="B48" s="571" t="s">
        <v>904</v>
      </c>
      <c r="C48" s="497">
        <v>4343602.46</v>
      </c>
      <c r="D48" s="497">
        <v>4355721.74</v>
      </c>
      <c r="E48" s="497">
        <v>944778.16</v>
      </c>
      <c r="F48" s="497">
        <v>3435548.69</v>
      </c>
      <c r="G48" s="498">
        <v>2.34</v>
      </c>
      <c r="H48" s="497">
        <v>920173.05</v>
      </c>
      <c r="I48" s="497">
        <v>856070.43</v>
      </c>
      <c r="J48" s="497">
        <v>2753559.47</v>
      </c>
      <c r="K48" s="497">
        <v>2</v>
      </c>
      <c r="L48" s="499">
        <v>1602162.27</v>
      </c>
    </row>
    <row r="49" spans="1:12" ht="11.45" customHeight="1">
      <c r="A49" t="s">
        <v>905</v>
      </c>
      <c r="B49" s="571"/>
      <c r="C49" s="497">
        <v>23931166.809999999</v>
      </c>
      <c r="D49" s="497">
        <v>27141797.629999999</v>
      </c>
      <c r="E49" s="497">
        <v>3839172.89</v>
      </c>
      <c r="F49" s="497">
        <v>23198114.82</v>
      </c>
      <c r="G49" s="498">
        <v>15.83</v>
      </c>
      <c r="H49" s="497">
        <v>3943682.81</v>
      </c>
      <c r="I49" s="497">
        <v>4153909.57</v>
      </c>
      <c r="J49" s="497">
        <v>22175572.600000001</v>
      </c>
      <c r="K49" s="498">
        <v>16.07</v>
      </c>
      <c r="L49" s="499">
        <v>4966225.03</v>
      </c>
    </row>
    <row r="50" spans="1:12" ht="11.45" customHeight="1">
      <c r="B50" s="571" t="s">
        <v>880</v>
      </c>
      <c r="C50" s="497">
        <v>4980554.72</v>
      </c>
      <c r="D50" s="497">
        <v>5155610.09</v>
      </c>
      <c r="E50" s="497">
        <v>567295.43999999994</v>
      </c>
      <c r="F50" s="497">
        <v>4216780.57</v>
      </c>
      <c r="G50" s="498">
        <v>2.88</v>
      </c>
      <c r="H50" s="497">
        <v>938829.52</v>
      </c>
      <c r="I50" s="497">
        <v>645082.44999999995</v>
      </c>
      <c r="J50" s="497">
        <v>4001831.86</v>
      </c>
      <c r="K50" s="498">
        <v>2.9</v>
      </c>
      <c r="L50" s="499">
        <v>1153778.23</v>
      </c>
    </row>
    <row r="51" spans="1:12" ht="11.45" customHeight="1">
      <c r="B51" s="571" t="s">
        <v>884</v>
      </c>
      <c r="C51" s="497">
        <v>205789.7</v>
      </c>
      <c r="D51" s="497">
        <v>11789.7</v>
      </c>
      <c r="E51" s="497">
        <v>672.17</v>
      </c>
      <c r="F51" s="497">
        <v>9217.2900000000009</v>
      </c>
      <c r="G51" s="498">
        <v>0.01</v>
      </c>
      <c r="H51" s="497">
        <v>2572.41</v>
      </c>
      <c r="I51" s="497">
        <v>336.08</v>
      </c>
      <c r="J51" s="497">
        <v>8881.1200000000008</v>
      </c>
      <c r="K51" s="498">
        <v>0.01</v>
      </c>
      <c r="L51" s="499">
        <v>2908.58</v>
      </c>
    </row>
    <row r="52" spans="1:12" ht="11.45" customHeight="1">
      <c r="B52" s="571" t="s">
        <v>888</v>
      </c>
      <c r="C52" s="497">
        <v>142541.38</v>
      </c>
      <c r="D52" s="497">
        <v>143475.38</v>
      </c>
      <c r="E52" s="497">
        <v>18200.63</v>
      </c>
      <c r="F52" s="497">
        <v>106919.83</v>
      </c>
      <c r="G52" s="498">
        <v>7.0000000000000007E-2</v>
      </c>
      <c r="H52" s="497">
        <v>36555.550000000003</v>
      </c>
      <c r="I52" s="497">
        <v>18200.63</v>
      </c>
      <c r="J52" s="497">
        <v>106919.83</v>
      </c>
      <c r="K52" s="498">
        <v>0.08</v>
      </c>
      <c r="L52" s="499">
        <v>36555.550000000003</v>
      </c>
    </row>
    <row r="53" spans="1:12" ht="11.45" customHeight="1">
      <c r="B53" s="571" t="s">
        <v>889</v>
      </c>
      <c r="C53" s="497">
        <v>11</v>
      </c>
      <c r="D53" s="497">
        <v>11</v>
      </c>
      <c r="E53" s="497">
        <v>0</v>
      </c>
      <c r="F53" s="497">
        <v>0</v>
      </c>
      <c r="G53" s="498">
        <v>0</v>
      </c>
      <c r="H53" s="497">
        <v>11</v>
      </c>
      <c r="I53" s="497">
        <v>0</v>
      </c>
      <c r="J53" s="497">
        <v>0</v>
      </c>
      <c r="K53" s="498">
        <v>0</v>
      </c>
      <c r="L53" s="499">
        <v>11</v>
      </c>
    </row>
    <row r="54" spans="1:12" ht="11.45" customHeight="1">
      <c r="B54" s="571" t="s">
        <v>906</v>
      </c>
      <c r="C54" s="497">
        <v>6046336.5499999998</v>
      </c>
      <c r="D54" s="497">
        <v>8180734.3700000001</v>
      </c>
      <c r="E54" s="497">
        <v>1606855.05</v>
      </c>
      <c r="F54" s="497">
        <v>6567488.8099999996</v>
      </c>
      <c r="G54" s="498">
        <v>4.4800000000000004</v>
      </c>
      <c r="H54" s="497">
        <v>1613245.56</v>
      </c>
      <c r="I54" s="497">
        <v>1837200.66</v>
      </c>
      <c r="J54" s="497">
        <v>6182009.0300000003</v>
      </c>
      <c r="K54" s="498">
        <v>4.4800000000000004</v>
      </c>
      <c r="L54" s="499">
        <v>1998725.34</v>
      </c>
    </row>
    <row r="55" spans="1:12" ht="11.45" customHeight="1">
      <c r="B55" s="571" t="s">
        <v>904</v>
      </c>
      <c r="C55" s="497">
        <v>9846916.5099999998</v>
      </c>
      <c r="D55" s="497">
        <v>10353177.43</v>
      </c>
      <c r="E55" s="497">
        <v>1116752.01</v>
      </c>
      <c r="F55" s="497">
        <v>9613468</v>
      </c>
      <c r="G55" s="498">
        <v>6.56</v>
      </c>
      <c r="H55" s="497">
        <v>739709.43</v>
      </c>
      <c r="I55" s="497">
        <v>1197137.4099999999</v>
      </c>
      <c r="J55" s="497">
        <v>9409924.9700000007</v>
      </c>
      <c r="K55" s="498">
        <v>6.82</v>
      </c>
      <c r="L55" s="499">
        <v>943252.46</v>
      </c>
    </row>
    <row r="56" spans="1:12" ht="11.45" customHeight="1">
      <c r="B56" s="571" t="s">
        <v>907</v>
      </c>
      <c r="C56" s="497">
        <v>896753.26</v>
      </c>
      <c r="D56" s="497">
        <v>1434636.54</v>
      </c>
      <c r="E56" s="497">
        <v>234515.79</v>
      </c>
      <c r="F56" s="497">
        <v>1210224.76</v>
      </c>
      <c r="G56" s="498">
        <v>0.83</v>
      </c>
      <c r="H56" s="497">
        <v>224411.78</v>
      </c>
      <c r="I56" s="497">
        <v>158171.24</v>
      </c>
      <c r="J56" s="497">
        <v>1039316.42</v>
      </c>
      <c r="K56" s="498">
        <v>0.75</v>
      </c>
      <c r="L56" s="499">
        <v>395320.12</v>
      </c>
    </row>
    <row r="57" spans="1:12" ht="11.45" customHeight="1">
      <c r="B57" s="571" t="s">
        <v>908</v>
      </c>
      <c r="C57" s="497">
        <v>305559.36</v>
      </c>
      <c r="D57" s="497">
        <v>344655.35999999999</v>
      </c>
      <c r="E57" s="497">
        <v>58188.61</v>
      </c>
      <c r="F57" s="497">
        <v>247910.83</v>
      </c>
      <c r="G57" s="498">
        <v>0.17</v>
      </c>
      <c r="H57" s="497">
        <v>96744.53</v>
      </c>
      <c r="I57" s="497">
        <v>47433.14</v>
      </c>
      <c r="J57" s="497">
        <v>232321.1</v>
      </c>
      <c r="K57" s="498">
        <v>0.17</v>
      </c>
      <c r="L57" s="499">
        <v>112334.26</v>
      </c>
    </row>
    <row r="58" spans="1:12" ht="11.45" customHeight="1">
      <c r="B58" s="571" t="s">
        <v>909</v>
      </c>
      <c r="C58" s="497">
        <v>842799.25</v>
      </c>
      <c r="D58" s="497">
        <v>857640.68</v>
      </c>
      <c r="E58" s="497">
        <v>134305.23000000001</v>
      </c>
      <c r="F58" s="497">
        <v>688633.71</v>
      </c>
      <c r="G58" s="498">
        <v>0.47</v>
      </c>
      <c r="H58" s="497">
        <v>169006.97</v>
      </c>
      <c r="I58" s="497">
        <v>146958.57</v>
      </c>
      <c r="J58" s="497">
        <v>663907.26</v>
      </c>
      <c r="K58" s="498">
        <v>0.48</v>
      </c>
      <c r="L58" s="499">
        <v>193733.42</v>
      </c>
    </row>
    <row r="59" spans="1:12" ht="11.45" customHeight="1">
      <c r="A59" s="571"/>
      <c r="B59" s="571" t="s">
        <v>890</v>
      </c>
      <c r="C59" s="497">
        <v>663905.07999999996</v>
      </c>
      <c r="D59" s="497">
        <v>660067.07999999996</v>
      </c>
      <c r="E59" s="497">
        <v>102387.96</v>
      </c>
      <c r="F59" s="497">
        <v>537471.02</v>
      </c>
      <c r="G59" s="498">
        <v>0.37</v>
      </c>
      <c r="H59" s="497">
        <v>122596.06</v>
      </c>
      <c r="I59" s="497">
        <v>103389.39</v>
      </c>
      <c r="J59" s="497">
        <v>530461.01</v>
      </c>
      <c r="K59" s="497">
        <v>0.38</v>
      </c>
      <c r="L59" s="499">
        <v>129606.07</v>
      </c>
    </row>
    <row r="60" spans="1:12" ht="11.45" customHeight="1">
      <c r="A60" t="s">
        <v>910</v>
      </c>
      <c r="B60" s="571"/>
      <c r="C60" s="497">
        <v>35134639.18</v>
      </c>
      <c r="D60" s="497">
        <v>38323308.600000001</v>
      </c>
      <c r="E60" s="497">
        <v>7155706.04</v>
      </c>
      <c r="F60" s="497">
        <v>31913020.059999999</v>
      </c>
      <c r="G60" s="498">
        <v>21.78</v>
      </c>
      <c r="H60" s="497">
        <v>6410288.54</v>
      </c>
      <c r="I60" s="497">
        <v>7100984.9000000004</v>
      </c>
      <c r="J60" s="497">
        <v>31282641.5</v>
      </c>
      <c r="K60" s="498">
        <v>22.67</v>
      </c>
      <c r="L60" s="499">
        <v>7040667.0999999996</v>
      </c>
    </row>
    <row r="61" spans="1:12" ht="11.45" customHeight="1">
      <c r="B61" s="571" t="s">
        <v>880</v>
      </c>
      <c r="C61" s="497">
        <v>50640</v>
      </c>
      <c r="D61" s="497">
        <v>114604.96</v>
      </c>
      <c r="E61" s="497">
        <v>6303.95</v>
      </c>
      <c r="F61" s="497">
        <v>92649.19</v>
      </c>
      <c r="G61" s="498">
        <v>0.06</v>
      </c>
      <c r="H61" s="497">
        <v>21955.77</v>
      </c>
      <c r="I61" s="497">
        <v>13338.2</v>
      </c>
      <c r="J61" s="497">
        <v>80355.34</v>
      </c>
      <c r="K61" s="498">
        <v>0.06</v>
      </c>
      <c r="L61" s="499">
        <v>34249.620000000003</v>
      </c>
    </row>
    <row r="62" spans="1:12" ht="11.45" customHeight="1">
      <c r="B62" s="571" t="s">
        <v>888</v>
      </c>
      <c r="C62" s="497">
        <v>91145.04</v>
      </c>
      <c r="D62" s="497">
        <v>86099.04</v>
      </c>
      <c r="E62" s="497">
        <v>11126.9</v>
      </c>
      <c r="F62" s="497">
        <v>52047.89</v>
      </c>
      <c r="G62" s="498">
        <v>0.04</v>
      </c>
      <c r="H62" s="497">
        <v>34051.15</v>
      </c>
      <c r="I62" s="497">
        <v>11126.9</v>
      </c>
      <c r="J62" s="497">
        <v>52047.89</v>
      </c>
      <c r="K62" s="498">
        <v>0.04</v>
      </c>
      <c r="L62" s="499">
        <v>34051.15</v>
      </c>
    </row>
    <row r="63" spans="1:12" ht="11.45" customHeight="1">
      <c r="B63" s="571" t="s">
        <v>889</v>
      </c>
      <c r="C63" s="497">
        <v>23</v>
      </c>
      <c r="D63" s="497">
        <v>23</v>
      </c>
      <c r="E63" s="497">
        <v>0</v>
      </c>
      <c r="F63" s="497">
        <v>0</v>
      </c>
      <c r="G63" s="498">
        <v>0</v>
      </c>
      <c r="H63" s="497">
        <v>23</v>
      </c>
      <c r="I63" s="497">
        <v>0</v>
      </c>
      <c r="J63" s="497">
        <v>0</v>
      </c>
      <c r="K63" s="498">
        <v>0</v>
      </c>
      <c r="L63" s="499">
        <v>23</v>
      </c>
    </row>
    <row r="64" spans="1:12" ht="11.45" customHeight="1">
      <c r="B64" s="571" t="s">
        <v>890</v>
      </c>
      <c r="C64" s="497">
        <v>1521449.16</v>
      </c>
      <c r="D64" s="497">
        <v>1819721.16</v>
      </c>
      <c r="E64" s="497">
        <v>301775.03999999998</v>
      </c>
      <c r="F64" s="497">
        <v>1489116.12</v>
      </c>
      <c r="G64" s="498">
        <v>1.02</v>
      </c>
      <c r="H64" s="497">
        <v>330605.03999999998</v>
      </c>
      <c r="I64" s="497">
        <v>301775.03999999998</v>
      </c>
      <c r="J64" s="497">
        <v>1489116.12</v>
      </c>
      <c r="K64" s="498">
        <v>1.08</v>
      </c>
      <c r="L64" s="499">
        <v>330605.03999999998</v>
      </c>
    </row>
    <row r="65" spans="1:12" ht="11.45" customHeight="1">
      <c r="B65" s="571" t="s">
        <v>911</v>
      </c>
      <c r="C65" s="497">
        <v>19503609.329999998</v>
      </c>
      <c r="D65" s="497">
        <v>23017831.420000002</v>
      </c>
      <c r="E65" s="497">
        <v>4453160.7300000004</v>
      </c>
      <c r="F65" s="497">
        <v>19713436.559999999</v>
      </c>
      <c r="G65" s="498">
        <v>13.45</v>
      </c>
      <c r="H65" s="497">
        <v>3304394.86</v>
      </c>
      <c r="I65" s="497">
        <v>4439446.49</v>
      </c>
      <c r="J65" s="497">
        <v>19225943.800000001</v>
      </c>
      <c r="K65" s="498">
        <v>13.93</v>
      </c>
      <c r="L65" s="499">
        <v>3791887.62</v>
      </c>
    </row>
    <row r="66" spans="1:12" ht="11.45" customHeight="1">
      <c r="B66" s="571" t="s">
        <v>912</v>
      </c>
      <c r="C66" s="497">
        <v>1400080</v>
      </c>
      <c r="D66" s="497">
        <v>2091138.91</v>
      </c>
      <c r="E66" s="497">
        <v>637241.15</v>
      </c>
      <c r="F66" s="497">
        <v>2027027.36</v>
      </c>
      <c r="G66" s="498">
        <v>1.38</v>
      </c>
      <c r="H66" s="497">
        <v>64111.55</v>
      </c>
      <c r="I66" s="497">
        <v>605999.65</v>
      </c>
      <c r="J66" s="497">
        <v>1986329.16</v>
      </c>
      <c r="K66" s="498">
        <v>1.44</v>
      </c>
      <c r="L66" s="499">
        <v>104809.75</v>
      </c>
    </row>
    <row r="67" spans="1:12" ht="11.45" customHeight="1">
      <c r="B67" s="571" t="s">
        <v>913</v>
      </c>
      <c r="C67" s="497">
        <v>9155558.7599999998</v>
      </c>
      <c r="D67" s="497">
        <v>7964185.2199999997</v>
      </c>
      <c r="E67" s="497">
        <v>1195417.22</v>
      </c>
      <c r="F67" s="497">
        <v>6043795.6399999997</v>
      </c>
      <c r="G67" s="498">
        <v>4.12</v>
      </c>
      <c r="H67" s="497">
        <v>1920389.58</v>
      </c>
      <c r="I67" s="497">
        <v>1167869.97</v>
      </c>
      <c r="J67" s="497">
        <v>5973901.8899999997</v>
      </c>
      <c r="K67" s="498">
        <v>4.33</v>
      </c>
      <c r="L67" s="499">
        <v>1990283.33</v>
      </c>
    </row>
    <row r="68" spans="1:12" ht="11.45" customHeight="1">
      <c r="B68" s="571" t="s">
        <v>914</v>
      </c>
      <c r="C68" s="497">
        <v>520437.13</v>
      </c>
      <c r="D68" s="497">
        <v>582147.13</v>
      </c>
      <c r="E68" s="497">
        <v>67194.710000000006</v>
      </c>
      <c r="F68" s="497">
        <v>392577.75</v>
      </c>
      <c r="G68" s="498">
        <v>0.27</v>
      </c>
      <c r="H68" s="497">
        <v>189569.38</v>
      </c>
      <c r="I68" s="497">
        <v>67942.31</v>
      </c>
      <c r="J68" s="497">
        <v>392577.75</v>
      </c>
      <c r="K68" s="498">
        <v>0.28000000000000003</v>
      </c>
      <c r="L68" s="499">
        <v>189569.38</v>
      </c>
    </row>
    <row r="69" spans="1:12" ht="11.45" customHeight="1">
      <c r="B69" s="571" t="s">
        <v>915</v>
      </c>
      <c r="C69" s="497">
        <v>1811547.68</v>
      </c>
      <c r="D69" s="497">
        <v>1609690.68</v>
      </c>
      <c r="E69" s="497">
        <v>284078.78000000003</v>
      </c>
      <c r="F69" s="497">
        <v>1164549.78</v>
      </c>
      <c r="G69" s="498">
        <v>0.79</v>
      </c>
      <c r="H69" s="497">
        <v>445140.9</v>
      </c>
      <c r="I69" s="497">
        <v>294078.78000000003</v>
      </c>
      <c r="J69" s="497">
        <v>1144549.78</v>
      </c>
      <c r="K69" s="498">
        <v>0.83</v>
      </c>
      <c r="L69" s="499">
        <v>465140.9</v>
      </c>
    </row>
    <row r="70" spans="1:12" ht="11.45" customHeight="1">
      <c r="A70" s="571"/>
      <c r="B70" s="571" t="s">
        <v>916</v>
      </c>
      <c r="C70" s="497">
        <v>1080149.08</v>
      </c>
      <c r="D70" s="497">
        <v>1037867.08</v>
      </c>
      <c r="E70" s="497">
        <v>199407.56</v>
      </c>
      <c r="F70" s="497">
        <v>937819.77</v>
      </c>
      <c r="G70" s="498">
        <v>0.64</v>
      </c>
      <c r="H70" s="497">
        <v>100047.31</v>
      </c>
      <c r="I70" s="497">
        <v>199407.56</v>
      </c>
      <c r="J70" s="497">
        <v>937819.77</v>
      </c>
      <c r="K70" s="497">
        <v>0.68</v>
      </c>
      <c r="L70" s="499">
        <v>100047.31</v>
      </c>
    </row>
    <row r="71" spans="1:12" ht="11.45" customHeight="1">
      <c r="A71" t="s">
        <v>917</v>
      </c>
      <c r="B71" s="571"/>
      <c r="C71" s="497">
        <v>496407.82</v>
      </c>
      <c r="D71" s="497">
        <v>460498.26</v>
      </c>
      <c r="E71" s="497">
        <v>82061.3</v>
      </c>
      <c r="F71" s="497">
        <v>182810.9</v>
      </c>
      <c r="G71" s="498">
        <v>0.12</v>
      </c>
      <c r="H71" s="497">
        <v>277687.36</v>
      </c>
      <c r="I71" s="497">
        <v>34334.410000000003</v>
      </c>
      <c r="J71" s="497">
        <v>101568.78</v>
      </c>
      <c r="K71" s="498">
        <v>7.0000000000000007E-2</v>
      </c>
      <c r="L71" s="499">
        <v>358929.48</v>
      </c>
    </row>
    <row r="72" spans="1:12" ht="11.45" customHeight="1">
      <c r="B72" s="571" t="s">
        <v>880</v>
      </c>
      <c r="C72" s="497">
        <v>2001</v>
      </c>
      <c r="D72" s="497">
        <v>1505</v>
      </c>
      <c r="E72" s="497">
        <v>0</v>
      </c>
      <c r="F72" s="497">
        <v>0</v>
      </c>
      <c r="G72" s="498">
        <v>0</v>
      </c>
      <c r="H72" s="497">
        <v>1505</v>
      </c>
      <c r="I72" s="497">
        <v>0</v>
      </c>
      <c r="J72" s="497">
        <v>0</v>
      </c>
      <c r="K72" s="498">
        <v>0</v>
      </c>
      <c r="L72" s="499">
        <v>1505</v>
      </c>
    </row>
    <row r="73" spans="1:12" ht="11.45" customHeight="1">
      <c r="B73" s="571" t="s">
        <v>883</v>
      </c>
      <c r="C73" s="497">
        <v>1251.33</v>
      </c>
      <c r="D73" s="497">
        <v>38</v>
      </c>
      <c r="E73" s="497">
        <v>0</v>
      </c>
      <c r="F73" s="497">
        <v>0</v>
      </c>
      <c r="G73" s="498">
        <v>0</v>
      </c>
      <c r="H73" s="497">
        <v>38</v>
      </c>
      <c r="I73" s="497">
        <v>0</v>
      </c>
      <c r="J73" s="497">
        <v>0</v>
      </c>
      <c r="K73" s="498">
        <v>0</v>
      </c>
      <c r="L73" s="499">
        <v>38</v>
      </c>
    </row>
    <row r="74" spans="1:12" ht="11.45" customHeight="1">
      <c r="B74" s="571" t="s">
        <v>918</v>
      </c>
      <c r="C74" s="497">
        <v>22001</v>
      </c>
      <c r="D74" s="497">
        <v>6480.95</v>
      </c>
      <c r="E74" s="497">
        <v>0</v>
      </c>
      <c r="F74" s="497">
        <v>5899.77</v>
      </c>
      <c r="G74" s="498">
        <v>0</v>
      </c>
      <c r="H74" s="497">
        <v>581.17999999999995</v>
      </c>
      <c r="I74" s="497">
        <v>0</v>
      </c>
      <c r="J74" s="497">
        <v>5839.77</v>
      </c>
      <c r="K74" s="498">
        <v>0</v>
      </c>
      <c r="L74" s="499">
        <v>641.17999999999995</v>
      </c>
    </row>
    <row r="75" spans="1:12" ht="11.45" customHeight="1">
      <c r="B75" s="571" t="s">
        <v>919</v>
      </c>
      <c r="C75" s="497">
        <v>294245.33</v>
      </c>
      <c r="D75" s="497">
        <v>230591.32</v>
      </c>
      <c r="E75" s="497">
        <v>0</v>
      </c>
      <c r="F75" s="497">
        <v>52866.43</v>
      </c>
      <c r="G75" s="498">
        <v>0.04</v>
      </c>
      <c r="H75" s="497">
        <v>177724.89</v>
      </c>
      <c r="I75" s="497">
        <v>7858.73</v>
      </c>
      <c r="J75" s="497">
        <v>40041.43</v>
      </c>
      <c r="K75" s="498">
        <v>0.03</v>
      </c>
      <c r="L75" s="499">
        <v>190549.89</v>
      </c>
    </row>
    <row r="76" spans="1:12" ht="11.45" customHeight="1">
      <c r="A76" s="571"/>
      <c r="B76" s="571" t="s">
        <v>891</v>
      </c>
      <c r="C76" s="497">
        <v>176909.16</v>
      </c>
      <c r="D76" s="497">
        <v>221882.99</v>
      </c>
      <c r="E76" s="497">
        <v>82061.3</v>
      </c>
      <c r="F76" s="497">
        <v>124044.7</v>
      </c>
      <c r="G76" s="498">
        <v>0.08</v>
      </c>
      <c r="H76" s="497">
        <v>97838.29</v>
      </c>
      <c r="I76" s="497">
        <v>26475.68</v>
      </c>
      <c r="J76" s="497">
        <v>55687.58</v>
      </c>
      <c r="K76" s="497">
        <v>0.04</v>
      </c>
      <c r="L76" s="499">
        <v>166195.41</v>
      </c>
    </row>
    <row r="77" spans="1:12" ht="11.45" customHeight="1">
      <c r="A77" t="s">
        <v>920</v>
      </c>
      <c r="B77" s="571"/>
      <c r="C77" s="497">
        <v>18750</v>
      </c>
      <c r="D77" s="497">
        <v>18750</v>
      </c>
      <c r="E77" s="497">
        <v>0</v>
      </c>
      <c r="F77" s="497">
        <v>3612.65</v>
      </c>
      <c r="G77" s="498">
        <v>0</v>
      </c>
      <c r="H77" s="497">
        <v>15137.35</v>
      </c>
      <c r="I77" s="497">
        <v>0</v>
      </c>
      <c r="J77" s="497">
        <v>1796.84</v>
      </c>
      <c r="K77" s="498">
        <v>0</v>
      </c>
      <c r="L77" s="499">
        <v>16953.16</v>
      </c>
    </row>
    <row r="78" spans="1:12" ht="11.45" customHeight="1">
      <c r="B78" s="571" t="s">
        <v>880</v>
      </c>
      <c r="C78" s="497">
        <v>4750</v>
      </c>
      <c r="D78" s="497">
        <v>4750</v>
      </c>
      <c r="E78" s="497">
        <v>0</v>
      </c>
      <c r="F78" s="497">
        <v>0</v>
      </c>
      <c r="G78" s="498">
        <v>0</v>
      </c>
      <c r="H78" s="497">
        <v>4750</v>
      </c>
      <c r="I78" s="497">
        <v>0</v>
      </c>
      <c r="J78" s="497">
        <v>0</v>
      </c>
      <c r="K78" s="498">
        <v>0</v>
      </c>
      <c r="L78" s="499">
        <v>4750</v>
      </c>
    </row>
    <row r="79" spans="1:12" ht="11.45" customHeight="1">
      <c r="A79" s="571"/>
      <c r="B79" s="571" t="s">
        <v>921</v>
      </c>
      <c r="C79" s="497">
        <v>14000</v>
      </c>
      <c r="D79" s="497">
        <v>14000</v>
      </c>
      <c r="E79" s="497">
        <v>0</v>
      </c>
      <c r="F79" s="497">
        <v>3612.65</v>
      </c>
      <c r="G79" s="498">
        <v>0</v>
      </c>
      <c r="H79" s="497">
        <v>10387.35</v>
      </c>
      <c r="I79" s="497">
        <v>0</v>
      </c>
      <c r="J79" s="497">
        <v>1796.84</v>
      </c>
      <c r="K79" s="497">
        <v>0</v>
      </c>
      <c r="L79" s="499">
        <v>12203.16</v>
      </c>
    </row>
    <row r="80" spans="1:12" ht="11.45" customHeight="1">
      <c r="A80" t="s">
        <v>922</v>
      </c>
      <c r="B80" s="571"/>
      <c r="C80" s="497">
        <v>6449313.3899999997</v>
      </c>
      <c r="D80" s="497">
        <v>6929084.4400000004</v>
      </c>
      <c r="E80" s="497">
        <v>542226.37</v>
      </c>
      <c r="F80" s="497">
        <v>3530567.41</v>
      </c>
      <c r="G80" s="498">
        <v>2.41</v>
      </c>
      <c r="H80" s="497">
        <v>3398517.03</v>
      </c>
      <c r="I80" s="497">
        <v>746683.91</v>
      </c>
      <c r="J80" s="497">
        <v>2396866.7599999998</v>
      </c>
      <c r="K80" s="498">
        <v>1.74</v>
      </c>
      <c r="L80" s="499">
        <v>4532217.68</v>
      </c>
    </row>
    <row r="81" spans="1:12" ht="11.45" customHeight="1">
      <c r="B81" s="571" t="s">
        <v>923</v>
      </c>
      <c r="C81" s="497">
        <v>4524013.3899999997</v>
      </c>
      <c r="D81" s="497">
        <v>4848539.4400000004</v>
      </c>
      <c r="E81" s="497">
        <v>511539.55</v>
      </c>
      <c r="F81" s="497">
        <v>1715523.15</v>
      </c>
      <c r="G81" s="498">
        <v>1.17</v>
      </c>
      <c r="H81" s="497">
        <v>3133016.29</v>
      </c>
      <c r="I81" s="497">
        <v>338989.2</v>
      </c>
      <c r="J81" s="497">
        <v>1092208.74</v>
      </c>
      <c r="K81" s="498">
        <v>0.79</v>
      </c>
      <c r="L81" s="499">
        <v>3756330.7</v>
      </c>
    </row>
    <row r="82" spans="1:12" ht="11.45" customHeight="1">
      <c r="A82" s="571"/>
      <c r="B82" s="571" t="s">
        <v>924</v>
      </c>
      <c r="C82" s="497">
        <v>1925300</v>
      </c>
      <c r="D82" s="497">
        <v>2080545</v>
      </c>
      <c r="E82" s="497">
        <v>30686.82</v>
      </c>
      <c r="F82" s="497">
        <v>1815044.26</v>
      </c>
      <c r="G82" s="498">
        <v>1.24</v>
      </c>
      <c r="H82" s="497">
        <v>265500.74</v>
      </c>
      <c r="I82" s="497">
        <v>407694.71</v>
      </c>
      <c r="J82" s="497">
        <v>1304658.02</v>
      </c>
      <c r="K82" s="497">
        <v>0.95</v>
      </c>
      <c r="L82" s="499">
        <v>775886.98</v>
      </c>
    </row>
    <row r="83" spans="1:12" ht="11.45" customHeight="1">
      <c r="A83" t="s">
        <v>925</v>
      </c>
      <c r="B83" s="571"/>
      <c r="C83" s="497">
        <v>318286.84000000003</v>
      </c>
      <c r="D83" s="497">
        <v>288474.37</v>
      </c>
      <c r="E83" s="497">
        <v>-6089.59</v>
      </c>
      <c r="F83" s="497">
        <v>2548.96</v>
      </c>
      <c r="G83" s="498">
        <v>0</v>
      </c>
      <c r="H83" s="497">
        <v>285925.40999999997</v>
      </c>
      <c r="I83" s="497">
        <v>-8070</v>
      </c>
      <c r="J83" s="497">
        <v>568.54999999999995</v>
      </c>
      <c r="K83" s="498">
        <v>0</v>
      </c>
      <c r="L83" s="499">
        <v>287905.82</v>
      </c>
    </row>
    <row r="84" spans="1:12" ht="11.45" customHeight="1">
      <c r="B84" s="571" t="s">
        <v>899</v>
      </c>
      <c r="C84" s="497">
        <v>4000</v>
      </c>
      <c r="D84" s="497">
        <v>4000</v>
      </c>
      <c r="E84" s="497">
        <v>0</v>
      </c>
      <c r="F84" s="497">
        <v>0</v>
      </c>
      <c r="G84" s="498">
        <v>0</v>
      </c>
      <c r="H84" s="497">
        <v>4000</v>
      </c>
      <c r="I84" s="497">
        <v>0</v>
      </c>
      <c r="J84" s="497">
        <v>0</v>
      </c>
      <c r="K84" s="498">
        <v>0</v>
      </c>
      <c r="L84" s="499">
        <v>4000</v>
      </c>
    </row>
    <row r="85" spans="1:12" ht="11.45" customHeight="1">
      <c r="B85" s="571" t="s">
        <v>900</v>
      </c>
      <c r="C85" s="497">
        <v>65416.09</v>
      </c>
      <c r="D85" s="497">
        <v>63816.09</v>
      </c>
      <c r="E85" s="497">
        <v>0</v>
      </c>
      <c r="F85" s="497">
        <v>0</v>
      </c>
      <c r="G85" s="498">
        <v>0</v>
      </c>
      <c r="H85" s="497">
        <v>63816.09</v>
      </c>
      <c r="I85" s="497">
        <v>0</v>
      </c>
      <c r="J85" s="497">
        <v>0</v>
      </c>
      <c r="K85" s="498">
        <v>0</v>
      </c>
      <c r="L85" s="499">
        <v>63816.09</v>
      </c>
    </row>
    <row r="86" spans="1:12" ht="11.45" customHeight="1">
      <c r="A86" s="571"/>
      <c r="B86" s="571" t="s">
        <v>901</v>
      </c>
      <c r="C86" s="497">
        <v>248870.75</v>
      </c>
      <c r="D86" s="497">
        <v>220658.28</v>
      </c>
      <c r="E86" s="497">
        <v>-6089.59</v>
      </c>
      <c r="F86" s="497">
        <v>2548.96</v>
      </c>
      <c r="G86" s="498">
        <v>0</v>
      </c>
      <c r="H86" s="497">
        <v>218109.32</v>
      </c>
      <c r="I86" s="497">
        <v>-8070</v>
      </c>
      <c r="J86" s="497">
        <v>568.54999999999995</v>
      </c>
      <c r="K86" s="497">
        <v>0</v>
      </c>
      <c r="L86" s="499">
        <v>220089.73</v>
      </c>
    </row>
    <row r="87" spans="1:12" ht="11.45" customHeight="1">
      <c r="A87" t="s">
        <v>926</v>
      </c>
      <c r="B87" s="571"/>
      <c r="C87" s="497">
        <v>1996750</v>
      </c>
      <c r="D87" s="497">
        <v>2367340.09</v>
      </c>
      <c r="E87" s="497">
        <v>338178.58</v>
      </c>
      <c r="F87" s="497">
        <v>1858737.72</v>
      </c>
      <c r="G87" s="498">
        <v>1.27</v>
      </c>
      <c r="H87" s="497">
        <v>508602.37</v>
      </c>
      <c r="I87" s="497">
        <v>365553.72</v>
      </c>
      <c r="J87" s="497">
        <v>1657314.34</v>
      </c>
      <c r="K87" s="498">
        <v>1.2</v>
      </c>
      <c r="L87" s="499">
        <v>710025.75</v>
      </c>
    </row>
    <row r="88" spans="1:12" ht="11.45" customHeight="1">
      <c r="B88" s="571" t="s">
        <v>927</v>
      </c>
      <c r="C88" s="497">
        <v>85330</v>
      </c>
      <c r="D88" s="497">
        <v>90330</v>
      </c>
      <c r="E88" s="497">
        <v>23060</v>
      </c>
      <c r="F88" s="497">
        <v>75645.62</v>
      </c>
      <c r="G88" s="498">
        <v>0.05</v>
      </c>
      <c r="H88" s="497">
        <v>14684.38</v>
      </c>
      <c r="I88" s="497">
        <v>6628.69</v>
      </c>
      <c r="J88" s="497">
        <v>35624.65</v>
      </c>
      <c r="K88" s="498">
        <v>0.03</v>
      </c>
      <c r="L88" s="499">
        <v>54705.35</v>
      </c>
    </row>
    <row r="89" spans="1:12" ht="11.45" customHeight="1">
      <c r="A89" s="571"/>
      <c r="B89" s="571" t="s">
        <v>928</v>
      </c>
      <c r="C89" s="497">
        <v>1911420</v>
      </c>
      <c r="D89" s="497">
        <v>2277010.09</v>
      </c>
      <c r="E89" s="497">
        <v>315118.58</v>
      </c>
      <c r="F89" s="497">
        <v>1783092.1</v>
      </c>
      <c r="G89" s="498">
        <v>1.22</v>
      </c>
      <c r="H89" s="497">
        <v>493917.99</v>
      </c>
      <c r="I89" s="497">
        <v>358925.03</v>
      </c>
      <c r="J89" s="497">
        <v>1621689.69</v>
      </c>
      <c r="K89" s="497">
        <v>1.18</v>
      </c>
      <c r="L89" s="499">
        <v>655320.4</v>
      </c>
    </row>
    <row r="90" spans="1:12" ht="11.45" customHeight="1">
      <c r="A90" t="s">
        <v>929</v>
      </c>
      <c r="B90" s="571"/>
      <c r="C90" s="497">
        <v>220278.54</v>
      </c>
      <c r="D90" s="497">
        <v>766988.54</v>
      </c>
      <c r="E90" s="497">
        <v>39945.82</v>
      </c>
      <c r="F90" s="497">
        <v>391371.71</v>
      </c>
      <c r="G90" s="498">
        <v>0.27</v>
      </c>
      <c r="H90" s="497">
        <v>375616.83</v>
      </c>
      <c r="I90" s="497">
        <v>114896.43</v>
      </c>
      <c r="J90" s="497">
        <v>332019.31</v>
      </c>
      <c r="K90" s="498">
        <v>0.24</v>
      </c>
      <c r="L90" s="499">
        <v>434969.23</v>
      </c>
    </row>
    <row r="91" spans="1:12" ht="11.45" customHeight="1">
      <c r="B91" s="571" t="s">
        <v>930</v>
      </c>
      <c r="C91" s="497">
        <v>10000</v>
      </c>
      <c r="D91" s="497">
        <v>5</v>
      </c>
      <c r="E91" s="497">
        <v>0</v>
      </c>
      <c r="F91" s="497">
        <v>0</v>
      </c>
      <c r="G91" s="498">
        <v>0</v>
      </c>
      <c r="H91" s="497">
        <v>5</v>
      </c>
      <c r="I91" s="497">
        <v>0</v>
      </c>
      <c r="J91" s="497">
        <v>0</v>
      </c>
      <c r="K91" s="498">
        <v>0</v>
      </c>
      <c r="L91" s="499">
        <v>5</v>
      </c>
    </row>
    <row r="92" spans="1:12" ht="11.45" customHeight="1">
      <c r="B92" s="571" t="s">
        <v>931</v>
      </c>
      <c r="C92" s="497">
        <v>104128.8</v>
      </c>
      <c r="D92" s="497">
        <v>335336.8</v>
      </c>
      <c r="E92" s="497">
        <v>987.35</v>
      </c>
      <c r="F92" s="497">
        <v>21990.560000000001</v>
      </c>
      <c r="G92" s="498">
        <v>0.02</v>
      </c>
      <c r="H92" s="497">
        <v>313346.24</v>
      </c>
      <c r="I92" s="497">
        <v>1448.8</v>
      </c>
      <c r="J92" s="497">
        <v>12925.52</v>
      </c>
      <c r="K92" s="498">
        <v>0.01</v>
      </c>
      <c r="L92" s="499">
        <v>322411.28000000003</v>
      </c>
    </row>
    <row r="93" spans="1:12" ht="11.45" customHeight="1">
      <c r="A93" s="571"/>
      <c r="B93" s="571" t="s">
        <v>932</v>
      </c>
      <c r="C93" s="497">
        <v>106149.74</v>
      </c>
      <c r="D93" s="497">
        <v>431646.74</v>
      </c>
      <c r="E93" s="497">
        <v>38958.47</v>
      </c>
      <c r="F93" s="497">
        <v>369381.15</v>
      </c>
      <c r="G93" s="498">
        <v>0.25</v>
      </c>
      <c r="H93" s="497">
        <v>62265.59</v>
      </c>
      <c r="I93" s="497">
        <v>113447.63</v>
      </c>
      <c r="J93" s="497">
        <v>319093.78999999998</v>
      </c>
      <c r="K93" s="497">
        <v>0.23</v>
      </c>
      <c r="L93" s="499">
        <v>112552.95</v>
      </c>
    </row>
    <row r="94" spans="1:12" ht="11.45" customHeight="1">
      <c r="A94" t="s">
        <v>933</v>
      </c>
      <c r="B94" s="571"/>
      <c r="C94" s="497">
        <v>873999</v>
      </c>
      <c r="D94" s="497">
        <v>1095627</v>
      </c>
      <c r="E94" s="497">
        <v>37773.83</v>
      </c>
      <c r="F94" s="497">
        <v>505343.7</v>
      </c>
      <c r="G94" s="498">
        <v>0.34</v>
      </c>
      <c r="H94" s="497">
        <v>590283.30000000005</v>
      </c>
      <c r="I94" s="497">
        <v>158335.48000000001</v>
      </c>
      <c r="J94" s="497">
        <v>358939.96</v>
      </c>
      <c r="K94" s="498">
        <v>0.26</v>
      </c>
      <c r="L94" s="499">
        <v>736687.04</v>
      </c>
    </row>
    <row r="95" spans="1:12" ht="11.45" customHeight="1">
      <c r="B95" s="571" t="s">
        <v>934</v>
      </c>
      <c r="C95" s="497">
        <v>40000</v>
      </c>
      <c r="D95" s="497">
        <v>25000</v>
      </c>
      <c r="E95" s="497">
        <v>0</v>
      </c>
      <c r="F95" s="497">
        <v>108.69</v>
      </c>
      <c r="G95" s="498">
        <v>0</v>
      </c>
      <c r="H95" s="497">
        <v>24891.31</v>
      </c>
      <c r="I95" s="497">
        <v>0</v>
      </c>
      <c r="J95" s="497">
        <v>108.69</v>
      </c>
      <c r="K95" s="498">
        <v>0</v>
      </c>
      <c r="L95" s="499">
        <v>24891.31</v>
      </c>
    </row>
    <row r="96" spans="1:12" ht="11.45" customHeight="1">
      <c r="B96" s="571" t="s">
        <v>935</v>
      </c>
      <c r="C96" s="497">
        <v>541999</v>
      </c>
      <c r="D96" s="497">
        <v>785524</v>
      </c>
      <c r="E96" s="497">
        <v>10200</v>
      </c>
      <c r="F96" s="497">
        <v>306799.81</v>
      </c>
      <c r="G96" s="498">
        <v>0.21</v>
      </c>
      <c r="H96" s="497">
        <v>478724.19</v>
      </c>
      <c r="I96" s="497">
        <v>125865.79</v>
      </c>
      <c r="J96" s="497">
        <v>220310.29</v>
      </c>
      <c r="K96" s="498">
        <v>0.16</v>
      </c>
      <c r="L96" s="499">
        <v>565213.71</v>
      </c>
    </row>
    <row r="97" spans="1:12" ht="11.45" customHeight="1">
      <c r="B97" s="571" t="s">
        <v>936</v>
      </c>
      <c r="C97" s="497">
        <v>267000</v>
      </c>
      <c r="D97" s="497">
        <v>265103</v>
      </c>
      <c r="E97" s="497">
        <v>27573.83</v>
      </c>
      <c r="F97" s="497">
        <v>191445.2</v>
      </c>
      <c r="G97" s="498">
        <v>0.13</v>
      </c>
      <c r="H97" s="497">
        <v>73657.8</v>
      </c>
      <c r="I97" s="497">
        <v>31075.91</v>
      </c>
      <c r="J97" s="497">
        <v>132472.9</v>
      </c>
      <c r="K97" s="498">
        <v>0.1</v>
      </c>
      <c r="L97" s="499">
        <v>132630.1</v>
      </c>
    </row>
    <row r="98" spans="1:12" ht="11.45" customHeight="1">
      <c r="A98" s="571"/>
      <c r="B98" s="571" t="s">
        <v>937</v>
      </c>
      <c r="C98" s="497">
        <v>25000</v>
      </c>
      <c r="D98" s="497">
        <v>20000</v>
      </c>
      <c r="E98" s="497">
        <v>0</v>
      </c>
      <c r="F98" s="497">
        <v>6990</v>
      </c>
      <c r="G98" s="498">
        <v>0</v>
      </c>
      <c r="H98" s="497">
        <v>13010</v>
      </c>
      <c r="I98" s="497">
        <v>1393.78</v>
      </c>
      <c r="J98" s="497">
        <v>6048.08</v>
      </c>
      <c r="K98" s="497">
        <v>0</v>
      </c>
      <c r="L98" s="499">
        <v>13951.92</v>
      </c>
    </row>
    <row r="99" spans="1:12" ht="11.45" customHeight="1">
      <c r="A99" t="s">
        <v>938</v>
      </c>
      <c r="B99" s="571"/>
      <c r="C99" s="497">
        <v>15001</v>
      </c>
      <c r="D99" s="497">
        <v>15001</v>
      </c>
      <c r="E99" s="497">
        <v>0</v>
      </c>
      <c r="F99" s="497">
        <v>1950</v>
      </c>
      <c r="G99" s="498">
        <v>0</v>
      </c>
      <c r="H99" s="497">
        <v>13051</v>
      </c>
      <c r="I99" s="497">
        <v>0</v>
      </c>
      <c r="J99" s="497">
        <v>1950</v>
      </c>
      <c r="K99" s="498">
        <v>0</v>
      </c>
      <c r="L99" s="499">
        <v>13051</v>
      </c>
    </row>
    <row r="100" spans="1:12" ht="11.45" customHeight="1">
      <c r="A100" s="571"/>
      <c r="B100" s="571" t="s">
        <v>939</v>
      </c>
      <c r="C100" s="497">
        <v>15001</v>
      </c>
      <c r="D100" s="497">
        <v>15001</v>
      </c>
      <c r="E100" s="497">
        <v>0</v>
      </c>
      <c r="F100" s="497">
        <v>1950</v>
      </c>
      <c r="G100" s="498">
        <v>0</v>
      </c>
      <c r="H100" s="497">
        <v>13051</v>
      </c>
      <c r="I100" s="497">
        <v>0</v>
      </c>
      <c r="J100" s="497">
        <v>1950</v>
      </c>
      <c r="K100" s="497">
        <v>0</v>
      </c>
      <c r="L100" s="499">
        <v>13051</v>
      </c>
    </row>
    <row r="101" spans="1:12" ht="11.45" customHeight="1">
      <c r="A101" t="s">
        <v>940</v>
      </c>
      <c r="B101" s="571"/>
      <c r="C101" s="497">
        <v>75004</v>
      </c>
      <c r="D101" s="497">
        <v>64520.73</v>
      </c>
      <c r="E101" s="497">
        <v>5058.92</v>
      </c>
      <c r="F101" s="497">
        <v>38713.65</v>
      </c>
      <c r="G101" s="498">
        <v>0.03</v>
      </c>
      <c r="H101" s="497">
        <v>25807.08</v>
      </c>
      <c r="I101" s="497">
        <v>9386.3700000000008</v>
      </c>
      <c r="J101" s="497">
        <v>32248.65</v>
      </c>
      <c r="K101" s="498">
        <v>0.02</v>
      </c>
      <c r="L101" s="499">
        <v>32272.080000000002</v>
      </c>
    </row>
    <row r="102" spans="1:12" ht="11.45" customHeight="1">
      <c r="B102" s="571" t="s">
        <v>930</v>
      </c>
      <c r="C102" s="497">
        <v>1500</v>
      </c>
      <c r="D102" s="497">
        <v>1500</v>
      </c>
      <c r="E102" s="497">
        <v>0</v>
      </c>
      <c r="F102" s="497">
        <v>0</v>
      </c>
      <c r="G102" s="498">
        <v>0</v>
      </c>
      <c r="H102" s="497">
        <v>1500</v>
      </c>
      <c r="I102" s="497">
        <v>0</v>
      </c>
      <c r="J102" s="497">
        <v>0</v>
      </c>
      <c r="K102" s="498">
        <v>0</v>
      </c>
      <c r="L102" s="499">
        <v>1500</v>
      </c>
    </row>
    <row r="103" spans="1:12" ht="11.45" customHeight="1">
      <c r="B103" s="571" t="s">
        <v>941</v>
      </c>
      <c r="C103" s="497">
        <v>46504</v>
      </c>
      <c r="D103" s="497">
        <v>32904</v>
      </c>
      <c r="E103" s="497">
        <v>345.41</v>
      </c>
      <c r="F103" s="497">
        <v>13895.61</v>
      </c>
      <c r="G103" s="498">
        <v>0.01</v>
      </c>
      <c r="H103" s="497">
        <v>19008.39</v>
      </c>
      <c r="I103" s="497">
        <v>4345.41</v>
      </c>
      <c r="J103" s="497">
        <v>13895.61</v>
      </c>
      <c r="K103" s="498">
        <v>0.01</v>
      </c>
      <c r="L103" s="499">
        <v>19008.39</v>
      </c>
    </row>
    <row r="104" spans="1:12" ht="11.45" customHeight="1">
      <c r="A104" s="571"/>
      <c r="B104" s="571" t="s">
        <v>891</v>
      </c>
      <c r="C104" s="497">
        <v>27000</v>
      </c>
      <c r="D104" s="497">
        <v>30116.73</v>
      </c>
      <c r="E104" s="497">
        <v>4713.51</v>
      </c>
      <c r="F104" s="497">
        <v>24818.04</v>
      </c>
      <c r="G104" s="498">
        <v>0.02</v>
      </c>
      <c r="H104" s="497">
        <v>5298.69</v>
      </c>
      <c r="I104" s="497">
        <v>5040.96</v>
      </c>
      <c r="J104" s="497">
        <v>18353.04</v>
      </c>
      <c r="K104" s="497">
        <v>0.01</v>
      </c>
      <c r="L104" s="499">
        <v>11763.69</v>
      </c>
    </row>
    <row r="105" spans="1:12" ht="11.45" customHeight="1">
      <c r="A105" t="s">
        <v>942</v>
      </c>
      <c r="B105" s="571"/>
      <c r="C105" s="497">
        <v>39980</v>
      </c>
      <c r="D105" s="497">
        <v>15928.52</v>
      </c>
      <c r="E105" s="497">
        <v>0</v>
      </c>
      <c r="F105" s="497">
        <v>11322.99</v>
      </c>
      <c r="G105" s="498">
        <v>0.01</v>
      </c>
      <c r="H105" s="497">
        <v>4605.53</v>
      </c>
      <c r="I105" s="497">
        <v>219.47</v>
      </c>
      <c r="J105" s="497">
        <v>9160.93</v>
      </c>
      <c r="K105" s="498">
        <v>0.01</v>
      </c>
      <c r="L105" s="499">
        <v>6767.59</v>
      </c>
    </row>
    <row r="106" spans="1:12" ht="11.45" customHeight="1">
      <c r="A106" s="571"/>
      <c r="B106" s="571" t="s">
        <v>943</v>
      </c>
      <c r="C106" s="497">
        <v>39980</v>
      </c>
      <c r="D106" s="497">
        <v>15928.52</v>
      </c>
      <c r="E106" s="497">
        <v>0</v>
      </c>
      <c r="F106" s="497">
        <v>11322.99</v>
      </c>
      <c r="G106" s="498">
        <v>0.01</v>
      </c>
      <c r="H106" s="497">
        <v>4605.53</v>
      </c>
      <c r="I106" s="497">
        <v>219.47</v>
      </c>
      <c r="J106" s="497">
        <v>9160.93</v>
      </c>
      <c r="K106" s="497">
        <v>0.01</v>
      </c>
      <c r="L106" s="499">
        <v>6767.59</v>
      </c>
    </row>
    <row r="107" spans="1:12" ht="11.45" customHeight="1">
      <c r="A107" t="s">
        <v>944</v>
      </c>
      <c r="B107" s="571"/>
      <c r="C107" s="497">
        <v>6206048.1500000004</v>
      </c>
      <c r="D107" s="497">
        <v>6318483.1500000004</v>
      </c>
      <c r="E107" s="497">
        <v>223261.2</v>
      </c>
      <c r="F107" s="497">
        <v>5749263.7199999997</v>
      </c>
      <c r="G107" s="498">
        <v>3.92</v>
      </c>
      <c r="H107" s="497">
        <v>569219.43000000005</v>
      </c>
      <c r="I107" s="497">
        <v>1674646.96</v>
      </c>
      <c r="J107" s="497">
        <v>2200669.48</v>
      </c>
      <c r="K107" s="498">
        <v>1.59</v>
      </c>
      <c r="L107" s="499">
        <v>4117813.67</v>
      </c>
    </row>
    <row r="108" spans="1:12" ht="11.45" customHeight="1">
      <c r="A108" s="571"/>
      <c r="B108" s="571" t="s">
        <v>945</v>
      </c>
      <c r="C108" s="497">
        <v>6206048.1500000004</v>
      </c>
      <c r="D108" s="497">
        <v>6318483.1500000004</v>
      </c>
      <c r="E108" s="497">
        <v>223261.2</v>
      </c>
      <c r="F108" s="497">
        <v>5749263.7199999997</v>
      </c>
      <c r="G108" s="498">
        <v>3.92</v>
      </c>
      <c r="H108" s="497">
        <v>569219.43000000005</v>
      </c>
      <c r="I108" s="497">
        <v>1674646.96</v>
      </c>
      <c r="J108" s="497">
        <v>2200669.48</v>
      </c>
      <c r="K108" s="497">
        <v>1.59</v>
      </c>
      <c r="L108" s="499">
        <v>4117813.67</v>
      </c>
    </row>
    <row r="109" spans="1:12" ht="11.45" customHeight="1">
      <c r="A109" t="s">
        <v>946</v>
      </c>
      <c r="B109" s="571"/>
      <c r="C109" s="497">
        <v>371658.55</v>
      </c>
      <c r="D109" s="497">
        <v>1510879.64</v>
      </c>
      <c r="E109" s="497">
        <v>107549.32</v>
      </c>
      <c r="F109" s="497">
        <v>608791.32999999996</v>
      </c>
      <c r="G109" s="498">
        <v>0.42</v>
      </c>
      <c r="H109" s="497">
        <v>902088.31</v>
      </c>
      <c r="I109" s="497">
        <v>98495.08</v>
      </c>
      <c r="J109" s="497">
        <v>574231.56999999995</v>
      </c>
      <c r="K109" s="498">
        <v>0.42</v>
      </c>
      <c r="L109" s="499">
        <v>936648.07</v>
      </c>
    </row>
    <row r="110" spans="1:12" ht="11.45" customHeight="1">
      <c r="A110" s="571"/>
      <c r="B110" s="571" t="s">
        <v>947</v>
      </c>
      <c r="C110" s="497">
        <v>371658.55</v>
      </c>
      <c r="D110" s="497">
        <v>1510879.64</v>
      </c>
      <c r="E110" s="497">
        <v>107549.32</v>
      </c>
      <c r="F110" s="497">
        <v>608791.32999999996</v>
      </c>
      <c r="G110" s="498">
        <v>0.42</v>
      </c>
      <c r="H110" s="497">
        <v>902088.31</v>
      </c>
      <c r="I110" s="497">
        <v>98495.08</v>
      </c>
      <c r="J110" s="497">
        <v>574231.56999999995</v>
      </c>
      <c r="K110" s="497">
        <v>0.42</v>
      </c>
      <c r="L110" s="499">
        <v>936648.07</v>
      </c>
    </row>
    <row r="111" spans="1:12" ht="11.45" customHeight="1">
      <c r="A111" t="s">
        <v>948</v>
      </c>
      <c r="B111" s="571"/>
      <c r="C111" s="497">
        <v>2554500.75</v>
      </c>
      <c r="D111" s="497">
        <v>2549830.75</v>
      </c>
      <c r="E111" s="497">
        <v>222437.24</v>
      </c>
      <c r="F111" s="497">
        <v>2357075.75</v>
      </c>
      <c r="G111" s="498">
        <v>1.61</v>
      </c>
      <c r="H111" s="497">
        <v>192755</v>
      </c>
      <c r="I111" s="497">
        <v>452477.52</v>
      </c>
      <c r="J111" s="497">
        <v>2285618.25</v>
      </c>
      <c r="K111" s="498">
        <v>1.66</v>
      </c>
      <c r="L111" s="499">
        <v>264212.5</v>
      </c>
    </row>
    <row r="112" spans="1:12" ht="11.45" customHeight="1">
      <c r="B112" s="571" t="s">
        <v>949</v>
      </c>
      <c r="C112" s="497">
        <v>1400</v>
      </c>
      <c r="D112" s="497">
        <v>0</v>
      </c>
      <c r="E112" s="497">
        <v>0</v>
      </c>
      <c r="F112" s="497">
        <v>0</v>
      </c>
      <c r="G112" s="498">
        <v>0</v>
      </c>
      <c r="H112" s="497">
        <v>0</v>
      </c>
      <c r="I112" s="497">
        <v>0</v>
      </c>
      <c r="J112" s="497">
        <v>0</v>
      </c>
      <c r="K112" s="498">
        <v>0</v>
      </c>
      <c r="L112" s="499">
        <v>0</v>
      </c>
    </row>
    <row r="113" spans="1:12" ht="11.45" customHeight="1">
      <c r="A113" s="571"/>
      <c r="B113" s="571" t="s">
        <v>950</v>
      </c>
      <c r="C113" s="497">
        <v>2553100.75</v>
      </c>
      <c r="D113" s="497">
        <v>2549830.75</v>
      </c>
      <c r="E113" s="497">
        <v>222437.24</v>
      </c>
      <c r="F113" s="497">
        <v>2357075.75</v>
      </c>
      <c r="G113" s="498">
        <v>1.61</v>
      </c>
      <c r="H113" s="497">
        <v>192755</v>
      </c>
      <c r="I113" s="497">
        <v>452477.52</v>
      </c>
      <c r="J113" s="497">
        <v>2285618.25</v>
      </c>
      <c r="K113" s="497">
        <v>1.66</v>
      </c>
      <c r="L113" s="499">
        <v>264212.5</v>
      </c>
    </row>
    <row r="114" spans="1:12" ht="11.45" customHeight="1">
      <c r="A114" t="s">
        <v>951</v>
      </c>
      <c r="B114" s="571"/>
      <c r="C114" s="497">
        <v>709.85</v>
      </c>
      <c r="D114" s="497">
        <v>709.85</v>
      </c>
      <c r="E114" s="497">
        <v>0</v>
      </c>
      <c r="F114" s="497">
        <v>0</v>
      </c>
      <c r="G114" s="498">
        <v>0</v>
      </c>
      <c r="H114" s="497">
        <v>709.85</v>
      </c>
      <c r="I114" s="497">
        <v>0</v>
      </c>
      <c r="J114" s="497">
        <v>0</v>
      </c>
      <c r="K114" s="498">
        <v>0</v>
      </c>
      <c r="L114" s="499">
        <v>709.85</v>
      </c>
    </row>
    <row r="115" spans="1:12" ht="11.45" customHeight="1">
      <c r="A115" s="571"/>
      <c r="B115" s="494" t="s">
        <v>951</v>
      </c>
      <c r="C115" s="497">
        <v>709.85</v>
      </c>
      <c r="D115" s="497">
        <v>709.85</v>
      </c>
      <c r="E115" s="497">
        <v>0</v>
      </c>
      <c r="F115" s="497">
        <v>0</v>
      </c>
      <c r="G115" s="497">
        <v>0</v>
      </c>
      <c r="H115" s="497">
        <v>709.85</v>
      </c>
      <c r="I115" s="497">
        <v>0</v>
      </c>
      <c r="J115" s="497">
        <v>0</v>
      </c>
      <c r="K115" s="497">
        <v>0</v>
      </c>
      <c r="L115" s="499">
        <v>709.85</v>
      </c>
    </row>
    <row r="116" spans="1:12" ht="11.45" customHeight="1">
      <c r="A116" s="573" t="s">
        <v>952</v>
      </c>
      <c r="B116" s="573"/>
      <c r="C116" s="500">
        <v>31912416.760000002</v>
      </c>
      <c r="D116" s="500">
        <v>32983772.73</v>
      </c>
      <c r="E116" s="500">
        <v>6168742.21</v>
      </c>
      <c r="F116" s="500">
        <v>28155589.34</v>
      </c>
      <c r="G116" s="501">
        <v>19.216511756890998</v>
      </c>
      <c r="H116" s="500">
        <v>4828183.3899999997</v>
      </c>
      <c r="I116" s="500">
        <v>6138152.7699999996</v>
      </c>
      <c r="J116" s="500">
        <v>28124999.899999999</v>
      </c>
      <c r="K116" s="501">
        <v>20.380298562366399</v>
      </c>
      <c r="L116" s="502">
        <v>4858772.83</v>
      </c>
    </row>
    <row r="117" spans="1:12" ht="11.45" customHeight="1">
      <c r="A117" s="503" t="s">
        <v>953</v>
      </c>
      <c r="B117" s="494"/>
      <c r="C117" s="497">
        <v>166698144.47</v>
      </c>
      <c r="D117" s="497">
        <v>180142416.19999999</v>
      </c>
      <c r="E117" s="497">
        <v>28259586.510000002</v>
      </c>
      <c r="F117" s="497">
        <v>146517691.12</v>
      </c>
      <c r="G117" s="497">
        <v>100</v>
      </c>
      <c r="H117" s="497">
        <v>33624725.079999998</v>
      </c>
      <c r="I117" s="497">
        <v>30598701.18</v>
      </c>
      <c r="J117" s="497">
        <v>138000921.88999999</v>
      </c>
      <c r="K117" s="497">
        <v>100</v>
      </c>
      <c r="L117" s="499">
        <v>42141494.310000002</v>
      </c>
    </row>
    <row r="118" spans="1:12" ht="11.45" customHeight="1">
      <c r="A118" s="571" t="s">
        <v>954</v>
      </c>
      <c r="B118" s="571"/>
      <c r="C118" s="497">
        <v>31912416.760000002</v>
      </c>
      <c r="D118" s="497">
        <v>32983772.73</v>
      </c>
      <c r="E118" s="497">
        <v>6168742.21</v>
      </c>
      <c r="F118" s="497">
        <v>28155589.34</v>
      </c>
      <c r="G118" s="498">
        <v>19.216511756890998</v>
      </c>
      <c r="H118" s="497">
        <v>4828183.3899999997</v>
      </c>
      <c r="I118" s="497">
        <v>6138152.7699999996</v>
      </c>
      <c r="J118" s="497">
        <v>28124999.899999999</v>
      </c>
      <c r="K118" s="497">
        <v>20.380298562366399</v>
      </c>
      <c r="L118" s="499">
        <v>4858772.83</v>
      </c>
    </row>
    <row r="119" spans="1:12" ht="11.45" customHeight="1">
      <c r="A119" t="s">
        <v>874</v>
      </c>
      <c r="B119" s="571"/>
      <c r="C119" s="497">
        <v>701558.98</v>
      </c>
      <c r="D119" s="497">
        <v>382184.54</v>
      </c>
      <c r="E119" s="497">
        <v>36733.93</v>
      </c>
      <c r="F119" s="497">
        <v>176929.88</v>
      </c>
      <c r="G119" s="498">
        <v>0.12</v>
      </c>
      <c r="H119" s="497">
        <v>205254.66</v>
      </c>
      <c r="I119" s="497">
        <v>36733.93</v>
      </c>
      <c r="J119" s="497">
        <v>176929.88</v>
      </c>
      <c r="K119" s="498">
        <v>0.13</v>
      </c>
      <c r="L119" s="499">
        <v>205254.66</v>
      </c>
    </row>
    <row r="120" spans="1:12" ht="11.45" customHeight="1">
      <c r="A120" s="571"/>
      <c r="B120" s="571" t="s">
        <v>875</v>
      </c>
      <c r="C120" s="497">
        <v>701558.98</v>
      </c>
      <c r="D120" s="497">
        <v>382184.54</v>
      </c>
      <c r="E120" s="497">
        <v>36733.93</v>
      </c>
      <c r="F120" s="497">
        <v>176929.88</v>
      </c>
      <c r="G120" s="498">
        <v>0.12</v>
      </c>
      <c r="H120" s="497">
        <v>205254.66</v>
      </c>
      <c r="I120" s="497">
        <v>36733.93</v>
      </c>
      <c r="J120" s="497">
        <v>176929.88</v>
      </c>
      <c r="K120" s="497">
        <v>0.13</v>
      </c>
      <c r="L120" s="499">
        <v>205254.66</v>
      </c>
    </row>
    <row r="121" spans="1:12" ht="11.45" customHeight="1">
      <c r="A121" t="s">
        <v>878</v>
      </c>
      <c r="B121" s="571"/>
      <c r="C121" s="497">
        <v>14122819.539999999</v>
      </c>
      <c r="D121" s="497">
        <v>14100438.539999999</v>
      </c>
      <c r="E121" s="497">
        <v>2716552.08</v>
      </c>
      <c r="F121" s="497">
        <v>12314381.27</v>
      </c>
      <c r="G121" s="498">
        <v>8.4</v>
      </c>
      <c r="H121" s="497">
        <v>1786057.27</v>
      </c>
      <c r="I121" s="497">
        <v>2716552.08</v>
      </c>
      <c r="J121" s="497">
        <v>12314381.27</v>
      </c>
      <c r="K121" s="498">
        <v>8.92</v>
      </c>
      <c r="L121" s="499">
        <v>1786057.27</v>
      </c>
    </row>
    <row r="122" spans="1:12" ht="11.45" customHeight="1">
      <c r="B122" s="571" t="s">
        <v>880</v>
      </c>
      <c r="C122" s="497">
        <v>1464781.08</v>
      </c>
      <c r="D122" s="497">
        <v>1724684.88</v>
      </c>
      <c r="E122" s="497">
        <v>235064.76</v>
      </c>
      <c r="F122" s="497">
        <v>1075206.29</v>
      </c>
      <c r="G122" s="498">
        <v>0.73</v>
      </c>
      <c r="H122" s="497">
        <v>649478.59</v>
      </c>
      <c r="I122" s="497">
        <v>235064.76</v>
      </c>
      <c r="J122" s="497">
        <v>1075206.29</v>
      </c>
      <c r="K122" s="498">
        <v>0.78</v>
      </c>
      <c r="L122" s="499">
        <v>649478.59</v>
      </c>
    </row>
    <row r="123" spans="1:12" ht="11.45" customHeight="1">
      <c r="A123" s="571"/>
      <c r="B123" s="571" t="s">
        <v>903</v>
      </c>
      <c r="C123" s="497">
        <v>12658038.460000001</v>
      </c>
      <c r="D123" s="497">
        <v>12375753.66</v>
      </c>
      <c r="E123" s="497">
        <v>2481487.3199999998</v>
      </c>
      <c r="F123" s="497">
        <v>11239174.98</v>
      </c>
      <c r="G123" s="498">
        <v>7.67</v>
      </c>
      <c r="H123" s="497">
        <v>1136578.68</v>
      </c>
      <c r="I123" s="497">
        <v>2481487.3199999998</v>
      </c>
      <c r="J123" s="497">
        <v>11239174.98</v>
      </c>
      <c r="K123" s="497">
        <v>8.14</v>
      </c>
      <c r="L123" s="499">
        <v>1136578.68</v>
      </c>
    </row>
    <row r="124" spans="1:12" ht="11.45" customHeight="1">
      <c r="A124" t="s">
        <v>892</v>
      </c>
      <c r="B124" s="571"/>
      <c r="C124" s="497">
        <v>200</v>
      </c>
      <c r="D124" s="497">
        <v>0</v>
      </c>
      <c r="E124" s="497">
        <v>0</v>
      </c>
      <c r="F124" s="497">
        <v>0</v>
      </c>
      <c r="G124" s="498">
        <v>0</v>
      </c>
      <c r="H124" s="497">
        <v>0</v>
      </c>
      <c r="I124" s="497">
        <v>0</v>
      </c>
      <c r="J124" s="497">
        <v>0</v>
      </c>
      <c r="K124" s="498">
        <v>0</v>
      </c>
      <c r="L124" s="499">
        <v>0</v>
      </c>
    </row>
    <row r="125" spans="1:12" ht="11.45" customHeight="1">
      <c r="A125" s="571"/>
      <c r="B125" s="571" t="s">
        <v>893</v>
      </c>
      <c r="C125" s="497">
        <v>200</v>
      </c>
      <c r="D125" s="497">
        <v>0</v>
      </c>
      <c r="E125" s="497">
        <v>0</v>
      </c>
      <c r="F125" s="497">
        <v>0</v>
      </c>
      <c r="G125" s="498">
        <v>0</v>
      </c>
      <c r="H125" s="497">
        <v>0</v>
      </c>
      <c r="I125" s="497">
        <v>0</v>
      </c>
      <c r="J125" s="497">
        <v>0</v>
      </c>
      <c r="K125" s="497">
        <v>0</v>
      </c>
      <c r="L125" s="499">
        <v>0</v>
      </c>
    </row>
    <row r="126" spans="1:12" ht="11.45" customHeight="1">
      <c r="A126" t="s">
        <v>905</v>
      </c>
      <c r="B126" s="571"/>
      <c r="C126" s="497">
        <v>5593489.3399999999</v>
      </c>
      <c r="D126" s="497">
        <v>5720268.1600000001</v>
      </c>
      <c r="E126" s="497">
        <v>1053148.74</v>
      </c>
      <c r="F126" s="497">
        <v>4751658.8600000003</v>
      </c>
      <c r="G126" s="498">
        <v>3.24</v>
      </c>
      <c r="H126" s="497">
        <v>968609.3</v>
      </c>
      <c r="I126" s="497">
        <v>1053148.74</v>
      </c>
      <c r="J126" s="497">
        <v>4751658.8600000003</v>
      </c>
      <c r="K126" s="498">
        <v>3.44</v>
      </c>
      <c r="L126" s="499">
        <v>968609.3</v>
      </c>
    </row>
    <row r="127" spans="1:12" ht="11.45" customHeight="1">
      <c r="B127" s="571" t="s">
        <v>880</v>
      </c>
      <c r="C127" s="497">
        <v>137638.44</v>
      </c>
      <c r="D127" s="497">
        <v>132638.44</v>
      </c>
      <c r="E127" s="497">
        <v>13776.94</v>
      </c>
      <c r="F127" s="497">
        <v>70150.539999999994</v>
      </c>
      <c r="G127" s="498">
        <v>0.05</v>
      </c>
      <c r="H127" s="497">
        <v>62487.9</v>
      </c>
      <c r="I127" s="497">
        <v>13776.94</v>
      </c>
      <c r="J127" s="497">
        <v>70150.539999999994</v>
      </c>
      <c r="K127" s="498">
        <v>0.05</v>
      </c>
      <c r="L127" s="499">
        <v>62487.9</v>
      </c>
    </row>
    <row r="128" spans="1:12" ht="11.45" customHeight="1">
      <c r="B128" s="571" t="s">
        <v>903</v>
      </c>
      <c r="C128" s="497">
        <v>5178968.3899999997</v>
      </c>
      <c r="D128" s="497">
        <v>5174372.3899999997</v>
      </c>
      <c r="E128" s="497">
        <v>997424.38</v>
      </c>
      <c r="F128" s="497">
        <v>4376670.8099999996</v>
      </c>
      <c r="G128" s="498">
        <v>2.99</v>
      </c>
      <c r="H128" s="497">
        <v>797701.58</v>
      </c>
      <c r="I128" s="497">
        <v>997424.38</v>
      </c>
      <c r="J128" s="497">
        <v>4376670.8099999996</v>
      </c>
      <c r="K128" s="498">
        <v>3.17</v>
      </c>
      <c r="L128" s="499">
        <v>797701.58</v>
      </c>
    </row>
    <row r="129" spans="1:12" ht="11.45" customHeight="1">
      <c r="B129" s="571" t="s">
        <v>906</v>
      </c>
      <c r="C129" s="497">
        <v>154539.35999999999</v>
      </c>
      <c r="D129" s="497">
        <v>290914.18</v>
      </c>
      <c r="E129" s="497">
        <v>26818.32</v>
      </c>
      <c r="F129" s="497">
        <v>232505.95</v>
      </c>
      <c r="G129" s="498">
        <v>0.16</v>
      </c>
      <c r="H129" s="497">
        <v>58408.23</v>
      </c>
      <c r="I129" s="497">
        <v>26818.32</v>
      </c>
      <c r="J129" s="497">
        <v>232505.95</v>
      </c>
      <c r="K129" s="498">
        <v>0.17</v>
      </c>
      <c r="L129" s="499">
        <v>58408.23</v>
      </c>
    </row>
    <row r="130" spans="1:12" ht="11.45" customHeight="1">
      <c r="B130" s="571" t="s">
        <v>904</v>
      </c>
      <c r="C130" s="497">
        <v>98244.4</v>
      </c>
      <c r="D130" s="497">
        <v>98244.4</v>
      </c>
      <c r="E130" s="497">
        <v>11603.29</v>
      </c>
      <c r="F130" s="497">
        <v>56761.83</v>
      </c>
      <c r="G130" s="498">
        <v>0.04</v>
      </c>
      <c r="H130" s="497">
        <v>41482.57</v>
      </c>
      <c r="I130" s="497">
        <v>11603.29</v>
      </c>
      <c r="J130" s="497">
        <v>56761.83</v>
      </c>
      <c r="K130" s="498">
        <v>0.04</v>
      </c>
      <c r="L130" s="499">
        <v>41482.57</v>
      </c>
    </row>
    <row r="131" spans="1:12" ht="11.45" customHeight="1">
      <c r="B131" s="571" t="s">
        <v>907</v>
      </c>
      <c r="C131" s="497">
        <v>4542.76</v>
      </c>
      <c r="D131" s="497">
        <v>4542.76</v>
      </c>
      <c r="E131" s="497">
        <v>520.74</v>
      </c>
      <c r="F131" s="497">
        <v>2415.9299999999998</v>
      </c>
      <c r="G131" s="498">
        <v>0</v>
      </c>
      <c r="H131" s="497">
        <v>2126.83</v>
      </c>
      <c r="I131" s="497">
        <v>520.74</v>
      </c>
      <c r="J131" s="497">
        <v>2415.9299999999998</v>
      </c>
      <c r="K131" s="498">
        <v>0</v>
      </c>
      <c r="L131" s="499">
        <v>2126.83</v>
      </c>
    </row>
    <row r="132" spans="1:12" ht="11.45" customHeight="1">
      <c r="B132" s="571" t="s">
        <v>908</v>
      </c>
      <c r="C132" s="497">
        <v>500</v>
      </c>
      <c r="D132" s="497">
        <v>500</v>
      </c>
      <c r="E132" s="497">
        <v>0</v>
      </c>
      <c r="F132" s="497">
        <v>0</v>
      </c>
      <c r="G132" s="498">
        <v>0</v>
      </c>
      <c r="H132" s="497">
        <v>500</v>
      </c>
      <c r="I132" s="497">
        <v>0</v>
      </c>
      <c r="J132" s="497">
        <v>0</v>
      </c>
      <c r="K132" s="498">
        <v>0</v>
      </c>
      <c r="L132" s="499">
        <v>500</v>
      </c>
    </row>
    <row r="133" spans="1:12" ht="11.45" customHeight="1">
      <c r="A133" s="571"/>
      <c r="B133" s="571" t="s">
        <v>909</v>
      </c>
      <c r="C133" s="497">
        <v>19055.990000000002</v>
      </c>
      <c r="D133" s="497">
        <v>19055.990000000002</v>
      </c>
      <c r="E133" s="497">
        <v>3005.07</v>
      </c>
      <c r="F133" s="497">
        <v>13153.8</v>
      </c>
      <c r="G133" s="498">
        <v>0.01</v>
      </c>
      <c r="H133" s="497">
        <v>5902.19</v>
      </c>
      <c r="I133" s="497">
        <v>3005.07</v>
      </c>
      <c r="J133" s="497">
        <v>13153.8</v>
      </c>
      <c r="K133" s="497">
        <v>0.01</v>
      </c>
      <c r="L133" s="499">
        <v>5902.19</v>
      </c>
    </row>
    <row r="134" spans="1:12" ht="11.45" customHeight="1">
      <c r="A134" t="s">
        <v>910</v>
      </c>
      <c r="B134" s="571"/>
      <c r="C134" s="497">
        <v>11200443.92</v>
      </c>
      <c r="D134" s="497">
        <v>12418202.07</v>
      </c>
      <c r="E134" s="497">
        <v>2295996.92</v>
      </c>
      <c r="F134" s="497">
        <v>10592922.039999999</v>
      </c>
      <c r="G134" s="498">
        <v>7.23</v>
      </c>
      <c r="H134" s="497">
        <v>1825280.03</v>
      </c>
      <c r="I134" s="497">
        <v>2265407.48</v>
      </c>
      <c r="J134" s="497">
        <v>10562332.6</v>
      </c>
      <c r="K134" s="498">
        <v>7.65</v>
      </c>
      <c r="L134" s="499">
        <v>1855869.47</v>
      </c>
    </row>
    <row r="135" spans="1:12" ht="11.45" customHeight="1">
      <c r="B135" s="571" t="s">
        <v>903</v>
      </c>
      <c r="C135" s="497">
        <v>10037493.220000001</v>
      </c>
      <c r="D135" s="497">
        <v>11261390.369999999</v>
      </c>
      <c r="E135" s="497">
        <v>2057422.08</v>
      </c>
      <c r="F135" s="497">
        <v>9887574.0099999998</v>
      </c>
      <c r="G135" s="498">
        <v>6.75</v>
      </c>
      <c r="H135" s="497">
        <v>1373816.36</v>
      </c>
      <c r="I135" s="497">
        <v>2026832.64</v>
      </c>
      <c r="J135" s="497">
        <v>9856984.5700000003</v>
      </c>
      <c r="K135" s="498">
        <v>7.14</v>
      </c>
      <c r="L135" s="499">
        <v>1404405.8</v>
      </c>
    </row>
    <row r="136" spans="1:12" ht="11.45" customHeight="1">
      <c r="B136" s="571" t="s">
        <v>911</v>
      </c>
      <c r="C136" s="497">
        <v>447049.67</v>
      </c>
      <c r="D136" s="497">
        <v>449352.67</v>
      </c>
      <c r="E136" s="497">
        <v>59290.77</v>
      </c>
      <c r="F136" s="497">
        <v>261863.37</v>
      </c>
      <c r="G136" s="498">
        <v>0.18</v>
      </c>
      <c r="H136" s="497">
        <v>187489.3</v>
      </c>
      <c r="I136" s="497">
        <v>59290.77</v>
      </c>
      <c r="J136" s="497">
        <v>261863.37</v>
      </c>
      <c r="K136" s="498">
        <v>0.19</v>
      </c>
      <c r="L136" s="499">
        <v>187489.3</v>
      </c>
    </row>
    <row r="137" spans="1:12" ht="11.45" customHeight="1">
      <c r="B137" s="571" t="s">
        <v>913</v>
      </c>
      <c r="C137" s="497">
        <v>629118.94999999995</v>
      </c>
      <c r="D137" s="497">
        <v>632743.94999999995</v>
      </c>
      <c r="E137" s="497">
        <v>170994.29</v>
      </c>
      <c r="F137" s="497">
        <v>404066.82</v>
      </c>
      <c r="G137" s="498">
        <v>0.28000000000000003</v>
      </c>
      <c r="H137" s="497">
        <v>228677.13</v>
      </c>
      <c r="I137" s="497">
        <v>170994.29</v>
      </c>
      <c r="J137" s="497">
        <v>404066.82</v>
      </c>
      <c r="K137" s="498">
        <v>0.28999999999999998</v>
      </c>
      <c r="L137" s="499">
        <v>228677.13</v>
      </c>
    </row>
    <row r="138" spans="1:12" ht="11.45" customHeight="1">
      <c r="B138" s="571" t="s">
        <v>914</v>
      </c>
      <c r="C138" s="497">
        <v>17237.47</v>
      </c>
      <c r="D138" s="497">
        <v>18287.47</v>
      </c>
      <c r="E138" s="497">
        <v>1548.78</v>
      </c>
      <c r="F138" s="497">
        <v>7952.59</v>
      </c>
      <c r="G138" s="498">
        <v>0.01</v>
      </c>
      <c r="H138" s="497">
        <v>10334.879999999999</v>
      </c>
      <c r="I138" s="497">
        <v>1548.78</v>
      </c>
      <c r="J138" s="497">
        <v>7952.59</v>
      </c>
      <c r="K138" s="498">
        <v>0.01</v>
      </c>
      <c r="L138" s="499">
        <v>10334.879999999999</v>
      </c>
    </row>
    <row r="139" spans="1:12" ht="11.45" customHeight="1">
      <c r="B139" s="571" t="s">
        <v>915</v>
      </c>
      <c r="C139" s="497">
        <v>47965.77</v>
      </c>
      <c r="D139" s="497">
        <v>34848.769999999997</v>
      </c>
      <c r="E139" s="497">
        <v>3682.07</v>
      </c>
      <c r="F139" s="497">
        <v>18331</v>
      </c>
      <c r="G139" s="498">
        <v>0.01</v>
      </c>
      <c r="H139" s="497">
        <v>16517.77</v>
      </c>
      <c r="I139" s="497">
        <v>3682.07</v>
      </c>
      <c r="J139" s="497">
        <v>18331</v>
      </c>
      <c r="K139" s="498">
        <v>0.01</v>
      </c>
      <c r="L139" s="499">
        <v>16517.77</v>
      </c>
    </row>
    <row r="140" spans="1:12" ht="11.45" customHeight="1">
      <c r="A140" s="571"/>
      <c r="B140" s="571" t="s">
        <v>916</v>
      </c>
      <c r="C140" s="497">
        <v>21578.84</v>
      </c>
      <c r="D140" s="497">
        <v>21578.84</v>
      </c>
      <c r="E140" s="497">
        <v>3058.93</v>
      </c>
      <c r="F140" s="497">
        <v>13134.25</v>
      </c>
      <c r="G140" s="498">
        <v>0.01</v>
      </c>
      <c r="H140" s="497">
        <v>8444.59</v>
      </c>
      <c r="I140" s="497">
        <v>3058.93</v>
      </c>
      <c r="J140" s="497">
        <v>13134.25</v>
      </c>
      <c r="K140" s="497">
        <v>0.01</v>
      </c>
      <c r="L140" s="499">
        <v>8444.59</v>
      </c>
    </row>
    <row r="141" spans="1:12" ht="11.45" customHeight="1">
      <c r="A141" t="s">
        <v>948</v>
      </c>
      <c r="B141" s="571"/>
      <c r="C141" s="497">
        <v>293904.98</v>
      </c>
      <c r="D141" s="497">
        <v>362679.42</v>
      </c>
      <c r="E141" s="497">
        <v>66310.539999999994</v>
      </c>
      <c r="F141" s="497">
        <v>319697.28999999998</v>
      </c>
      <c r="G141" s="498">
        <v>0.22</v>
      </c>
      <c r="H141" s="497">
        <v>42982.13</v>
      </c>
      <c r="I141" s="497">
        <v>66310.539999999994</v>
      </c>
      <c r="J141" s="497">
        <v>319697.28999999998</v>
      </c>
      <c r="K141" s="498">
        <v>0.23</v>
      </c>
      <c r="L141" s="499">
        <v>42982.13</v>
      </c>
    </row>
    <row r="142" spans="1:12" ht="11.45" customHeight="1">
      <c r="B142" s="571" t="s">
        <v>903</v>
      </c>
      <c r="C142" s="497">
        <v>288304.98</v>
      </c>
      <c r="D142" s="497">
        <v>357679.42</v>
      </c>
      <c r="E142" s="497">
        <v>66310.539999999994</v>
      </c>
      <c r="F142" s="497">
        <v>319697.28999999998</v>
      </c>
      <c r="G142" s="498">
        <v>0.22</v>
      </c>
      <c r="H142" s="497">
        <v>37982.129999999997</v>
      </c>
      <c r="I142" s="497">
        <v>66310.539999999994</v>
      </c>
      <c r="J142" s="497">
        <v>319697.28999999998</v>
      </c>
      <c r="K142" s="498">
        <v>0.23</v>
      </c>
      <c r="L142" s="499">
        <v>37982.129999999997</v>
      </c>
    </row>
    <row r="143" spans="1:12" ht="11.45" customHeight="1">
      <c r="B143" s="571" t="s">
        <v>949</v>
      </c>
      <c r="C143" s="497">
        <v>600</v>
      </c>
      <c r="D143" s="497">
        <v>0</v>
      </c>
      <c r="E143" s="497">
        <v>0</v>
      </c>
      <c r="F143" s="497">
        <v>0</v>
      </c>
      <c r="G143" s="498">
        <v>0</v>
      </c>
      <c r="H143" s="497">
        <v>0</v>
      </c>
      <c r="I143" s="497">
        <v>0</v>
      </c>
      <c r="J143" s="497">
        <v>0</v>
      </c>
      <c r="K143" s="498">
        <v>0</v>
      </c>
      <c r="L143" s="499">
        <v>0</v>
      </c>
    </row>
    <row r="144" spans="1:12" ht="11.45" customHeight="1">
      <c r="A144" s="572"/>
      <c r="B144" s="572" t="s">
        <v>950</v>
      </c>
      <c r="C144" s="504">
        <v>5000</v>
      </c>
      <c r="D144" s="504">
        <v>5000</v>
      </c>
      <c r="E144" s="504">
        <v>0</v>
      </c>
      <c r="F144" s="504">
        <v>0</v>
      </c>
      <c r="G144" s="504">
        <v>0</v>
      </c>
      <c r="H144" s="504">
        <v>5000</v>
      </c>
      <c r="I144" s="504">
        <v>0</v>
      </c>
      <c r="J144" s="504">
        <v>0</v>
      </c>
      <c r="K144" s="504">
        <v>0</v>
      </c>
      <c r="L144" s="505">
        <v>5000</v>
      </c>
    </row>
    <row r="145" spans="1:12">
      <c r="A145" t="s">
        <v>273</v>
      </c>
      <c r="C145" s="352">
        <v>31912416.760000002</v>
      </c>
      <c r="D145" s="352">
        <v>32983772.73</v>
      </c>
      <c r="E145" s="352">
        <v>6168742.21</v>
      </c>
      <c r="F145" s="352">
        <v>28155589.34</v>
      </c>
      <c r="G145" s="352">
        <v>19.216511756890998</v>
      </c>
      <c r="H145" s="352">
        <v>4828183.3899999997</v>
      </c>
      <c r="I145" s="352">
        <v>6138152.7699999996</v>
      </c>
      <c r="J145" s="352">
        <v>28124999.899999999</v>
      </c>
      <c r="K145" s="352">
        <v>20.380298562366399</v>
      </c>
      <c r="L145" s="352">
        <v>4858772.83</v>
      </c>
    </row>
    <row r="152" spans="1:12">
      <c r="A152" s="662"/>
      <c r="B152" s="662"/>
      <c r="C152" s="662"/>
      <c r="D152" s="662"/>
      <c r="E152" s="662"/>
      <c r="F152" s="662"/>
      <c r="G152" s="662"/>
      <c r="H152" s="662"/>
      <c r="I152" s="662"/>
      <c r="J152" s="662"/>
      <c r="K152" s="662"/>
    </row>
    <row r="153" spans="1:12">
      <c r="A153" s="875" t="s">
        <v>955</v>
      </c>
      <c r="B153" s="875"/>
      <c r="C153" s="875"/>
      <c r="D153" s="875"/>
      <c r="E153" s="875"/>
      <c r="F153" s="875"/>
      <c r="G153" s="875"/>
      <c r="H153" s="875"/>
      <c r="I153" s="875"/>
      <c r="J153" s="875"/>
      <c r="K153" s="875"/>
      <c r="L153" s="875"/>
    </row>
    <row r="154" spans="1:12">
      <c r="A154" s="875" t="s">
        <v>956</v>
      </c>
      <c r="B154" s="875"/>
      <c r="C154" s="875"/>
      <c r="D154" s="875"/>
      <c r="E154" s="875"/>
      <c r="F154" s="875"/>
      <c r="G154" s="875"/>
      <c r="H154" s="875"/>
      <c r="I154" s="875"/>
      <c r="J154" s="875"/>
      <c r="K154" s="875"/>
      <c r="L154" s="875"/>
    </row>
    <row r="155" spans="1:12">
      <c r="A155" s="875" t="s">
        <v>957</v>
      </c>
      <c r="B155" s="875"/>
      <c r="C155" s="875"/>
      <c r="D155" s="875"/>
      <c r="E155" s="875"/>
      <c r="F155" s="875"/>
      <c r="G155" s="875"/>
      <c r="H155" s="875"/>
      <c r="I155" s="875"/>
      <c r="J155" s="875"/>
      <c r="K155" s="875"/>
      <c r="L155" s="875"/>
    </row>
    <row r="156" spans="1:12">
      <c r="A156" s="874" t="s">
        <v>1237</v>
      </c>
      <c r="B156" s="874"/>
      <c r="C156" s="874"/>
      <c r="D156" s="874"/>
      <c r="E156" s="874"/>
      <c r="F156" s="874"/>
      <c r="G156" s="874"/>
      <c r="H156" s="874"/>
      <c r="I156" s="874"/>
      <c r="J156" s="874"/>
      <c r="K156" s="874"/>
      <c r="L156" s="874"/>
    </row>
  </sheetData>
  <mergeCells count="4">
    <mergeCell ref="A156:L156"/>
    <mergeCell ref="A154:L154"/>
    <mergeCell ref="A153:L153"/>
    <mergeCell ref="A155:L155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>
  <dimension ref="A1:L135"/>
  <sheetViews>
    <sheetView topLeftCell="A38" workbookViewId="0">
      <selection activeCell="C38" sqref="C38"/>
    </sheetView>
  </sheetViews>
  <sheetFormatPr defaultRowHeight="15"/>
  <cols>
    <col min="1" max="1" width="27.28515625" customWidth="1"/>
    <col min="2" max="2" width="5" customWidth="1"/>
    <col min="3" max="3" width="9.140625" customWidth="1"/>
    <col min="4" max="4" width="12" bestFit="1" customWidth="1"/>
    <col min="5" max="5" width="9.140625" customWidth="1"/>
    <col min="6" max="6" width="8.140625" customWidth="1"/>
    <col min="7" max="7" width="0.85546875" customWidth="1"/>
    <col min="8" max="8" width="5.140625" customWidth="1"/>
    <col min="9" max="9" width="4" customWidth="1"/>
    <col min="10" max="10" width="7" customWidth="1"/>
    <col min="11" max="11" width="2" customWidth="1"/>
    <col min="12" max="12" width="9.140625" customWidth="1"/>
  </cols>
  <sheetData>
    <row r="1" spans="1:12" ht="11.85" customHeight="1">
      <c r="A1" s="675" t="s">
        <v>758</v>
      </c>
      <c r="B1" s="675"/>
      <c r="C1" s="675"/>
      <c r="D1" s="675"/>
      <c r="K1" s="682" t="s">
        <v>959</v>
      </c>
      <c r="L1" s="682"/>
    </row>
    <row r="2" spans="1:12" ht="11.1" customHeight="1">
      <c r="A2" s="675" t="s">
        <v>678</v>
      </c>
      <c r="B2" s="675"/>
      <c r="C2" s="675"/>
      <c r="D2" s="675"/>
    </row>
    <row r="3" spans="1:12" ht="11.85" customHeight="1">
      <c r="A3" s="676" t="s">
        <v>960</v>
      </c>
      <c r="B3" s="676"/>
      <c r="C3" s="676"/>
      <c r="D3" s="676"/>
    </row>
    <row r="4" spans="1:12" ht="11.85" customHeight="1">
      <c r="A4" s="675" t="s">
        <v>859</v>
      </c>
      <c r="B4" s="675"/>
      <c r="C4" s="675"/>
      <c r="D4" s="675"/>
    </row>
    <row r="5" spans="1:12" ht="11.85" customHeight="1">
      <c r="A5" s="675" t="s">
        <v>1236</v>
      </c>
      <c r="B5" s="675"/>
      <c r="C5" s="675"/>
      <c r="D5" s="675"/>
    </row>
    <row r="6" spans="1:12" ht="5.85" customHeight="1"/>
    <row r="7" spans="1:12" ht="11.1" customHeight="1">
      <c r="A7" s="677" t="s">
        <v>961</v>
      </c>
      <c r="B7" s="482"/>
      <c r="C7" s="482"/>
      <c r="D7" s="482"/>
      <c r="E7" s="482"/>
      <c r="F7" s="482"/>
      <c r="G7" s="482"/>
      <c r="H7" s="482"/>
      <c r="I7" s="687" t="s">
        <v>754</v>
      </c>
      <c r="J7" s="687"/>
      <c r="K7" s="687"/>
      <c r="L7" s="687"/>
    </row>
    <row r="8" spans="1:12" ht="11.85" customHeight="1">
      <c r="A8" s="666" t="s">
        <v>962</v>
      </c>
      <c r="B8" s="667"/>
      <c r="C8" s="667"/>
      <c r="D8" s="667"/>
      <c r="E8" s="667"/>
      <c r="F8" s="667"/>
      <c r="G8" s="667"/>
      <c r="H8" s="667"/>
      <c r="I8" s="667"/>
      <c r="J8" s="667"/>
      <c r="K8" s="667"/>
      <c r="L8" s="668"/>
    </row>
    <row r="9" spans="1:12" ht="11.85" customHeight="1">
      <c r="A9" s="666" t="s">
        <v>963</v>
      </c>
      <c r="B9" s="688"/>
      <c r="C9" s="693" t="s">
        <v>687</v>
      </c>
      <c r="D9" s="696" t="s">
        <v>964</v>
      </c>
      <c r="E9" s="697"/>
      <c r="F9" s="697"/>
      <c r="G9" s="697"/>
      <c r="H9" s="697"/>
      <c r="I9" s="697"/>
      <c r="J9" s="697"/>
      <c r="K9" s="697"/>
      <c r="L9" s="698"/>
    </row>
    <row r="10" spans="1:12" ht="11.85" customHeight="1">
      <c r="A10" s="689"/>
      <c r="B10" s="690"/>
      <c r="C10" s="694"/>
      <c r="D10" s="699" t="s">
        <v>688</v>
      </c>
      <c r="E10" s="700"/>
      <c r="F10" s="700"/>
      <c r="G10" s="700"/>
      <c r="H10" s="700"/>
      <c r="I10" s="700"/>
      <c r="J10" s="700"/>
      <c r="K10" s="700"/>
      <c r="L10" s="701"/>
    </row>
    <row r="11" spans="1:12" ht="5.0999999999999996" customHeight="1">
      <c r="A11" s="691"/>
      <c r="B11" s="692"/>
      <c r="C11" s="695"/>
      <c r="D11" s="702" t="s">
        <v>717</v>
      </c>
      <c r="E11" s="703"/>
      <c r="F11" s="703"/>
      <c r="G11" s="703"/>
      <c r="H11" s="703"/>
      <c r="I11" s="703"/>
      <c r="J11" s="703"/>
      <c r="K11" s="703"/>
      <c r="L11" s="704"/>
    </row>
    <row r="12" spans="1:12" ht="11.85" customHeight="1">
      <c r="A12" s="683" t="s">
        <v>965</v>
      </c>
      <c r="B12" s="684"/>
      <c r="C12" s="669" t="s">
        <v>1238</v>
      </c>
      <c r="D12" s="669" t="s">
        <v>1239</v>
      </c>
      <c r="F12" s="671"/>
      <c r="G12" s="671"/>
      <c r="H12" s="671"/>
      <c r="I12" s="671"/>
      <c r="J12" s="671"/>
      <c r="K12" s="671"/>
      <c r="L12" s="670"/>
    </row>
    <row r="13" spans="1:12" ht="11.85" customHeight="1">
      <c r="A13" s="685" t="s">
        <v>1240</v>
      </c>
      <c r="B13" s="686"/>
      <c r="C13" s="672" t="s">
        <v>774</v>
      </c>
      <c r="D13" s="672" t="s">
        <v>1241</v>
      </c>
      <c r="F13" s="674"/>
      <c r="G13" s="674"/>
      <c r="H13" s="674"/>
      <c r="I13" s="674"/>
      <c r="J13" s="674"/>
      <c r="K13" s="674"/>
      <c r="L13" s="673"/>
    </row>
    <row r="14" spans="1:12" ht="11.85" customHeight="1">
      <c r="A14" s="685" t="s">
        <v>1242</v>
      </c>
      <c r="B14" s="686"/>
      <c r="C14" s="672" t="s">
        <v>966</v>
      </c>
      <c r="D14" s="672" t="s">
        <v>1243</v>
      </c>
      <c r="F14" s="674"/>
      <c r="G14" s="674"/>
      <c r="H14" s="674"/>
      <c r="I14" s="674"/>
      <c r="J14" s="674"/>
      <c r="K14" s="674"/>
      <c r="L14" s="673"/>
    </row>
    <row r="15" spans="1:12" ht="11.1" customHeight="1">
      <c r="A15" s="685" t="s">
        <v>1244</v>
      </c>
      <c r="B15" s="686"/>
      <c r="C15" s="672" t="s">
        <v>967</v>
      </c>
      <c r="D15" s="672" t="s">
        <v>1245</v>
      </c>
      <c r="F15" s="674"/>
      <c r="G15" s="674"/>
      <c r="H15" s="674"/>
      <c r="I15" s="674"/>
      <c r="J15" s="674"/>
      <c r="K15" s="674"/>
      <c r="L15" s="673"/>
    </row>
    <row r="16" spans="1:12" ht="11.85" customHeight="1">
      <c r="A16" s="685" t="s">
        <v>1246</v>
      </c>
      <c r="B16" s="686"/>
      <c r="C16" s="672" t="s">
        <v>968</v>
      </c>
      <c r="D16" s="672" t="s">
        <v>1247</v>
      </c>
      <c r="F16" s="674"/>
      <c r="G16" s="674"/>
      <c r="H16" s="674"/>
      <c r="I16" s="674"/>
      <c r="J16" s="674"/>
      <c r="K16" s="674"/>
      <c r="L16" s="673"/>
    </row>
    <row r="17" spans="1:12" ht="11.85" customHeight="1">
      <c r="A17" s="685" t="s">
        <v>1248</v>
      </c>
      <c r="B17" s="686"/>
      <c r="C17" s="672" t="s">
        <v>969</v>
      </c>
      <c r="D17" s="672" t="s">
        <v>1249</v>
      </c>
      <c r="F17" s="674"/>
      <c r="G17" s="674"/>
      <c r="H17" s="674"/>
      <c r="I17" s="674"/>
      <c r="J17" s="674"/>
      <c r="K17" s="674"/>
      <c r="L17" s="673"/>
    </row>
    <row r="18" spans="1:12" ht="11.85" customHeight="1">
      <c r="A18" s="685" t="s">
        <v>1250</v>
      </c>
      <c r="B18" s="686"/>
      <c r="C18" s="672" t="s">
        <v>970</v>
      </c>
      <c r="D18" s="672" t="s">
        <v>1251</v>
      </c>
      <c r="F18" s="674"/>
      <c r="G18" s="674"/>
      <c r="H18" s="674"/>
      <c r="I18" s="674"/>
      <c r="J18" s="674"/>
      <c r="K18" s="674"/>
      <c r="L18" s="673"/>
    </row>
    <row r="19" spans="1:12" ht="11.1" customHeight="1">
      <c r="A19" s="685" t="s">
        <v>1252</v>
      </c>
      <c r="B19" s="686"/>
      <c r="C19" s="672" t="s">
        <v>778</v>
      </c>
      <c r="D19" s="672" t="s">
        <v>1253</v>
      </c>
      <c r="F19" s="674"/>
      <c r="G19" s="674"/>
      <c r="H19" s="674"/>
      <c r="I19" s="674"/>
      <c r="J19" s="674"/>
      <c r="K19" s="674"/>
      <c r="L19" s="673"/>
    </row>
    <row r="20" spans="1:12" ht="11.85" customHeight="1">
      <c r="A20" s="685" t="s">
        <v>1254</v>
      </c>
      <c r="B20" s="686"/>
      <c r="C20" s="672" t="s">
        <v>1255</v>
      </c>
      <c r="D20" s="672" t="s">
        <v>1256</v>
      </c>
      <c r="F20" s="674"/>
      <c r="G20" s="674"/>
      <c r="H20" s="674"/>
      <c r="I20" s="674"/>
      <c r="J20" s="674"/>
      <c r="K20" s="674"/>
      <c r="L20" s="673"/>
    </row>
    <row r="21" spans="1:12" ht="11.85" customHeight="1">
      <c r="A21" s="685" t="s">
        <v>1257</v>
      </c>
      <c r="B21" s="686"/>
      <c r="C21" s="672" t="s">
        <v>1258</v>
      </c>
      <c r="D21" s="672" t="s">
        <v>1259</v>
      </c>
      <c r="F21" s="674"/>
      <c r="G21" s="674"/>
      <c r="H21" s="674"/>
      <c r="I21" s="674"/>
      <c r="J21" s="674"/>
      <c r="K21" s="674"/>
      <c r="L21" s="673"/>
    </row>
    <row r="22" spans="1:12" ht="11.85" customHeight="1">
      <c r="A22" s="685" t="s">
        <v>1260</v>
      </c>
      <c r="B22" s="686"/>
      <c r="C22" s="672" t="s">
        <v>782</v>
      </c>
      <c r="D22" s="672" t="s">
        <v>1261</v>
      </c>
      <c r="F22" s="674"/>
      <c r="G22" s="674"/>
      <c r="H22" s="674"/>
      <c r="I22" s="674"/>
      <c r="J22" s="674"/>
      <c r="K22" s="674"/>
      <c r="L22" s="673"/>
    </row>
    <row r="23" spans="1:12" ht="11.1" customHeight="1">
      <c r="A23" s="685" t="s">
        <v>1262</v>
      </c>
      <c r="B23" s="686"/>
      <c r="C23" s="672" t="s">
        <v>1263</v>
      </c>
      <c r="D23" s="672" t="s">
        <v>1264</v>
      </c>
      <c r="F23" s="674"/>
      <c r="G23" s="674"/>
      <c r="H23" s="674"/>
      <c r="I23" s="674"/>
      <c r="J23" s="674"/>
      <c r="K23" s="674"/>
      <c r="L23" s="673"/>
    </row>
    <row r="24" spans="1:12" ht="11.85" customHeight="1">
      <c r="A24" s="685" t="s">
        <v>1265</v>
      </c>
      <c r="B24" s="686"/>
      <c r="C24" s="672" t="s">
        <v>971</v>
      </c>
      <c r="D24" s="672" t="s">
        <v>1266</v>
      </c>
      <c r="F24" s="674"/>
      <c r="G24" s="674"/>
      <c r="H24" s="674"/>
      <c r="I24" s="674"/>
      <c r="J24" s="674"/>
      <c r="K24" s="674"/>
      <c r="L24" s="673"/>
    </row>
    <row r="25" spans="1:12" ht="11.85" customHeight="1">
      <c r="A25" s="685" t="s">
        <v>1267</v>
      </c>
      <c r="B25" s="686"/>
      <c r="C25" s="672" t="s">
        <v>972</v>
      </c>
      <c r="D25" s="672" t="s">
        <v>1268</v>
      </c>
      <c r="F25" s="674"/>
      <c r="G25" s="674"/>
      <c r="H25" s="674"/>
      <c r="I25" s="674"/>
      <c r="J25" s="674"/>
      <c r="K25" s="674"/>
      <c r="L25" s="673"/>
    </row>
    <row r="26" spans="1:12" ht="11.85" customHeight="1">
      <c r="A26" s="685" t="s">
        <v>1269</v>
      </c>
      <c r="B26" s="686"/>
      <c r="C26" s="672" t="s">
        <v>973</v>
      </c>
      <c r="D26" s="672" t="s">
        <v>1270</v>
      </c>
      <c r="F26" s="674"/>
      <c r="G26" s="674"/>
      <c r="H26" s="674"/>
      <c r="I26" s="674"/>
      <c r="J26" s="674"/>
      <c r="K26" s="674"/>
      <c r="L26" s="673"/>
    </row>
    <row r="27" spans="1:12" ht="11.1" customHeight="1">
      <c r="A27" s="685" t="s">
        <v>1271</v>
      </c>
      <c r="B27" s="686"/>
      <c r="C27" s="672" t="s">
        <v>974</v>
      </c>
      <c r="D27" s="672" t="s">
        <v>1272</v>
      </c>
      <c r="F27" s="674"/>
      <c r="G27" s="674"/>
      <c r="H27" s="674"/>
      <c r="I27" s="674"/>
      <c r="J27" s="674"/>
      <c r="K27" s="674"/>
      <c r="L27" s="673"/>
    </row>
    <row r="28" spans="1:12" ht="11.85" customHeight="1">
      <c r="A28" s="685" t="s">
        <v>1273</v>
      </c>
      <c r="B28" s="686"/>
      <c r="C28" s="672" t="s">
        <v>690</v>
      </c>
      <c r="D28" s="672" t="s">
        <v>690</v>
      </c>
      <c r="F28" s="674"/>
      <c r="G28" s="674"/>
      <c r="H28" s="674"/>
      <c r="I28" s="674"/>
      <c r="J28" s="674"/>
      <c r="K28" s="674"/>
      <c r="L28" s="673"/>
    </row>
    <row r="29" spans="1:12" ht="11.85" customHeight="1">
      <c r="A29" s="685" t="s">
        <v>1274</v>
      </c>
      <c r="B29" s="686"/>
      <c r="C29" s="672" t="s">
        <v>975</v>
      </c>
      <c r="D29" s="672" t="s">
        <v>1275</v>
      </c>
      <c r="F29" s="674"/>
      <c r="G29" s="674"/>
      <c r="H29" s="674"/>
      <c r="I29" s="674"/>
      <c r="J29" s="674"/>
      <c r="K29" s="674"/>
      <c r="L29" s="673"/>
    </row>
    <row r="30" spans="1:12" ht="11.85" customHeight="1">
      <c r="A30" s="685" t="s">
        <v>1276</v>
      </c>
      <c r="B30" s="686"/>
      <c r="C30" s="672" t="s">
        <v>791</v>
      </c>
      <c r="D30" s="672" t="s">
        <v>1277</v>
      </c>
      <c r="F30" s="674"/>
      <c r="G30" s="674"/>
      <c r="H30" s="674"/>
      <c r="I30" s="674"/>
      <c r="J30" s="674"/>
      <c r="K30" s="674"/>
      <c r="L30" s="673"/>
    </row>
    <row r="31" spans="1:12" ht="11.1" customHeight="1">
      <c r="A31" s="685" t="s">
        <v>1278</v>
      </c>
      <c r="B31" s="686"/>
      <c r="C31" s="672" t="s">
        <v>1279</v>
      </c>
      <c r="D31" s="672" t="s">
        <v>1280</v>
      </c>
      <c r="F31" s="674"/>
      <c r="G31" s="674"/>
      <c r="H31" s="674"/>
      <c r="I31" s="674"/>
      <c r="J31" s="674"/>
      <c r="K31" s="674"/>
      <c r="L31" s="673"/>
    </row>
    <row r="32" spans="1:12" ht="11.85" customHeight="1">
      <c r="A32" s="685" t="s">
        <v>1281</v>
      </c>
      <c r="B32" s="686"/>
      <c r="C32" s="672" t="s">
        <v>1282</v>
      </c>
      <c r="D32" s="672" t="s">
        <v>1283</v>
      </c>
      <c r="F32" s="674"/>
      <c r="G32" s="674"/>
      <c r="H32" s="674"/>
      <c r="I32" s="674"/>
      <c r="J32" s="674"/>
      <c r="K32" s="674"/>
      <c r="L32" s="673"/>
    </row>
    <row r="33" spans="1:12" ht="11.85" customHeight="1">
      <c r="A33" s="685" t="s">
        <v>1284</v>
      </c>
      <c r="B33" s="686"/>
      <c r="C33" s="672" t="s">
        <v>976</v>
      </c>
      <c r="D33" s="672" t="s">
        <v>1285</v>
      </c>
      <c r="F33" s="674"/>
      <c r="G33" s="674"/>
      <c r="H33" s="674"/>
      <c r="I33" s="674"/>
      <c r="J33" s="674"/>
      <c r="K33" s="674"/>
      <c r="L33" s="673"/>
    </row>
    <row r="34" spans="1:12" ht="11.85" customHeight="1">
      <c r="A34" s="685" t="s">
        <v>1286</v>
      </c>
      <c r="B34" s="686"/>
      <c r="C34" s="672" t="s">
        <v>1287</v>
      </c>
      <c r="D34" s="672" t="s">
        <v>1288</v>
      </c>
      <c r="F34" s="674"/>
      <c r="G34" s="674"/>
      <c r="H34" s="674"/>
      <c r="I34" s="674"/>
      <c r="J34" s="674"/>
      <c r="K34" s="674"/>
      <c r="L34" s="673"/>
    </row>
    <row r="35" spans="1:12" ht="11.1" customHeight="1">
      <c r="A35" s="685" t="s">
        <v>977</v>
      </c>
      <c r="B35" s="686"/>
      <c r="C35" s="672" t="s">
        <v>1289</v>
      </c>
      <c r="D35" s="672" t="s">
        <v>1290</v>
      </c>
      <c r="F35" s="674"/>
      <c r="G35" s="674"/>
      <c r="H35" s="674"/>
      <c r="I35" s="674"/>
      <c r="J35" s="674"/>
      <c r="K35" s="674"/>
      <c r="L35" s="673"/>
    </row>
    <row r="36" spans="1:12" ht="11.85" customHeight="1">
      <c r="A36" s="685" t="s">
        <v>978</v>
      </c>
      <c r="B36" s="686"/>
      <c r="C36" s="672" t="s">
        <v>1291</v>
      </c>
      <c r="D36" s="672" t="s">
        <v>1292</v>
      </c>
      <c r="F36" s="674"/>
      <c r="G36" s="674"/>
      <c r="H36" s="674"/>
      <c r="I36" s="674"/>
      <c r="J36" s="674"/>
      <c r="K36" s="674"/>
      <c r="L36" s="673"/>
    </row>
    <row r="37" spans="1:12" ht="11.85" customHeight="1">
      <c r="A37" s="685" t="s">
        <v>1293</v>
      </c>
      <c r="B37" s="686"/>
      <c r="C37" s="672" t="s">
        <v>798</v>
      </c>
      <c r="D37" s="672" t="s">
        <v>690</v>
      </c>
      <c r="F37" s="674"/>
      <c r="G37" s="674"/>
      <c r="H37" s="674"/>
      <c r="I37" s="674"/>
      <c r="J37" s="674"/>
      <c r="K37" s="674"/>
      <c r="L37" s="673"/>
    </row>
    <row r="38" spans="1:12" ht="11.85" customHeight="1">
      <c r="A38" s="685" t="s">
        <v>1294</v>
      </c>
      <c r="B38" s="686"/>
      <c r="C38" s="672" t="s">
        <v>799</v>
      </c>
      <c r="D38" s="672" t="s">
        <v>1295</v>
      </c>
      <c r="F38" s="674"/>
      <c r="G38" s="674"/>
      <c r="H38" s="674"/>
      <c r="I38" s="674"/>
      <c r="J38" s="674"/>
      <c r="K38" s="674"/>
      <c r="L38" s="673"/>
    </row>
    <row r="39" spans="1:12" ht="11.1" customHeight="1">
      <c r="A39" s="685" t="s">
        <v>1296</v>
      </c>
      <c r="B39" s="686"/>
      <c r="C39" s="672" t="s">
        <v>690</v>
      </c>
      <c r="D39" s="672" t="s">
        <v>690</v>
      </c>
      <c r="F39" s="674"/>
      <c r="G39" s="674"/>
      <c r="H39" s="674"/>
      <c r="I39" s="674"/>
      <c r="J39" s="674"/>
      <c r="K39" s="674"/>
      <c r="L39" s="673"/>
    </row>
    <row r="40" spans="1:12" ht="11.85" customHeight="1">
      <c r="A40" s="685" t="s">
        <v>1297</v>
      </c>
      <c r="B40" s="686"/>
      <c r="C40" s="672" t="s">
        <v>690</v>
      </c>
      <c r="D40" s="672" t="s">
        <v>690</v>
      </c>
      <c r="F40" s="674"/>
      <c r="G40" s="674"/>
      <c r="H40" s="674"/>
      <c r="I40" s="674"/>
      <c r="J40" s="674"/>
      <c r="K40" s="674"/>
      <c r="L40" s="673"/>
    </row>
    <row r="41" spans="1:12" ht="11.85" customHeight="1">
      <c r="A41" s="685" t="s">
        <v>1298</v>
      </c>
      <c r="B41" s="686"/>
      <c r="C41" s="672" t="s">
        <v>690</v>
      </c>
      <c r="D41" s="672" t="s">
        <v>690</v>
      </c>
      <c r="F41" s="674"/>
      <c r="G41" s="674"/>
      <c r="H41" s="674"/>
      <c r="I41" s="674"/>
      <c r="J41" s="674"/>
      <c r="K41" s="674"/>
      <c r="L41" s="673"/>
    </row>
    <row r="42" spans="1:12" ht="11.85" customHeight="1">
      <c r="A42" s="685" t="s">
        <v>1299</v>
      </c>
      <c r="B42" s="686"/>
      <c r="C42" s="672" t="s">
        <v>690</v>
      </c>
      <c r="D42" s="672" t="s">
        <v>690</v>
      </c>
      <c r="F42" s="674"/>
      <c r="G42" s="674"/>
      <c r="H42" s="674"/>
      <c r="I42" s="674"/>
      <c r="J42" s="674"/>
      <c r="K42" s="674"/>
      <c r="L42" s="673"/>
    </row>
    <row r="43" spans="1:12" ht="11.1" customHeight="1">
      <c r="A43" s="685" t="s">
        <v>1300</v>
      </c>
      <c r="B43" s="686"/>
      <c r="C43" s="672" t="s">
        <v>1301</v>
      </c>
      <c r="D43" s="672" t="s">
        <v>1197</v>
      </c>
      <c r="F43" s="674"/>
      <c r="G43" s="674"/>
      <c r="H43" s="674"/>
      <c r="I43" s="674"/>
      <c r="J43" s="674"/>
      <c r="K43" s="674"/>
      <c r="L43" s="673"/>
    </row>
    <row r="44" spans="1:12" ht="11.85" customHeight="1">
      <c r="A44" s="685" t="s">
        <v>1302</v>
      </c>
      <c r="B44" s="686"/>
      <c r="C44" s="672" t="s">
        <v>979</v>
      </c>
      <c r="D44" s="672" t="s">
        <v>1207</v>
      </c>
      <c r="F44" s="674"/>
      <c r="G44" s="674"/>
      <c r="H44" s="674"/>
      <c r="I44" s="674"/>
      <c r="J44" s="674"/>
      <c r="K44" s="674"/>
      <c r="L44" s="673"/>
    </row>
    <row r="45" spans="1:12" ht="11.85" customHeight="1">
      <c r="A45" s="685" t="s">
        <v>1303</v>
      </c>
      <c r="B45" s="686"/>
      <c r="C45" s="672" t="s">
        <v>1304</v>
      </c>
      <c r="D45" s="672" t="s">
        <v>1208</v>
      </c>
      <c r="F45" s="674"/>
      <c r="G45" s="674"/>
      <c r="H45" s="674"/>
      <c r="I45" s="674"/>
      <c r="J45" s="674"/>
      <c r="K45" s="674"/>
      <c r="L45" s="673"/>
    </row>
    <row r="46" spans="1:12" ht="11.85" customHeight="1">
      <c r="A46" s="685" t="s">
        <v>1305</v>
      </c>
      <c r="B46" s="686"/>
      <c r="C46" s="672" t="s">
        <v>1306</v>
      </c>
      <c r="D46" s="672" t="s">
        <v>1307</v>
      </c>
      <c r="F46" s="674"/>
      <c r="G46" s="674"/>
      <c r="H46" s="674"/>
      <c r="I46" s="674"/>
      <c r="J46" s="674"/>
      <c r="K46" s="674"/>
      <c r="L46" s="673"/>
    </row>
    <row r="47" spans="1:12" ht="11.1" customHeight="1">
      <c r="A47" s="685" t="s">
        <v>1308</v>
      </c>
      <c r="B47" s="686"/>
      <c r="C47" s="672" t="s">
        <v>690</v>
      </c>
      <c r="D47" s="672" t="s">
        <v>690</v>
      </c>
      <c r="F47" s="674"/>
      <c r="G47" s="674"/>
      <c r="H47" s="674"/>
      <c r="I47" s="674"/>
      <c r="J47" s="674"/>
      <c r="K47" s="674"/>
      <c r="L47" s="673"/>
    </row>
    <row r="48" spans="1:12" ht="11.85" customHeight="1">
      <c r="A48" s="685" t="s">
        <v>1309</v>
      </c>
      <c r="B48" s="686"/>
      <c r="C48" s="672" t="s">
        <v>1306</v>
      </c>
      <c r="D48" s="672" t="s">
        <v>1307</v>
      </c>
      <c r="F48" s="674"/>
      <c r="G48" s="674"/>
      <c r="H48" s="674"/>
      <c r="I48" s="674"/>
      <c r="J48" s="674"/>
      <c r="K48" s="674"/>
      <c r="L48" s="673"/>
    </row>
    <row r="49" spans="1:12" ht="11.85" customHeight="1">
      <c r="A49" s="705" t="s">
        <v>980</v>
      </c>
      <c r="B49" s="706"/>
      <c r="C49" s="679" t="s">
        <v>1310</v>
      </c>
      <c r="D49" s="679" t="s">
        <v>1311</v>
      </c>
      <c r="F49" s="681"/>
      <c r="G49" s="681"/>
      <c r="H49" s="681"/>
      <c r="I49" s="681"/>
      <c r="J49" s="681"/>
      <c r="K49" s="681"/>
      <c r="L49" s="680"/>
    </row>
    <row r="50" spans="1:12" ht="11.85" customHeight="1">
      <c r="A50" s="707" t="s">
        <v>981</v>
      </c>
      <c r="B50" s="708"/>
      <c r="C50" s="709" t="s">
        <v>1312</v>
      </c>
      <c r="D50" s="709" t="s">
        <v>1313</v>
      </c>
      <c r="F50" s="710"/>
      <c r="G50" s="710"/>
      <c r="H50" s="710"/>
      <c r="I50" s="710"/>
      <c r="J50" s="710"/>
      <c r="K50" s="710"/>
      <c r="L50" s="711"/>
    </row>
    <row r="51" spans="1:12" ht="5.85" customHeight="1">
      <c r="A51" s="484"/>
      <c r="B51" s="484"/>
      <c r="C51" s="484"/>
      <c r="E51" s="484"/>
      <c r="F51" s="484"/>
      <c r="G51" s="484"/>
      <c r="H51" s="484"/>
      <c r="I51" s="484"/>
      <c r="J51" s="484"/>
      <c r="K51" s="484"/>
      <c r="L51" s="484"/>
    </row>
    <row r="52" spans="1:12" ht="11.1" customHeight="1">
      <c r="A52" s="666" t="s">
        <v>982</v>
      </c>
      <c r="B52" s="688"/>
      <c r="C52" s="693" t="s">
        <v>694</v>
      </c>
      <c r="D52" s="696" t="s">
        <v>964</v>
      </c>
      <c r="E52" s="697"/>
      <c r="F52" s="697"/>
      <c r="G52" s="697"/>
      <c r="H52" s="697"/>
      <c r="I52" s="697"/>
      <c r="J52" s="697"/>
      <c r="K52" s="697"/>
      <c r="L52" s="698"/>
    </row>
    <row r="53" spans="1:12" ht="17.850000000000001" customHeight="1">
      <c r="A53" s="689"/>
      <c r="B53" s="690"/>
      <c r="C53" s="694"/>
      <c r="D53" s="693" t="s">
        <v>695</v>
      </c>
      <c r="E53" s="693" t="s">
        <v>696</v>
      </c>
      <c r="F53" s="719" t="s">
        <v>697</v>
      </c>
      <c r="G53" s="715"/>
      <c r="H53" s="719" t="s">
        <v>983</v>
      </c>
      <c r="I53" s="715"/>
      <c r="J53" s="693" t="s">
        <v>984</v>
      </c>
      <c r="K53" s="720"/>
      <c r="L53" s="721"/>
    </row>
    <row r="54" spans="1:12" ht="5.85" customHeight="1">
      <c r="A54" s="689"/>
      <c r="B54" s="690"/>
      <c r="C54" s="694"/>
      <c r="D54" s="716"/>
      <c r="E54" s="694"/>
      <c r="F54" s="716"/>
      <c r="G54" s="717"/>
      <c r="H54" s="716"/>
      <c r="I54" s="717"/>
      <c r="J54" s="693" t="s">
        <v>985</v>
      </c>
      <c r="K54" s="715"/>
      <c r="L54" s="693" t="s">
        <v>986</v>
      </c>
    </row>
    <row r="55" spans="1:12" ht="5.85" customHeight="1">
      <c r="A55" s="691"/>
      <c r="B55" s="692"/>
      <c r="C55" s="695"/>
      <c r="D55" s="718"/>
      <c r="E55" s="695"/>
      <c r="F55" s="695" t="s">
        <v>717</v>
      </c>
      <c r="G55" s="714"/>
      <c r="H55" s="695" t="s">
        <v>718</v>
      </c>
      <c r="I55" s="714"/>
      <c r="J55" s="718"/>
      <c r="K55" s="714"/>
      <c r="L55" s="695"/>
    </row>
    <row r="56" spans="1:12" ht="11.1" customHeight="1">
      <c r="A56" s="683" t="s">
        <v>987</v>
      </c>
      <c r="B56" s="684"/>
      <c r="C56" s="669" t="s">
        <v>1314</v>
      </c>
      <c r="D56" s="669" t="s">
        <v>1315</v>
      </c>
      <c r="E56" s="669" t="s">
        <v>1316</v>
      </c>
      <c r="F56" s="669" t="s">
        <v>1317</v>
      </c>
      <c r="G56" s="670"/>
      <c r="H56" s="669" t="s">
        <v>1318</v>
      </c>
      <c r="I56" s="670"/>
      <c r="J56" s="712" t="s">
        <v>1319</v>
      </c>
      <c r="K56" s="671"/>
      <c r="L56" s="670" t="s">
        <v>1320</v>
      </c>
    </row>
    <row r="57" spans="1:12" ht="11.85" customHeight="1">
      <c r="A57" s="685" t="s">
        <v>1321</v>
      </c>
      <c r="B57" s="686"/>
      <c r="C57" s="672" t="s">
        <v>1322</v>
      </c>
      <c r="D57" s="672" t="s">
        <v>1323</v>
      </c>
      <c r="E57" s="672" t="s">
        <v>1324</v>
      </c>
      <c r="F57" s="672" t="s">
        <v>1325</v>
      </c>
      <c r="G57" s="673"/>
      <c r="H57" s="672" t="s">
        <v>1209</v>
      </c>
      <c r="I57" s="673"/>
      <c r="J57" s="713" t="s">
        <v>690</v>
      </c>
      <c r="K57" s="674"/>
      <c r="L57" s="673" t="s">
        <v>690</v>
      </c>
    </row>
    <row r="58" spans="1:12" ht="11.85" customHeight="1">
      <c r="A58" s="685" t="s">
        <v>1326</v>
      </c>
      <c r="B58" s="686"/>
      <c r="C58" s="672" t="s">
        <v>1327</v>
      </c>
      <c r="D58" s="672" t="s">
        <v>829</v>
      </c>
      <c r="E58" s="672" t="s">
        <v>829</v>
      </c>
      <c r="F58" s="672" t="s">
        <v>829</v>
      </c>
      <c r="G58" s="673"/>
      <c r="H58" s="672" t="s">
        <v>690</v>
      </c>
      <c r="I58" s="673"/>
      <c r="J58" s="713" t="s">
        <v>690</v>
      </c>
      <c r="K58" s="674"/>
      <c r="L58" s="673" t="s">
        <v>690</v>
      </c>
    </row>
    <row r="59" spans="1:12" ht="11.85" customHeight="1">
      <c r="A59" s="685" t="s">
        <v>1328</v>
      </c>
      <c r="B59" s="686"/>
      <c r="C59" s="672" t="s">
        <v>1329</v>
      </c>
      <c r="D59" s="672" t="s">
        <v>1330</v>
      </c>
      <c r="E59" s="672" t="s">
        <v>1331</v>
      </c>
      <c r="F59" s="672" t="s">
        <v>1332</v>
      </c>
      <c r="G59" s="673"/>
      <c r="H59" s="672" t="s">
        <v>1333</v>
      </c>
      <c r="I59" s="673"/>
      <c r="J59" s="713" t="s">
        <v>1319</v>
      </c>
      <c r="K59" s="674"/>
      <c r="L59" s="673" t="s">
        <v>1320</v>
      </c>
    </row>
    <row r="60" spans="1:12" ht="11.1" customHeight="1">
      <c r="A60" s="685" t="s">
        <v>988</v>
      </c>
      <c r="B60" s="686"/>
      <c r="C60" s="672" t="s">
        <v>1334</v>
      </c>
      <c r="D60" s="672" t="s">
        <v>1335</v>
      </c>
      <c r="E60" s="672" t="s">
        <v>1336</v>
      </c>
      <c r="F60" s="672" t="s">
        <v>1337</v>
      </c>
      <c r="G60" s="673"/>
      <c r="H60" s="672" t="s">
        <v>1318</v>
      </c>
      <c r="I60" s="673"/>
      <c r="J60" s="713" t="s">
        <v>1319</v>
      </c>
      <c r="K60" s="674"/>
      <c r="L60" s="673" t="s">
        <v>1320</v>
      </c>
    </row>
    <row r="61" spans="1:12" ht="11.85" customHeight="1">
      <c r="A61" s="685" t="s">
        <v>989</v>
      </c>
      <c r="B61" s="686"/>
      <c r="C61" s="672" t="s">
        <v>1338</v>
      </c>
      <c r="D61" s="672" t="s">
        <v>1339</v>
      </c>
      <c r="E61" s="672" t="s">
        <v>1340</v>
      </c>
      <c r="F61" s="672" t="s">
        <v>1341</v>
      </c>
      <c r="G61" s="673"/>
      <c r="H61" s="672" t="s">
        <v>990</v>
      </c>
      <c r="I61" s="673"/>
      <c r="J61" s="713" t="s">
        <v>1342</v>
      </c>
      <c r="K61" s="674"/>
      <c r="L61" s="673" t="s">
        <v>1343</v>
      </c>
    </row>
    <row r="62" spans="1:12" ht="11.85" customHeight="1">
      <c r="A62" s="685" t="s">
        <v>1344</v>
      </c>
      <c r="B62" s="686"/>
      <c r="C62" s="672" t="s">
        <v>1345</v>
      </c>
      <c r="D62" s="672" t="s">
        <v>1346</v>
      </c>
      <c r="E62" s="672" t="s">
        <v>1340</v>
      </c>
      <c r="F62" s="672" t="s">
        <v>1341</v>
      </c>
      <c r="G62" s="673"/>
      <c r="H62" s="672" t="s">
        <v>990</v>
      </c>
      <c r="I62" s="673"/>
      <c r="J62" s="713" t="s">
        <v>1347</v>
      </c>
      <c r="K62" s="674"/>
      <c r="L62" s="673" t="s">
        <v>1348</v>
      </c>
    </row>
    <row r="63" spans="1:12" ht="11.85" customHeight="1">
      <c r="A63" s="685" t="s">
        <v>1349</v>
      </c>
      <c r="B63" s="686"/>
      <c r="C63" s="672" t="s">
        <v>1350</v>
      </c>
      <c r="D63" s="672" t="s">
        <v>1351</v>
      </c>
      <c r="E63" s="672" t="s">
        <v>690</v>
      </c>
      <c r="F63" s="672" t="s">
        <v>690</v>
      </c>
      <c r="G63" s="673"/>
      <c r="H63" s="672" t="s">
        <v>690</v>
      </c>
      <c r="I63" s="673"/>
      <c r="J63" s="713" t="s">
        <v>690</v>
      </c>
      <c r="K63" s="674"/>
      <c r="L63" s="673" t="s">
        <v>690</v>
      </c>
    </row>
    <row r="64" spans="1:12" ht="11.1" customHeight="1">
      <c r="A64" s="685" t="s">
        <v>1352</v>
      </c>
      <c r="B64" s="686"/>
      <c r="C64" s="672" t="s">
        <v>991</v>
      </c>
      <c r="D64" s="672" t="s">
        <v>690</v>
      </c>
      <c r="E64" s="672" t="s">
        <v>690</v>
      </c>
      <c r="F64" s="672" t="s">
        <v>690</v>
      </c>
      <c r="G64" s="673"/>
      <c r="H64" s="672" t="s">
        <v>690</v>
      </c>
      <c r="I64" s="673"/>
      <c r="J64" s="713" t="s">
        <v>690</v>
      </c>
      <c r="K64" s="674"/>
      <c r="L64" s="673" t="s">
        <v>690</v>
      </c>
    </row>
    <row r="65" spans="1:12" ht="11.85" customHeight="1">
      <c r="A65" s="685" t="s">
        <v>1353</v>
      </c>
      <c r="B65" s="686"/>
      <c r="C65" s="672" t="s">
        <v>690</v>
      </c>
      <c r="D65" s="672" t="s">
        <v>690</v>
      </c>
      <c r="E65" s="672" t="s">
        <v>690</v>
      </c>
      <c r="F65" s="672" t="s">
        <v>690</v>
      </c>
      <c r="G65" s="673"/>
      <c r="H65" s="672" t="s">
        <v>690</v>
      </c>
      <c r="I65" s="673"/>
      <c r="J65" s="713" t="s">
        <v>690</v>
      </c>
      <c r="K65" s="674"/>
      <c r="L65" s="673" t="s">
        <v>690</v>
      </c>
    </row>
    <row r="66" spans="1:12" ht="11.85" customHeight="1">
      <c r="A66" s="685" t="s">
        <v>1354</v>
      </c>
      <c r="B66" s="686"/>
      <c r="C66" s="672" t="s">
        <v>690</v>
      </c>
      <c r="D66" s="672" t="s">
        <v>690</v>
      </c>
      <c r="E66" s="672" t="s">
        <v>690</v>
      </c>
      <c r="F66" s="672" t="s">
        <v>690</v>
      </c>
      <c r="G66" s="673"/>
      <c r="H66" s="672" t="s">
        <v>690</v>
      </c>
      <c r="I66" s="673"/>
      <c r="J66" s="713" t="s">
        <v>690</v>
      </c>
      <c r="K66" s="674"/>
      <c r="L66" s="673" t="s">
        <v>690</v>
      </c>
    </row>
    <row r="67" spans="1:12" ht="11.85" customHeight="1">
      <c r="A67" s="685" t="s">
        <v>1355</v>
      </c>
      <c r="B67" s="686"/>
      <c r="C67" s="672" t="s">
        <v>1356</v>
      </c>
      <c r="D67" s="672" t="s">
        <v>1351</v>
      </c>
      <c r="E67" s="672" t="s">
        <v>690</v>
      </c>
      <c r="F67" s="672" t="s">
        <v>690</v>
      </c>
      <c r="G67" s="673"/>
      <c r="H67" s="672" t="s">
        <v>690</v>
      </c>
      <c r="I67" s="673"/>
      <c r="J67" s="713" t="s">
        <v>690</v>
      </c>
      <c r="K67" s="674"/>
      <c r="L67" s="673" t="s">
        <v>690</v>
      </c>
    </row>
    <row r="68" spans="1:12" ht="11.1" customHeight="1">
      <c r="A68" s="685" t="s">
        <v>1357</v>
      </c>
      <c r="B68" s="686"/>
      <c r="C68" s="672" t="s">
        <v>834</v>
      </c>
      <c r="D68" s="672" t="s">
        <v>690</v>
      </c>
      <c r="E68" s="672" t="s">
        <v>690</v>
      </c>
      <c r="F68" s="672" t="s">
        <v>690</v>
      </c>
      <c r="G68" s="673"/>
      <c r="H68" s="672" t="s">
        <v>690</v>
      </c>
      <c r="I68" s="673"/>
      <c r="J68" s="713" t="s">
        <v>992</v>
      </c>
      <c r="K68" s="674"/>
      <c r="L68" s="673" t="s">
        <v>992</v>
      </c>
    </row>
    <row r="69" spans="1:12" ht="11.85" customHeight="1">
      <c r="A69" s="685" t="s">
        <v>993</v>
      </c>
      <c r="B69" s="686"/>
      <c r="C69" s="672" t="s">
        <v>1358</v>
      </c>
      <c r="D69" s="672" t="s">
        <v>1339</v>
      </c>
      <c r="E69" s="672" t="s">
        <v>1340</v>
      </c>
      <c r="F69" s="672" t="s">
        <v>1341</v>
      </c>
      <c r="G69" s="673"/>
      <c r="H69" s="672" t="s">
        <v>990</v>
      </c>
      <c r="I69" s="673"/>
      <c r="J69" s="713" t="s">
        <v>1347</v>
      </c>
      <c r="K69" s="674"/>
      <c r="L69" s="673" t="s">
        <v>1348</v>
      </c>
    </row>
    <row r="70" spans="1:12" ht="8.85" customHeight="1"/>
    <row r="71" spans="1:12" ht="11.85" customHeight="1">
      <c r="A71" s="678" t="s">
        <v>1359</v>
      </c>
      <c r="B71" s="678"/>
      <c r="C71" s="678"/>
      <c r="D71" s="678"/>
      <c r="E71" s="678"/>
      <c r="F71" s="678"/>
      <c r="G71" s="678"/>
      <c r="H71" s="678"/>
      <c r="I71" s="678"/>
      <c r="J71" s="678"/>
      <c r="K71" s="678"/>
      <c r="L71" s="678"/>
    </row>
    <row r="72" spans="1:12" ht="11.85" customHeight="1">
      <c r="A72" s="675" t="s">
        <v>758</v>
      </c>
      <c r="B72" s="675"/>
      <c r="C72" s="675"/>
      <c r="D72" s="675"/>
      <c r="K72" s="682" t="s">
        <v>994</v>
      </c>
      <c r="L72" s="682"/>
    </row>
    <row r="73" spans="1:12" ht="11.1" customHeight="1">
      <c r="A73" s="675" t="s">
        <v>678</v>
      </c>
      <c r="B73" s="675"/>
      <c r="C73" s="675"/>
      <c r="D73" s="675"/>
    </row>
    <row r="74" spans="1:12" ht="11.85" customHeight="1">
      <c r="A74" s="676" t="s">
        <v>960</v>
      </c>
      <c r="B74" s="676"/>
      <c r="C74" s="676"/>
      <c r="D74" s="676"/>
    </row>
    <row r="75" spans="1:12" ht="11.85" customHeight="1">
      <c r="A75" s="675" t="s">
        <v>859</v>
      </c>
      <c r="B75" s="675"/>
      <c r="C75" s="675"/>
      <c r="D75" s="675"/>
    </row>
    <row r="76" spans="1:12" ht="11.85" customHeight="1">
      <c r="A76" s="675" t="s">
        <v>1236</v>
      </c>
      <c r="B76" s="675"/>
      <c r="C76" s="675"/>
      <c r="D76" s="675"/>
    </row>
    <row r="77" spans="1:12" ht="5.85" customHeight="1"/>
    <row r="78" spans="1:12" ht="11.1" customHeight="1">
      <c r="A78" s="705" t="s">
        <v>995</v>
      </c>
      <c r="B78" s="706"/>
      <c r="C78" s="679" t="s">
        <v>996</v>
      </c>
      <c r="D78" s="679" t="s">
        <v>690</v>
      </c>
      <c r="E78" s="679" t="s">
        <v>690</v>
      </c>
      <c r="F78" s="679" t="s">
        <v>690</v>
      </c>
      <c r="G78" s="680"/>
      <c r="H78" s="679" t="s">
        <v>690</v>
      </c>
      <c r="I78" s="680"/>
      <c r="J78" s="722" t="s">
        <v>690</v>
      </c>
      <c r="K78" s="681"/>
      <c r="L78" s="680" t="s">
        <v>690</v>
      </c>
    </row>
    <row r="79" spans="1:12" ht="11.85" customHeight="1">
      <c r="A79" s="707" t="s">
        <v>997</v>
      </c>
      <c r="B79" s="708"/>
      <c r="C79" s="709" t="s">
        <v>1360</v>
      </c>
      <c r="D79" s="709" t="s">
        <v>1361</v>
      </c>
      <c r="E79" s="709" t="s">
        <v>1362</v>
      </c>
      <c r="F79" s="709" t="s">
        <v>1363</v>
      </c>
      <c r="G79" s="711"/>
      <c r="H79" s="709" t="s">
        <v>1364</v>
      </c>
      <c r="I79" s="711"/>
      <c r="J79" s="709" t="s">
        <v>1365</v>
      </c>
      <c r="K79" s="711"/>
      <c r="L79" s="709" t="s">
        <v>1366</v>
      </c>
    </row>
    <row r="80" spans="1:12" ht="5.85" customHeight="1">
      <c r="A80" s="730"/>
      <c r="B80" s="731"/>
      <c r="C80" s="731"/>
      <c r="D80" s="731"/>
      <c r="E80" s="731"/>
      <c r="F80" s="731"/>
      <c r="G80" s="731"/>
      <c r="H80" s="731"/>
      <c r="I80" s="731"/>
      <c r="J80" s="731"/>
      <c r="K80" s="731"/>
      <c r="L80" s="732"/>
    </row>
    <row r="81" spans="1:12" ht="17.850000000000001" customHeight="1">
      <c r="A81" s="723" t="s">
        <v>998</v>
      </c>
      <c r="B81" s="724"/>
      <c r="C81" s="709" t="s">
        <v>1367</v>
      </c>
      <c r="D81" s="710"/>
      <c r="E81" s="710"/>
      <c r="F81" s="710"/>
      <c r="G81" s="710"/>
      <c r="H81" s="710"/>
      <c r="I81" s="710"/>
      <c r="J81" s="710"/>
      <c r="K81" s="710"/>
      <c r="L81" s="711"/>
    </row>
    <row r="82" spans="1:12" ht="5.0999999999999996" customHeight="1">
      <c r="A82" s="484"/>
      <c r="B82" s="484"/>
      <c r="C82" s="484"/>
      <c r="D82" s="484"/>
      <c r="E82" s="484"/>
      <c r="F82" s="484"/>
      <c r="G82" s="484"/>
      <c r="H82" s="484"/>
      <c r="I82" s="484"/>
      <c r="J82" s="484"/>
      <c r="K82" s="484"/>
      <c r="L82" s="484"/>
    </row>
    <row r="83" spans="1:12" ht="11.85" customHeight="1">
      <c r="A83" s="666" t="s">
        <v>999</v>
      </c>
      <c r="B83" s="668"/>
      <c r="C83" s="696" t="s">
        <v>1000</v>
      </c>
      <c r="D83" s="697"/>
      <c r="E83" s="697"/>
      <c r="F83" s="697"/>
      <c r="G83" s="697"/>
      <c r="H83" s="697"/>
      <c r="I83" s="697"/>
      <c r="J83" s="697"/>
      <c r="K83" s="697"/>
      <c r="L83" s="698"/>
    </row>
    <row r="84" spans="1:12" ht="15.6" customHeight="1">
      <c r="A84" s="725" t="s">
        <v>1001</v>
      </c>
      <c r="B84" s="726"/>
      <c r="C84" s="727" t="s">
        <v>690</v>
      </c>
      <c r="D84" s="728"/>
      <c r="E84" s="728"/>
      <c r="F84" s="728"/>
      <c r="G84" s="728"/>
      <c r="H84" s="728"/>
      <c r="I84" s="728"/>
      <c r="J84" s="728"/>
      <c r="K84" s="728"/>
      <c r="L84" s="729"/>
    </row>
    <row r="85" spans="1:12" ht="6.6" customHeight="1">
      <c r="A85" s="484"/>
      <c r="B85" s="484"/>
      <c r="C85" s="484"/>
      <c r="D85" s="484"/>
      <c r="E85" s="484"/>
      <c r="F85" s="484"/>
      <c r="G85" s="484"/>
      <c r="H85" s="484"/>
      <c r="I85" s="484"/>
      <c r="J85" s="484"/>
      <c r="K85" s="484"/>
      <c r="L85" s="484"/>
    </row>
    <row r="86" spans="1:12" ht="5.85" customHeight="1">
      <c r="A86" s="666" t="s">
        <v>1002</v>
      </c>
      <c r="B86" s="688"/>
      <c r="C86" s="696" t="s">
        <v>964</v>
      </c>
      <c r="D86" s="697"/>
      <c r="E86" s="697"/>
      <c r="F86" s="697"/>
      <c r="G86" s="697"/>
      <c r="H86" s="697"/>
      <c r="I86" s="697"/>
      <c r="J86" s="697"/>
      <c r="K86" s="697"/>
      <c r="L86" s="698"/>
    </row>
    <row r="87" spans="1:12" ht="11.85" customHeight="1">
      <c r="A87" s="691"/>
      <c r="B87" s="692"/>
      <c r="C87" s="696" t="s">
        <v>1003</v>
      </c>
      <c r="D87" s="697"/>
      <c r="E87" s="697"/>
      <c r="F87" s="697"/>
      <c r="G87" s="697"/>
      <c r="H87" s="697"/>
      <c r="I87" s="697"/>
      <c r="J87" s="697"/>
      <c r="K87" s="697"/>
      <c r="L87" s="698"/>
    </row>
    <row r="88" spans="1:12" ht="11.85" customHeight="1">
      <c r="A88" s="733" t="s">
        <v>1004</v>
      </c>
      <c r="B88" s="734"/>
      <c r="C88" s="669" t="s">
        <v>1368</v>
      </c>
      <c r="D88" s="671"/>
      <c r="E88" s="671"/>
      <c r="F88" s="671"/>
      <c r="G88" s="671"/>
      <c r="H88" s="671"/>
      <c r="I88" s="671"/>
      <c r="J88" s="671"/>
      <c r="K88" s="671"/>
      <c r="L88" s="670"/>
    </row>
    <row r="89" spans="1:12" ht="11.1" customHeight="1">
      <c r="A89" s="735" t="s">
        <v>1005</v>
      </c>
      <c r="B89" s="736"/>
      <c r="C89" s="679" t="s">
        <v>829</v>
      </c>
      <c r="D89" s="681"/>
      <c r="E89" s="681"/>
      <c r="F89" s="681"/>
      <c r="G89" s="681"/>
      <c r="H89" s="681"/>
      <c r="I89" s="681"/>
      <c r="J89" s="681"/>
      <c r="K89" s="681"/>
      <c r="L89" s="680"/>
    </row>
    <row r="90" spans="1:12" ht="5.85" customHeight="1">
      <c r="A90" s="730"/>
      <c r="B90" s="731"/>
      <c r="C90" s="731"/>
      <c r="D90" s="731"/>
      <c r="E90" s="731"/>
      <c r="F90" s="731"/>
      <c r="G90" s="731"/>
      <c r="H90" s="731"/>
      <c r="I90" s="731"/>
      <c r="J90" s="731"/>
      <c r="K90" s="731"/>
      <c r="L90" s="732"/>
    </row>
    <row r="91" spans="1:12" ht="17.850000000000001" customHeight="1">
      <c r="A91" s="723" t="s">
        <v>1006</v>
      </c>
      <c r="B91" s="724"/>
      <c r="C91" s="709" t="s">
        <v>1369</v>
      </c>
      <c r="D91" s="710"/>
      <c r="E91" s="710"/>
      <c r="F91" s="710"/>
      <c r="G91" s="710"/>
      <c r="H91" s="710"/>
      <c r="I91" s="710"/>
      <c r="J91" s="710"/>
      <c r="K91" s="710"/>
      <c r="L91" s="711"/>
    </row>
    <row r="92" spans="1:12" ht="5.85" customHeight="1">
      <c r="A92" s="730"/>
      <c r="B92" s="731"/>
      <c r="C92" s="731"/>
      <c r="D92" s="731"/>
      <c r="E92" s="731"/>
      <c r="F92" s="731"/>
      <c r="G92" s="731"/>
      <c r="H92" s="731"/>
      <c r="I92" s="731"/>
      <c r="J92" s="731"/>
      <c r="K92" s="731"/>
      <c r="L92" s="732"/>
    </row>
    <row r="93" spans="1:12" ht="11.1" customHeight="1">
      <c r="A93" s="666" t="s">
        <v>1007</v>
      </c>
      <c r="B93" s="668"/>
      <c r="C93" s="696" t="s">
        <v>1000</v>
      </c>
      <c r="D93" s="697"/>
      <c r="E93" s="697"/>
      <c r="F93" s="697"/>
      <c r="G93" s="697"/>
      <c r="H93" s="697"/>
      <c r="I93" s="697"/>
      <c r="J93" s="697"/>
      <c r="K93" s="697"/>
      <c r="L93" s="698"/>
    </row>
    <row r="94" spans="1:12" ht="15.6" customHeight="1">
      <c r="A94" s="725" t="s">
        <v>1001</v>
      </c>
      <c r="B94" s="726"/>
      <c r="C94" s="737" t="s">
        <v>690</v>
      </c>
      <c r="D94" s="738"/>
      <c r="E94" s="738"/>
      <c r="F94" s="738"/>
      <c r="G94" s="738"/>
      <c r="H94" s="738"/>
      <c r="I94" s="738"/>
      <c r="J94" s="738"/>
      <c r="K94" s="738"/>
      <c r="L94" s="739"/>
    </row>
    <row r="95" spans="1:12" ht="8.1" customHeight="1">
      <c r="A95" s="730"/>
      <c r="B95" s="731"/>
      <c r="C95" s="731"/>
      <c r="D95" s="731"/>
      <c r="E95" s="731"/>
      <c r="F95" s="731"/>
      <c r="G95" s="731"/>
      <c r="H95" s="731"/>
      <c r="I95" s="731"/>
      <c r="J95" s="731"/>
      <c r="K95" s="731"/>
      <c r="L95" s="732"/>
    </row>
    <row r="96" spans="1:12" ht="11.85" customHeight="1">
      <c r="A96" s="666" t="s">
        <v>1008</v>
      </c>
      <c r="B96" s="667"/>
      <c r="C96" s="667"/>
      <c r="D96" s="667"/>
      <c r="E96" s="667"/>
      <c r="F96" s="667"/>
      <c r="G96" s="667"/>
      <c r="H96" s="667"/>
      <c r="I96" s="667"/>
      <c r="J96" s="667"/>
      <c r="K96" s="667"/>
      <c r="L96" s="668"/>
    </row>
    <row r="97" spans="1:12" ht="11.1" customHeight="1">
      <c r="A97" s="666" t="s">
        <v>1009</v>
      </c>
      <c r="B97" s="688"/>
      <c r="C97" s="666" t="s">
        <v>863</v>
      </c>
      <c r="D97" s="667"/>
      <c r="E97" s="667"/>
      <c r="F97" s="667"/>
      <c r="G97" s="667"/>
      <c r="H97" s="667"/>
      <c r="I97" s="667"/>
      <c r="J97" s="667"/>
      <c r="K97" s="667"/>
      <c r="L97" s="668"/>
    </row>
    <row r="98" spans="1:12" ht="11.85" customHeight="1">
      <c r="A98" s="689"/>
      <c r="B98" s="690"/>
      <c r="C98" s="740" t="s">
        <v>1010</v>
      </c>
      <c r="D98" s="741"/>
      <c r="E98" s="741"/>
      <c r="F98" s="688"/>
      <c r="G98" s="740" t="s">
        <v>1370</v>
      </c>
      <c r="H98" s="741"/>
      <c r="I98" s="741"/>
      <c r="J98" s="741"/>
      <c r="K98" s="741"/>
      <c r="L98" s="688"/>
    </row>
    <row r="99" spans="1:12" ht="11.85" customHeight="1">
      <c r="A99" s="691"/>
      <c r="B99" s="692"/>
      <c r="C99" s="742" t="s">
        <v>717</v>
      </c>
      <c r="D99" s="743"/>
      <c r="E99" s="743"/>
      <c r="F99" s="692"/>
      <c r="G99" s="742" t="s">
        <v>718</v>
      </c>
      <c r="H99" s="743"/>
      <c r="I99" s="743"/>
      <c r="J99" s="743"/>
      <c r="K99" s="743"/>
      <c r="L99" s="692"/>
    </row>
    <row r="100" spans="1:12" ht="11.85" customHeight="1">
      <c r="A100" s="733" t="s">
        <v>1011</v>
      </c>
      <c r="B100" s="734"/>
      <c r="C100" s="669" t="s">
        <v>1012</v>
      </c>
      <c r="D100" s="671"/>
      <c r="E100" s="671"/>
      <c r="F100" s="670"/>
      <c r="G100" s="749" t="s">
        <v>1371</v>
      </c>
      <c r="H100" s="750"/>
      <c r="I100" s="750"/>
      <c r="J100" s="750"/>
      <c r="K100" s="750"/>
      <c r="L100" s="751"/>
    </row>
    <row r="101" spans="1:12" ht="11.1" customHeight="1">
      <c r="A101" s="744" t="s">
        <v>1013</v>
      </c>
      <c r="B101" s="745"/>
      <c r="C101" s="672" t="s">
        <v>1014</v>
      </c>
      <c r="D101" s="674"/>
      <c r="E101" s="674"/>
      <c r="F101" s="673"/>
      <c r="G101" s="746" t="s">
        <v>1372</v>
      </c>
      <c r="H101" s="747"/>
      <c r="I101" s="747"/>
      <c r="J101" s="747"/>
      <c r="K101" s="747"/>
      <c r="L101" s="748"/>
    </row>
    <row r="102" spans="1:12" ht="11.85" customHeight="1">
      <c r="A102" s="744" t="s">
        <v>1373</v>
      </c>
      <c r="B102" s="745"/>
      <c r="C102" s="672" t="s">
        <v>1015</v>
      </c>
      <c r="D102" s="674"/>
      <c r="E102" s="674"/>
      <c r="F102" s="673"/>
      <c r="G102" s="746" t="s">
        <v>1374</v>
      </c>
      <c r="H102" s="747"/>
      <c r="I102" s="747"/>
      <c r="J102" s="747"/>
      <c r="K102" s="747"/>
      <c r="L102" s="748"/>
    </row>
    <row r="103" spans="1:12" ht="11.85" customHeight="1">
      <c r="A103" s="744" t="s">
        <v>1375</v>
      </c>
      <c r="B103" s="745"/>
      <c r="C103" s="672" t="s">
        <v>1017</v>
      </c>
      <c r="D103" s="674"/>
      <c r="E103" s="674"/>
      <c r="F103" s="673"/>
      <c r="G103" s="746" t="s">
        <v>1376</v>
      </c>
      <c r="H103" s="747"/>
      <c r="I103" s="747"/>
      <c r="J103" s="747"/>
      <c r="K103" s="747"/>
      <c r="L103" s="748"/>
    </row>
    <row r="104" spans="1:12" ht="11.85" customHeight="1">
      <c r="A104" s="744" t="s">
        <v>1377</v>
      </c>
      <c r="B104" s="745"/>
      <c r="C104" s="672" t="s">
        <v>1018</v>
      </c>
      <c r="D104" s="674"/>
      <c r="E104" s="674"/>
      <c r="F104" s="673"/>
      <c r="G104" s="746" t="s">
        <v>1378</v>
      </c>
      <c r="H104" s="747"/>
      <c r="I104" s="747"/>
      <c r="J104" s="747"/>
      <c r="K104" s="747"/>
      <c r="L104" s="748"/>
    </row>
    <row r="105" spans="1:12" ht="11.1" customHeight="1">
      <c r="A105" s="744" t="s">
        <v>1379</v>
      </c>
      <c r="B105" s="745"/>
      <c r="C105" s="672" t="s">
        <v>1020</v>
      </c>
      <c r="D105" s="674"/>
      <c r="E105" s="674"/>
      <c r="F105" s="673"/>
      <c r="G105" s="746" t="s">
        <v>1380</v>
      </c>
      <c r="H105" s="747"/>
      <c r="I105" s="747"/>
      <c r="J105" s="747"/>
      <c r="K105" s="747"/>
      <c r="L105" s="748"/>
    </row>
    <row r="106" spans="1:12" ht="11.85" customHeight="1">
      <c r="A106" s="744" t="s">
        <v>1381</v>
      </c>
      <c r="B106" s="745"/>
      <c r="C106" s="672" t="s">
        <v>1022</v>
      </c>
      <c r="D106" s="674"/>
      <c r="E106" s="674"/>
      <c r="F106" s="673"/>
      <c r="G106" s="746" t="s">
        <v>1382</v>
      </c>
      <c r="H106" s="747"/>
      <c r="I106" s="747"/>
      <c r="J106" s="747"/>
      <c r="K106" s="747"/>
      <c r="L106" s="748"/>
    </row>
    <row r="107" spans="1:12" ht="11.85" customHeight="1">
      <c r="A107" s="735" t="s">
        <v>1023</v>
      </c>
      <c r="B107" s="736"/>
      <c r="C107" s="679" t="s">
        <v>1024</v>
      </c>
      <c r="D107" s="681"/>
      <c r="E107" s="681"/>
      <c r="F107" s="680"/>
      <c r="G107" s="752" t="s">
        <v>1383</v>
      </c>
      <c r="H107" s="753"/>
      <c r="I107" s="753"/>
      <c r="J107" s="753"/>
      <c r="K107" s="753"/>
      <c r="L107" s="754"/>
    </row>
    <row r="108" spans="1:12" ht="14.85" customHeight="1">
      <c r="A108" s="723" t="s">
        <v>1025</v>
      </c>
      <c r="B108" s="724"/>
      <c r="C108" s="755" t="s">
        <v>1384</v>
      </c>
      <c r="D108" s="756"/>
      <c r="E108" s="756"/>
      <c r="F108" s="756"/>
      <c r="G108" s="756"/>
      <c r="H108" s="756"/>
      <c r="I108" s="756"/>
      <c r="J108" s="756"/>
      <c r="K108" s="756"/>
      <c r="L108" s="757"/>
    </row>
    <row r="109" spans="1:12" ht="5.85" customHeight="1">
      <c r="A109" s="484"/>
      <c r="B109" s="484"/>
      <c r="C109" s="484"/>
      <c r="D109" s="484"/>
      <c r="E109" s="484"/>
      <c r="F109" s="484"/>
      <c r="G109" s="484"/>
      <c r="H109" s="484"/>
      <c r="I109" s="484"/>
      <c r="J109" s="484"/>
      <c r="K109" s="484"/>
      <c r="L109" s="484"/>
    </row>
    <row r="110" spans="1:12" ht="17.850000000000001" customHeight="1">
      <c r="A110" s="666" t="s">
        <v>1026</v>
      </c>
      <c r="B110" s="668"/>
      <c r="C110" s="666" t="s">
        <v>964</v>
      </c>
      <c r="D110" s="667"/>
      <c r="E110" s="667"/>
      <c r="F110" s="667"/>
      <c r="G110" s="667"/>
      <c r="H110" s="667"/>
      <c r="I110" s="667"/>
      <c r="J110" s="667"/>
      <c r="K110" s="667"/>
      <c r="L110" s="668"/>
    </row>
    <row r="111" spans="1:12" ht="11.85" customHeight="1">
      <c r="A111" s="733" t="s">
        <v>1027</v>
      </c>
      <c r="B111" s="734"/>
      <c r="C111" s="506"/>
      <c r="D111" s="485"/>
      <c r="E111" s="485"/>
      <c r="F111" s="485"/>
      <c r="G111" s="670" t="s">
        <v>1385</v>
      </c>
      <c r="H111" s="671"/>
      <c r="I111" s="671"/>
      <c r="J111" s="671"/>
      <c r="K111" s="671"/>
      <c r="L111" s="670"/>
    </row>
    <row r="112" spans="1:12" ht="14.85" customHeight="1">
      <c r="A112" s="744" t="s">
        <v>1028</v>
      </c>
      <c r="B112" s="745"/>
      <c r="C112" s="483"/>
      <c r="G112" s="673" t="s">
        <v>690</v>
      </c>
      <c r="H112" s="674"/>
      <c r="I112" s="674"/>
      <c r="J112" s="674"/>
      <c r="K112" s="674"/>
      <c r="L112" s="673"/>
    </row>
    <row r="113" spans="1:12" ht="11.85" customHeight="1">
      <c r="A113" s="744" t="s">
        <v>1029</v>
      </c>
      <c r="B113" s="745"/>
      <c r="C113" s="483"/>
      <c r="G113" s="673" t="s">
        <v>690</v>
      </c>
      <c r="H113" s="674"/>
      <c r="I113" s="674"/>
      <c r="J113" s="674"/>
      <c r="K113" s="674"/>
      <c r="L113" s="673"/>
    </row>
    <row r="114" spans="1:12" ht="11.85" customHeight="1">
      <c r="A114" s="744" t="s">
        <v>1030</v>
      </c>
      <c r="B114" s="745"/>
      <c r="C114" s="483"/>
      <c r="G114" s="673" t="s">
        <v>690</v>
      </c>
      <c r="H114" s="674"/>
      <c r="I114" s="674"/>
      <c r="J114" s="674"/>
      <c r="K114" s="674"/>
      <c r="L114" s="673"/>
    </row>
    <row r="115" spans="1:12" ht="11.1" customHeight="1">
      <c r="A115" s="744" t="s">
        <v>1031</v>
      </c>
      <c r="B115" s="745"/>
      <c r="C115" s="483"/>
      <c r="G115" s="673" t="s">
        <v>690</v>
      </c>
      <c r="H115" s="674"/>
      <c r="I115" s="674"/>
      <c r="J115" s="674"/>
      <c r="K115" s="674"/>
      <c r="L115" s="673"/>
    </row>
    <row r="116" spans="1:12" ht="11.85" customHeight="1">
      <c r="A116" s="744" t="s">
        <v>1032</v>
      </c>
      <c r="B116" s="745"/>
      <c r="C116" s="483"/>
      <c r="G116" s="673" t="s">
        <v>690</v>
      </c>
      <c r="H116" s="674"/>
      <c r="I116" s="674"/>
      <c r="J116" s="674"/>
      <c r="K116" s="674"/>
      <c r="L116" s="673"/>
    </row>
    <row r="117" spans="1:12" ht="11.85" customHeight="1">
      <c r="A117" s="735" t="s">
        <v>1033</v>
      </c>
      <c r="B117" s="736"/>
      <c r="C117" s="507"/>
      <c r="D117" s="482"/>
      <c r="E117" s="482"/>
      <c r="F117" s="482"/>
      <c r="G117" s="680" t="s">
        <v>690</v>
      </c>
      <c r="H117" s="681"/>
      <c r="I117" s="681"/>
      <c r="J117" s="681"/>
      <c r="K117" s="681"/>
      <c r="L117" s="680"/>
    </row>
    <row r="118" spans="1:12" ht="14.85" customHeight="1">
      <c r="A118" s="723" t="s">
        <v>1034</v>
      </c>
      <c r="B118" s="724"/>
      <c r="C118" s="755" t="s">
        <v>1386</v>
      </c>
      <c r="D118" s="756"/>
      <c r="E118" s="756"/>
      <c r="F118" s="756"/>
      <c r="G118" s="756"/>
      <c r="H118" s="756"/>
      <c r="I118" s="756"/>
      <c r="J118" s="756"/>
      <c r="K118" s="756"/>
      <c r="L118" s="757"/>
    </row>
    <row r="119" spans="1:12" ht="11.85" customHeight="1">
      <c r="A119" s="730"/>
      <c r="B119" s="731"/>
      <c r="C119" s="731"/>
      <c r="D119" s="731"/>
      <c r="E119" s="731"/>
      <c r="F119" s="731"/>
      <c r="G119" s="731"/>
      <c r="H119" s="731"/>
      <c r="I119" s="731"/>
      <c r="J119" s="731"/>
      <c r="K119" s="731"/>
      <c r="L119" s="732"/>
    </row>
    <row r="120" spans="1:12" ht="14.85" customHeight="1">
      <c r="A120" s="723" t="s">
        <v>1035</v>
      </c>
      <c r="B120" s="724"/>
      <c r="C120" s="755" t="s">
        <v>1387</v>
      </c>
      <c r="D120" s="756"/>
      <c r="E120" s="756"/>
      <c r="F120" s="756"/>
      <c r="G120" s="756"/>
      <c r="H120" s="756"/>
      <c r="I120" s="756"/>
      <c r="J120" s="756"/>
      <c r="K120" s="756"/>
      <c r="L120" s="757"/>
    </row>
    <row r="121" spans="1:12" ht="5.85" customHeight="1">
      <c r="A121" s="484"/>
      <c r="B121" s="484"/>
      <c r="C121" s="484"/>
      <c r="D121" s="484"/>
      <c r="E121" s="484"/>
      <c r="F121" s="484"/>
      <c r="G121" s="484"/>
      <c r="H121" s="484"/>
      <c r="I121" s="484"/>
      <c r="J121" s="484"/>
      <c r="K121" s="484"/>
      <c r="L121" s="484"/>
    </row>
    <row r="122" spans="1:12" ht="17.850000000000001" customHeight="1">
      <c r="A122" s="666" t="s">
        <v>1036</v>
      </c>
      <c r="B122" s="668"/>
      <c r="C122" s="696" t="s">
        <v>1037</v>
      </c>
      <c r="D122" s="697"/>
      <c r="E122" s="697"/>
      <c r="F122" s="697"/>
      <c r="G122" s="697"/>
      <c r="H122" s="697"/>
      <c r="I122" s="697"/>
      <c r="J122" s="697"/>
      <c r="K122" s="697"/>
      <c r="L122" s="698"/>
    </row>
    <row r="123" spans="1:12" ht="11.85" customHeight="1">
      <c r="A123" s="733" t="s">
        <v>1038</v>
      </c>
      <c r="B123" s="734"/>
      <c r="C123" s="506"/>
      <c r="D123" s="485"/>
      <c r="E123" s="485"/>
      <c r="F123" s="485"/>
      <c r="G123" s="670" t="s">
        <v>1388</v>
      </c>
      <c r="H123" s="671"/>
      <c r="I123" s="671"/>
      <c r="J123" s="671"/>
      <c r="K123" s="671"/>
      <c r="L123" s="670"/>
    </row>
    <row r="124" spans="1:12" ht="11.1" customHeight="1">
      <c r="A124" s="744" t="s">
        <v>1389</v>
      </c>
      <c r="B124" s="745"/>
      <c r="C124" s="483"/>
      <c r="G124" s="673" t="s">
        <v>690</v>
      </c>
      <c r="H124" s="674"/>
      <c r="I124" s="674"/>
      <c r="J124" s="674"/>
      <c r="K124" s="674"/>
      <c r="L124" s="673"/>
    </row>
    <row r="125" spans="1:12" ht="15.6" customHeight="1">
      <c r="A125" s="744" t="s">
        <v>1390</v>
      </c>
      <c r="B125" s="745"/>
      <c r="C125" s="483"/>
      <c r="G125" s="673" t="s">
        <v>1388</v>
      </c>
      <c r="H125" s="674"/>
      <c r="I125" s="674"/>
      <c r="J125" s="674"/>
      <c r="K125" s="674"/>
      <c r="L125" s="673"/>
    </row>
    <row r="126" spans="1:12" ht="11.85" customHeight="1">
      <c r="A126" s="735" t="s">
        <v>1039</v>
      </c>
      <c r="B126" s="736"/>
      <c r="C126" s="507"/>
      <c r="D126" s="482"/>
      <c r="E126" s="482"/>
      <c r="F126" s="482"/>
      <c r="G126" s="680" t="s">
        <v>1204</v>
      </c>
      <c r="H126" s="681"/>
      <c r="I126" s="681"/>
      <c r="J126" s="681"/>
      <c r="K126" s="681"/>
      <c r="L126" s="680"/>
    </row>
    <row r="127" spans="1:12" ht="11.1" customHeight="1">
      <c r="A127" s="485"/>
      <c r="B127" s="485"/>
      <c r="C127" s="485"/>
      <c r="D127" s="485"/>
      <c r="E127" s="485"/>
      <c r="F127" s="485"/>
      <c r="G127" s="485"/>
      <c r="H127" s="485"/>
      <c r="I127" s="485"/>
      <c r="J127" s="485"/>
      <c r="K127" s="485"/>
      <c r="L127" s="485"/>
    </row>
    <row r="128" spans="1:12" ht="5.85" customHeight="1"/>
    <row r="129" spans="1:12" ht="11.85" customHeight="1"/>
    <row r="130" spans="1:12" ht="17.850000000000001" customHeight="1"/>
    <row r="131" spans="1:12" ht="11.1" customHeight="1"/>
    <row r="132" spans="1:12" ht="17.850000000000001" customHeight="1"/>
    <row r="133" spans="1:12" ht="39.950000000000003" customHeight="1">
      <c r="A133" t="s">
        <v>1359</v>
      </c>
    </row>
    <row r="134" spans="1:12" ht="39.950000000000003" customHeight="1"/>
    <row r="135" spans="1:12" ht="11.85" customHeight="1">
      <c r="A135" s="873" t="s">
        <v>1210</v>
      </c>
      <c r="B135" s="873"/>
      <c r="C135" s="873"/>
      <c r="D135" s="873"/>
      <c r="E135" s="873"/>
      <c r="F135" s="873"/>
      <c r="G135" s="873"/>
      <c r="H135" s="873"/>
      <c r="I135" s="873"/>
      <c r="J135" s="873"/>
      <c r="K135" s="873"/>
      <c r="L135" s="873"/>
    </row>
  </sheetData>
  <mergeCells count="1">
    <mergeCell ref="A135:L135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>
  <dimension ref="A2:M31"/>
  <sheetViews>
    <sheetView workbookViewId="0">
      <selection activeCell="A7" sqref="A7"/>
    </sheetView>
  </sheetViews>
  <sheetFormatPr defaultColWidth="11.5703125" defaultRowHeight="15"/>
  <cols>
    <col min="1" max="1" width="31.85546875" customWidth="1"/>
    <col min="2" max="2" width="12.28515625" customWidth="1"/>
    <col min="3" max="3" width="13.7109375" customWidth="1"/>
    <col min="4" max="4" width="11.42578125" customWidth="1"/>
    <col min="5" max="5" width="9.140625" customWidth="1"/>
    <col min="6" max="6" width="12.28515625" customWidth="1"/>
    <col min="7" max="7" width="11.5703125" customWidth="1"/>
    <col min="8" max="8" width="13.7109375" customWidth="1"/>
    <col min="9" max="9" width="11.42578125" customWidth="1"/>
    <col min="10" max="10" width="11.5703125" bestFit="1" customWidth="1"/>
    <col min="11" max="11" width="9.140625" customWidth="1"/>
    <col min="12" max="12" width="11.28515625" customWidth="1"/>
    <col min="13" max="13" width="12.28515625" customWidth="1"/>
  </cols>
  <sheetData>
    <row r="2" spans="1:13" ht="11.45" customHeight="1">
      <c r="A2" s="614" t="s">
        <v>677</v>
      </c>
      <c r="B2" s="614"/>
      <c r="C2" s="614"/>
      <c r="D2" s="614"/>
      <c r="E2" s="614"/>
      <c r="F2" s="614"/>
      <c r="G2" s="614"/>
      <c r="H2" s="614"/>
      <c r="I2" s="614"/>
      <c r="J2" s="614"/>
      <c r="K2" s="614"/>
      <c r="L2" s="614"/>
      <c r="M2" s="614"/>
    </row>
    <row r="3" spans="1:13" ht="11.45" customHeight="1">
      <c r="A3" s="614" t="s">
        <v>678</v>
      </c>
      <c r="B3" s="614"/>
      <c r="C3" s="614"/>
      <c r="D3" s="614"/>
      <c r="E3" s="614"/>
      <c r="F3" s="614"/>
      <c r="G3" s="614"/>
      <c r="H3" s="614"/>
      <c r="I3" s="614"/>
      <c r="J3" s="614"/>
      <c r="K3" s="614"/>
      <c r="L3" s="614"/>
      <c r="M3" s="614"/>
    </row>
    <row r="4" spans="1:13" ht="11.45" customHeight="1">
      <c r="A4" s="615" t="s">
        <v>1042</v>
      </c>
      <c r="B4" s="615"/>
      <c r="C4" s="615"/>
      <c r="D4" s="615"/>
      <c r="E4" s="615"/>
      <c r="F4" s="615"/>
      <c r="G4" s="615"/>
      <c r="H4" s="615"/>
      <c r="I4" s="615"/>
      <c r="J4" s="615"/>
      <c r="K4" s="615"/>
      <c r="L4" s="615"/>
      <c r="M4" s="615"/>
    </row>
    <row r="5" spans="1:13" ht="11.45" customHeight="1">
      <c r="A5" s="614" t="s">
        <v>680</v>
      </c>
      <c r="B5" s="614"/>
      <c r="C5" s="614"/>
      <c r="D5" s="614"/>
      <c r="E5" s="614"/>
      <c r="F5" s="614"/>
      <c r="G5" s="614"/>
      <c r="H5" s="614"/>
      <c r="I5" s="614"/>
      <c r="J5" s="614"/>
      <c r="K5" s="614"/>
      <c r="L5" s="614"/>
      <c r="M5" s="614"/>
    </row>
    <row r="6" spans="1:13" ht="11.45" customHeight="1">
      <c r="A6" s="906" t="s">
        <v>1236</v>
      </c>
      <c r="B6" s="614"/>
      <c r="C6" s="614"/>
      <c r="D6" s="614"/>
      <c r="E6" s="614"/>
      <c r="F6" s="614"/>
      <c r="G6" s="614"/>
      <c r="H6" s="614"/>
      <c r="I6" s="614"/>
      <c r="J6" s="614"/>
      <c r="K6" s="614"/>
      <c r="L6" s="614"/>
      <c r="M6" s="614"/>
    </row>
    <row r="8" spans="1:13" ht="11.45" customHeight="1">
      <c r="A8" s="616" t="s">
        <v>1043</v>
      </c>
      <c r="B8" s="616"/>
      <c r="C8" s="616"/>
      <c r="D8" s="616"/>
      <c r="E8" s="616"/>
      <c r="F8" s="616"/>
      <c r="G8" s="616"/>
      <c r="H8" s="616"/>
      <c r="I8" s="616"/>
      <c r="J8" s="616"/>
      <c r="K8" s="616"/>
      <c r="L8" s="616"/>
      <c r="M8" s="508" t="s">
        <v>754</v>
      </c>
    </row>
    <row r="9" spans="1:13" ht="11.45" customHeight="1">
      <c r="A9" s="579" t="s">
        <v>1044</v>
      </c>
      <c r="B9" s="580" t="s">
        <v>727</v>
      </c>
      <c r="C9" s="580"/>
      <c r="D9" s="580"/>
      <c r="E9" s="580"/>
      <c r="F9" s="580"/>
      <c r="G9" s="581" t="s">
        <v>1045</v>
      </c>
      <c r="H9" s="581"/>
      <c r="I9" s="581"/>
      <c r="J9" s="581"/>
      <c r="K9" s="581"/>
      <c r="L9" s="581"/>
      <c r="M9" s="582" t="s">
        <v>1046</v>
      </c>
    </row>
    <row r="10" spans="1:13">
      <c r="A10" s="579"/>
      <c r="B10" s="580"/>
      <c r="C10" s="580"/>
      <c r="D10" s="580"/>
      <c r="E10" s="580"/>
      <c r="F10" s="580"/>
      <c r="G10" s="581"/>
      <c r="H10" s="581"/>
      <c r="I10" s="581"/>
      <c r="J10" s="581"/>
      <c r="K10" s="581"/>
      <c r="L10" s="581"/>
      <c r="M10" s="582"/>
    </row>
    <row r="11" spans="1:13" ht="11.45" customHeight="1">
      <c r="A11" s="579"/>
      <c r="B11" s="583" t="s">
        <v>1047</v>
      </c>
      <c r="C11" s="583"/>
      <c r="D11" s="578" t="s">
        <v>1048</v>
      </c>
      <c r="E11" s="578" t="s">
        <v>1049</v>
      </c>
      <c r="F11" s="578" t="s">
        <v>726</v>
      </c>
      <c r="G11" s="583" t="s">
        <v>1047</v>
      </c>
      <c r="H11" s="583"/>
      <c r="I11" s="578" t="s">
        <v>985</v>
      </c>
      <c r="J11" s="578" t="s">
        <v>1048</v>
      </c>
      <c r="K11" s="578" t="s">
        <v>1049</v>
      </c>
      <c r="L11" s="578" t="s">
        <v>726</v>
      </c>
      <c r="M11" s="582" t="s">
        <v>1046</v>
      </c>
    </row>
    <row r="12" spans="1:13" ht="11.45" customHeight="1">
      <c r="A12" s="579"/>
      <c r="B12" s="509" t="s">
        <v>1050</v>
      </c>
      <c r="C12" s="509" t="s">
        <v>1051</v>
      </c>
      <c r="D12" s="578"/>
      <c r="E12" s="578"/>
      <c r="F12" s="578"/>
      <c r="G12" s="509" t="s">
        <v>1050</v>
      </c>
      <c r="H12" s="509" t="s">
        <v>1051</v>
      </c>
      <c r="I12" s="578"/>
      <c r="J12" s="578"/>
      <c r="K12" s="578"/>
      <c r="L12" s="578"/>
      <c r="M12" s="582"/>
    </row>
    <row r="13" spans="1:13" ht="11.45" customHeight="1">
      <c r="A13" s="579"/>
      <c r="B13" s="509" t="s">
        <v>1052</v>
      </c>
      <c r="C13" s="509" t="s">
        <v>1053</v>
      </c>
      <c r="D13" s="578"/>
      <c r="E13" s="578"/>
      <c r="F13" s="578"/>
      <c r="G13" s="509" t="s">
        <v>1052</v>
      </c>
      <c r="H13" s="509" t="s">
        <v>1053</v>
      </c>
      <c r="I13" s="578"/>
      <c r="J13" s="578"/>
      <c r="K13" s="578"/>
      <c r="L13" s="578"/>
      <c r="M13" s="582"/>
    </row>
    <row r="14" spans="1:13" ht="11.45" customHeight="1">
      <c r="A14" s="579"/>
      <c r="B14" s="588" t="s">
        <v>717</v>
      </c>
      <c r="C14" s="588" t="s">
        <v>718</v>
      </c>
      <c r="D14" s="588" t="s">
        <v>1054</v>
      </c>
      <c r="E14" s="588" t="s">
        <v>870</v>
      </c>
      <c r="F14" s="588" t="s">
        <v>1055</v>
      </c>
      <c r="G14" s="588" t="s">
        <v>1056</v>
      </c>
      <c r="H14" s="588" t="s">
        <v>1057</v>
      </c>
      <c r="I14" s="588" t="s">
        <v>1058</v>
      </c>
      <c r="J14" s="588" t="s">
        <v>1059</v>
      </c>
      <c r="K14" s="588" t="s">
        <v>1060</v>
      </c>
      <c r="L14" s="588" t="s">
        <v>1061</v>
      </c>
      <c r="M14" s="510" t="s">
        <v>1062</v>
      </c>
    </row>
    <row r="15" spans="1:13" ht="11.45" customHeight="1">
      <c r="A15" s="621" t="s">
        <v>1063</v>
      </c>
      <c r="B15" s="589">
        <v>1359877.95</v>
      </c>
      <c r="C15" s="589">
        <v>4179911.12</v>
      </c>
      <c r="D15" s="589">
        <v>3793808.05</v>
      </c>
      <c r="E15" s="589">
        <v>18354.52</v>
      </c>
      <c r="F15" s="589">
        <v>1727626.5</v>
      </c>
      <c r="G15" s="589">
        <v>1319811.21</v>
      </c>
      <c r="H15" s="589">
        <v>1831554.71</v>
      </c>
      <c r="I15" s="589">
        <v>1228604.18</v>
      </c>
      <c r="J15" s="589">
        <v>1210119.1000000001</v>
      </c>
      <c r="K15" s="589">
        <v>7400.34</v>
      </c>
      <c r="L15" s="589">
        <v>1933846.48</v>
      </c>
      <c r="M15" s="511">
        <v>3661472.98</v>
      </c>
    </row>
    <row r="16" spans="1:13" ht="11.45" customHeight="1">
      <c r="A16" s="512" t="s">
        <v>1064</v>
      </c>
      <c r="B16" s="589">
        <v>1359877.95</v>
      </c>
      <c r="C16" s="589">
        <v>4177488.54</v>
      </c>
      <c r="D16" s="589">
        <v>3791385.47</v>
      </c>
      <c r="E16" s="589">
        <v>18354.52</v>
      </c>
      <c r="F16" s="589">
        <v>1727626.5</v>
      </c>
      <c r="G16" s="589">
        <v>1319811.21</v>
      </c>
      <c r="H16" s="589">
        <v>1831554.71</v>
      </c>
      <c r="I16" s="589">
        <v>1228604.18</v>
      </c>
      <c r="J16" s="589">
        <v>1210119.1000000001</v>
      </c>
      <c r="K16" s="589">
        <v>7400.34</v>
      </c>
      <c r="L16" s="589">
        <v>1933846.48</v>
      </c>
      <c r="M16" s="511">
        <v>3661472.98</v>
      </c>
    </row>
    <row r="17" spans="1:13" ht="11.45" customHeight="1">
      <c r="A17" s="512" t="s">
        <v>1065</v>
      </c>
      <c r="B17" s="589">
        <v>0</v>
      </c>
      <c r="C17" s="589">
        <v>2422.58</v>
      </c>
      <c r="D17" s="589">
        <v>2422.58</v>
      </c>
      <c r="E17" s="589">
        <v>0</v>
      </c>
      <c r="F17" s="589">
        <v>0</v>
      </c>
      <c r="G17" s="589">
        <v>0</v>
      </c>
      <c r="H17" s="589">
        <v>0</v>
      </c>
      <c r="I17" s="589">
        <v>0</v>
      </c>
      <c r="J17" s="589">
        <v>0</v>
      </c>
      <c r="K17" s="589">
        <v>0</v>
      </c>
      <c r="L17" s="589">
        <v>0</v>
      </c>
      <c r="M17" s="511">
        <v>0</v>
      </c>
    </row>
    <row r="18" spans="1:13" ht="11.45" customHeight="1">
      <c r="A18" s="513" t="s">
        <v>1066</v>
      </c>
      <c r="B18" s="589">
        <v>0</v>
      </c>
      <c r="C18" s="589">
        <v>2422.58</v>
      </c>
      <c r="D18" s="589">
        <v>2422.58</v>
      </c>
      <c r="E18" s="589">
        <v>0</v>
      </c>
      <c r="F18" s="589">
        <v>0</v>
      </c>
      <c r="G18" s="589">
        <v>0</v>
      </c>
      <c r="H18" s="589">
        <v>0</v>
      </c>
      <c r="I18" s="589">
        <v>0</v>
      </c>
      <c r="J18" s="589">
        <v>0</v>
      </c>
      <c r="K18" s="589">
        <v>0</v>
      </c>
      <c r="L18" s="589">
        <v>0</v>
      </c>
      <c r="M18" s="511">
        <v>0</v>
      </c>
    </row>
    <row r="19" spans="1:13" ht="11.45" customHeight="1">
      <c r="A19" s="621" t="s">
        <v>1067</v>
      </c>
      <c r="B19" s="589">
        <v>18226474.579999998</v>
      </c>
      <c r="C19" s="589">
        <v>1564234.89</v>
      </c>
      <c r="D19" s="589">
        <v>3524925.6</v>
      </c>
      <c r="E19" s="589">
        <v>0</v>
      </c>
      <c r="F19" s="589">
        <v>16265783.869999999</v>
      </c>
      <c r="G19" s="589">
        <v>0</v>
      </c>
      <c r="H19" s="589">
        <v>0</v>
      </c>
      <c r="I19" s="589">
        <v>0</v>
      </c>
      <c r="J19" s="589">
        <v>0</v>
      </c>
      <c r="K19" s="589">
        <v>0</v>
      </c>
      <c r="L19" s="589">
        <v>0</v>
      </c>
      <c r="M19" s="511">
        <v>16265783.869999999</v>
      </c>
    </row>
    <row r="20" spans="1:13" ht="11.45" customHeight="1">
      <c r="A20" s="512" t="s">
        <v>1064</v>
      </c>
      <c r="B20" s="589">
        <v>18226474.579999998</v>
      </c>
      <c r="C20" s="589">
        <v>1564234.89</v>
      </c>
      <c r="D20" s="589">
        <v>3524925.6</v>
      </c>
      <c r="E20" s="589">
        <v>0</v>
      </c>
      <c r="F20" s="589">
        <v>16265783.869999999</v>
      </c>
      <c r="G20" s="589">
        <v>0</v>
      </c>
      <c r="H20" s="589">
        <v>0</v>
      </c>
      <c r="I20" s="589">
        <v>0</v>
      </c>
      <c r="J20" s="589">
        <v>0</v>
      </c>
      <c r="K20" s="589">
        <v>0</v>
      </c>
      <c r="L20" s="589">
        <v>0</v>
      </c>
      <c r="M20" s="511">
        <v>16265783.869999999</v>
      </c>
    </row>
    <row r="21" spans="1:13" ht="11.45" customHeight="1">
      <c r="A21" s="514" t="s">
        <v>1068</v>
      </c>
      <c r="B21" s="515">
        <v>19586352.530000001</v>
      </c>
      <c r="C21" s="515">
        <v>5744146.0099999998</v>
      </c>
      <c r="D21" s="515">
        <v>7318733.6500000004</v>
      </c>
      <c r="E21" s="515">
        <v>18354.52</v>
      </c>
      <c r="F21" s="515">
        <v>17993410.370000001</v>
      </c>
      <c r="G21" s="515">
        <v>1319811.21</v>
      </c>
      <c r="H21" s="515">
        <v>1831554.71</v>
      </c>
      <c r="I21" s="515">
        <v>1228604.18</v>
      </c>
      <c r="J21" s="515">
        <v>1210119.1000000001</v>
      </c>
      <c r="K21" s="515">
        <v>7400.34</v>
      </c>
      <c r="L21" s="515">
        <v>1933846.48</v>
      </c>
      <c r="M21" s="516">
        <v>19927256.850000001</v>
      </c>
    </row>
    <row r="28" spans="1:13" ht="11.45" customHeight="1">
      <c r="A28" s="875" t="s">
        <v>955</v>
      </c>
      <c r="B28" s="875"/>
      <c r="C28" s="875"/>
      <c r="D28" s="875"/>
      <c r="E28" s="875"/>
      <c r="F28" s="875"/>
      <c r="G28" s="875"/>
      <c r="H28" s="875"/>
      <c r="I28" s="875"/>
      <c r="J28" s="875"/>
      <c r="K28" s="875"/>
      <c r="L28" s="875"/>
      <c r="M28" s="875"/>
    </row>
    <row r="29" spans="1:13" ht="11.45" customHeight="1">
      <c r="A29" s="875" t="s">
        <v>956</v>
      </c>
      <c r="B29" s="875"/>
      <c r="C29" s="875"/>
      <c r="D29" s="875"/>
      <c r="E29" s="875"/>
      <c r="F29" s="875"/>
      <c r="G29" s="875"/>
      <c r="H29" s="875"/>
      <c r="I29" s="875"/>
      <c r="J29" s="875"/>
      <c r="K29" s="875"/>
      <c r="L29" s="875"/>
      <c r="M29" s="875"/>
    </row>
    <row r="30" spans="1:13" ht="11.45" customHeight="1">
      <c r="A30" s="875" t="s">
        <v>957</v>
      </c>
      <c r="B30" s="875"/>
      <c r="C30" s="875"/>
      <c r="D30" s="875"/>
      <c r="E30" s="875"/>
      <c r="F30" s="875"/>
      <c r="G30" s="875"/>
      <c r="H30" s="875"/>
      <c r="I30" s="875"/>
      <c r="J30" s="875"/>
      <c r="K30" s="875"/>
      <c r="L30" s="875"/>
      <c r="M30" s="875"/>
    </row>
    <row r="31" spans="1:13" ht="11.45" customHeight="1">
      <c r="A31" s="875" t="s">
        <v>958</v>
      </c>
      <c r="B31" s="875"/>
      <c r="C31" s="875"/>
      <c r="D31" s="875"/>
      <c r="E31" s="875"/>
      <c r="F31" s="875"/>
      <c r="G31" s="875"/>
      <c r="H31" s="875"/>
      <c r="I31" s="875"/>
      <c r="J31" s="875"/>
      <c r="K31" s="875"/>
      <c r="L31" s="875"/>
      <c r="M31" s="875"/>
    </row>
  </sheetData>
  <mergeCells count="4">
    <mergeCell ref="A29:M29"/>
    <mergeCell ref="A30:M30"/>
    <mergeCell ref="A31:M31"/>
    <mergeCell ref="A28:M28"/>
  </mergeCells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39"/>
  <sheetViews>
    <sheetView topLeftCell="A3" workbookViewId="0">
      <selection activeCell="A6" sqref="A6"/>
    </sheetView>
  </sheetViews>
  <sheetFormatPr defaultColWidth="11.5703125" defaultRowHeight="15"/>
  <cols>
    <col min="1" max="2" width="1.7109375" customWidth="1"/>
    <col min="3" max="3" width="31.85546875" customWidth="1"/>
    <col min="4" max="4" width="18.28515625" customWidth="1"/>
    <col min="6" max="6" width="10.28515625" customWidth="1"/>
    <col min="7" max="7" width="9" customWidth="1"/>
    <col min="8" max="8" width="22.140625" customWidth="1"/>
    <col min="9" max="9" width="16.7109375" customWidth="1"/>
    <col min="10" max="10" width="11.28515625" customWidth="1"/>
  </cols>
  <sheetData>
    <row r="1" spans="1:10" ht="11.45" customHeight="1">
      <c r="A1" s="614" t="s">
        <v>1069</v>
      </c>
      <c r="B1" s="614"/>
      <c r="C1" s="614"/>
      <c r="D1" s="614"/>
      <c r="E1" s="614"/>
      <c r="F1" s="614"/>
      <c r="G1" s="614"/>
      <c r="H1" s="614"/>
      <c r="I1" s="614"/>
      <c r="J1" s="614"/>
    </row>
    <row r="2" spans="1:10" ht="11.45" customHeight="1">
      <c r="A2" s="614" t="s">
        <v>1040</v>
      </c>
      <c r="B2" s="614"/>
      <c r="C2" s="614"/>
      <c r="D2" s="614"/>
      <c r="E2" s="614"/>
      <c r="F2" s="614"/>
      <c r="G2" s="614"/>
      <c r="H2" s="614"/>
      <c r="I2" s="614"/>
      <c r="J2" s="614"/>
    </row>
    <row r="3" spans="1:10" ht="11.45" customHeight="1">
      <c r="A3" s="615" t="s">
        <v>1070</v>
      </c>
      <c r="B3" s="615"/>
      <c r="C3" s="615"/>
      <c r="D3" s="615"/>
      <c r="E3" s="615"/>
      <c r="F3" s="615"/>
      <c r="G3" s="615"/>
      <c r="H3" s="615"/>
      <c r="I3" s="615"/>
      <c r="J3" s="615"/>
    </row>
    <row r="4" spans="1:10" ht="11.45" customHeight="1">
      <c r="A4" s="614" t="s">
        <v>753</v>
      </c>
      <c r="B4" s="614"/>
      <c r="C4" s="614"/>
      <c r="D4" s="614"/>
      <c r="E4" s="614"/>
      <c r="F4" s="614"/>
      <c r="G4" s="614"/>
      <c r="H4" s="614"/>
      <c r="I4" s="614"/>
      <c r="J4" s="614"/>
    </row>
    <row r="5" spans="1:10" ht="11.45" customHeight="1">
      <c r="A5" s="906" t="s">
        <v>1236</v>
      </c>
      <c r="B5" s="614"/>
      <c r="C5" s="614"/>
      <c r="D5" s="614"/>
      <c r="E5" s="614"/>
      <c r="F5" s="614"/>
      <c r="G5" s="614"/>
      <c r="H5" s="614"/>
      <c r="I5" s="614"/>
      <c r="J5" s="614"/>
    </row>
    <row r="6" spans="1:10" ht="11.45" customHeight="1">
      <c r="A6" s="620" t="s">
        <v>1071</v>
      </c>
      <c r="B6" s="620"/>
      <c r="C6" s="620"/>
      <c r="D6" s="620"/>
      <c r="E6" s="620"/>
      <c r="F6" s="620"/>
      <c r="G6" s="620"/>
      <c r="H6" s="620"/>
      <c r="I6" s="620"/>
      <c r="J6" s="517" t="s">
        <v>682</v>
      </c>
    </row>
    <row r="7" spans="1:10" ht="11.45" customHeight="1">
      <c r="A7" s="622" t="s">
        <v>685</v>
      </c>
      <c r="B7" s="622"/>
      <c r="C7" s="623"/>
      <c r="D7" s="587" t="s">
        <v>1072</v>
      </c>
      <c r="E7" s="642" t="s">
        <v>765</v>
      </c>
      <c r="F7" s="643"/>
      <c r="G7" s="643"/>
      <c r="H7" s="643"/>
      <c r="I7" s="644"/>
      <c r="J7" s="518" t="s">
        <v>863</v>
      </c>
    </row>
    <row r="8" spans="1:10" ht="11.45" customHeight="1">
      <c r="A8" s="626"/>
      <c r="B8" s="626"/>
      <c r="C8" s="627"/>
      <c r="D8" s="588" t="s">
        <v>717</v>
      </c>
      <c r="E8" s="639" t="s">
        <v>718</v>
      </c>
      <c r="F8" s="640"/>
      <c r="G8" s="640"/>
      <c r="H8" s="640"/>
      <c r="I8" s="641"/>
      <c r="J8" s="510" t="s">
        <v>869</v>
      </c>
    </row>
    <row r="9" spans="1:10" ht="11.45" customHeight="1">
      <c r="A9" s="637" t="s">
        <v>1073</v>
      </c>
      <c r="B9" s="637"/>
      <c r="C9" s="638"/>
      <c r="D9" s="589">
        <v>0</v>
      </c>
      <c r="E9" s="634" t="s">
        <v>1215</v>
      </c>
      <c r="F9" s="635"/>
      <c r="G9" s="635"/>
      <c r="H9" s="635"/>
      <c r="I9" s="636"/>
      <c r="J9" s="511">
        <v>0</v>
      </c>
    </row>
    <row r="10" spans="1:10" ht="11.45" customHeight="1">
      <c r="C10" s="621" t="s">
        <v>1074</v>
      </c>
      <c r="D10" s="589">
        <v>0</v>
      </c>
      <c r="E10" s="631" t="s">
        <v>1215</v>
      </c>
      <c r="F10" s="632"/>
      <c r="G10" s="632"/>
      <c r="H10" s="632"/>
      <c r="I10" s="633"/>
      <c r="J10" s="511">
        <v>0</v>
      </c>
    </row>
    <row r="11" spans="1:10" ht="11.45" customHeight="1">
      <c r="C11" s="621" t="s">
        <v>1075</v>
      </c>
      <c r="D11" s="589">
        <v>0</v>
      </c>
      <c r="E11" s="631" t="s">
        <v>1215</v>
      </c>
      <c r="F11" s="632"/>
      <c r="G11" s="632"/>
      <c r="H11" s="632"/>
      <c r="I11" s="633"/>
      <c r="J11" s="511">
        <v>0</v>
      </c>
    </row>
    <row r="12" spans="1:10" ht="11.45" customHeight="1">
      <c r="C12" s="621" t="s">
        <v>1076</v>
      </c>
      <c r="D12" s="589">
        <v>0</v>
      </c>
      <c r="E12" s="631" t="s">
        <v>1215</v>
      </c>
      <c r="F12" s="632"/>
      <c r="G12" s="632"/>
      <c r="H12" s="632"/>
      <c r="I12" s="633"/>
      <c r="J12" s="511">
        <v>0</v>
      </c>
    </row>
    <row r="13" spans="1:10" ht="11.45" customHeight="1">
      <c r="A13" s="519"/>
      <c r="B13" s="519"/>
      <c r="C13" s="585" t="s">
        <v>1077</v>
      </c>
      <c r="D13" s="586">
        <v>0</v>
      </c>
      <c r="E13" s="628" t="s">
        <v>1215</v>
      </c>
      <c r="F13" s="629"/>
      <c r="G13" s="629"/>
      <c r="H13" s="629"/>
      <c r="I13" s="630"/>
      <c r="J13" s="520">
        <v>0</v>
      </c>
    </row>
    <row r="15" spans="1:10" ht="11.45" customHeight="1">
      <c r="A15" s="622" t="s">
        <v>692</v>
      </c>
      <c r="B15" s="622"/>
      <c r="C15" s="623"/>
      <c r="D15" s="587" t="s">
        <v>1078</v>
      </c>
      <c r="E15" s="587" t="s">
        <v>692</v>
      </c>
      <c r="F15" s="587" t="s">
        <v>692</v>
      </c>
      <c r="G15" s="587" t="s">
        <v>692</v>
      </c>
      <c r="H15" s="587" t="s">
        <v>692</v>
      </c>
      <c r="I15" s="587" t="s">
        <v>1079</v>
      </c>
      <c r="J15" s="518" t="s">
        <v>863</v>
      </c>
    </row>
    <row r="16" spans="1:10" ht="11.45" customHeight="1">
      <c r="A16" s="624"/>
      <c r="B16" s="624"/>
      <c r="C16" s="625"/>
      <c r="D16" s="509"/>
      <c r="E16" s="509" t="s">
        <v>1080</v>
      </c>
      <c r="F16" s="509" t="s">
        <v>1081</v>
      </c>
      <c r="G16" s="509" t="s">
        <v>1082</v>
      </c>
      <c r="H16" s="509" t="s">
        <v>1083</v>
      </c>
      <c r="I16" s="509" t="s">
        <v>1084</v>
      </c>
      <c r="J16" s="521"/>
    </row>
    <row r="17" spans="1:10" ht="11.45" customHeight="1">
      <c r="A17" s="624"/>
      <c r="B17" s="624"/>
      <c r="C17" s="625"/>
      <c r="D17" s="509"/>
      <c r="E17" s="509"/>
      <c r="F17" s="509"/>
      <c r="G17" s="509"/>
      <c r="H17" s="509" t="s">
        <v>1085</v>
      </c>
      <c r="I17" s="509"/>
      <c r="J17" s="521"/>
    </row>
    <row r="18" spans="1:10" ht="11.45" customHeight="1">
      <c r="A18" s="626"/>
      <c r="B18" s="626"/>
      <c r="C18" s="627"/>
      <c r="D18" s="588" t="s">
        <v>870</v>
      </c>
      <c r="E18" s="588" t="s">
        <v>1086</v>
      </c>
      <c r="F18" s="588"/>
      <c r="G18" s="588" t="s">
        <v>1056</v>
      </c>
      <c r="H18" s="588"/>
      <c r="I18" s="588" t="s">
        <v>1057</v>
      </c>
      <c r="J18" s="510" t="s">
        <v>1087</v>
      </c>
    </row>
    <row r="19" spans="1:10" ht="11.45" customHeight="1">
      <c r="A19" s="616" t="s">
        <v>1088</v>
      </c>
      <c r="C19" s="522"/>
      <c r="D19" s="589">
        <v>0</v>
      </c>
      <c r="E19" s="589">
        <v>0</v>
      </c>
      <c r="F19" s="589">
        <v>0</v>
      </c>
      <c r="G19" s="589">
        <v>0</v>
      </c>
      <c r="H19" s="589">
        <v>0</v>
      </c>
      <c r="I19" s="589">
        <v>0</v>
      </c>
      <c r="J19" s="511">
        <v>0</v>
      </c>
    </row>
    <row r="20" spans="1:10" ht="11.45" customHeight="1">
      <c r="A20" s="616" t="s">
        <v>1089</v>
      </c>
      <c r="B20" s="616"/>
      <c r="C20" s="621"/>
      <c r="D20" s="589">
        <v>0</v>
      </c>
      <c r="E20" s="589">
        <v>0</v>
      </c>
      <c r="F20" s="589">
        <v>0</v>
      </c>
      <c r="G20" s="589">
        <v>0</v>
      </c>
      <c r="H20" s="589">
        <v>0</v>
      </c>
      <c r="I20" s="589">
        <v>0</v>
      </c>
      <c r="J20" s="511">
        <v>0</v>
      </c>
    </row>
    <row r="21" spans="1:10" ht="11.45" customHeight="1">
      <c r="B21" s="616" t="s">
        <v>317</v>
      </c>
      <c r="C21" s="621"/>
      <c r="D21" s="589">
        <v>0</v>
      </c>
      <c r="E21" s="589">
        <v>0</v>
      </c>
      <c r="F21" s="589">
        <v>0</v>
      </c>
      <c r="G21" s="589">
        <v>0</v>
      </c>
      <c r="H21" s="589">
        <v>0</v>
      </c>
      <c r="I21" s="589">
        <v>0</v>
      </c>
      <c r="J21" s="511">
        <v>0</v>
      </c>
    </row>
    <row r="22" spans="1:10" ht="11.45" customHeight="1">
      <c r="B22" s="616" t="s">
        <v>622</v>
      </c>
      <c r="C22" s="621"/>
      <c r="D22" s="589">
        <v>0</v>
      </c>
      <c r="E22" s="589">
        <v>0</v>
      </c>
      <c r="F22" s="589">
        <v>0</v>
      </c>
      <c r="G22" s="589">
        <v>0</v>
      </c>
      <c r="H22" s="589">
        <v>0</v>
      </c>
      <c r="I22" s="589">
        <v>0</v>
      </c>
      <c r="J22" s="511">
        <v>0</v>
      </c>
    </row>
    <row r="23" spans="1:10" ht="11.45" customHeight="1">
      <c r="B23" s="616" t="s">
        <v>321</v>
      </c>
      <c r="C23" s="621"/>
      <c r="D23" s="589">
        <v>0</v>
      </c>
      <c r="E23" s="589">
        <v>0</v>
      </c>
      <c r="F23" s="589">
        <v>0</v>
      </c>
      <c r="G23" s="589">
        <v>0</v>
      </c>
      <c r="H23" s="589">
        <v>0</v>
      </c>
      <c r="I23" s="589">
        <v>0</v>
      </c>
      <c r="J23" s="511">
        <v>0</v>
      </c>
    </row>
    <row r="24" spans="1:10" ht="11.45" customHeight="1">
      <c r="A24" s="616" t="s">
        <v>1090</v>
      </c>
      <c r="B24" s="616"/>
      <c r="C24" s="621"/>
      <c r="D24" s="589">
        <v>0</v>
      </c>
      <c r="E24" s="589">
        <v>0</v>
      </c>
      <c r="F24" s="589">
        <v>0</v>
      </c>
      <c r="G24" s="589">
        <v>0</v>
      </c>
      <c r="H24" s="589">
        <v>0</v>
      </c>
      <c r="I24" s="589">
        <v>0</v>
      </c>
      <c r="J24" s="511">
        <v>0</v>
      </c>
    </row>
    <row r="25" spans="1:10" ht="11.45" customHeight="1">
      <c r="A25" s="519"/>
      <c r="B25" s="645" t="s">
        <v>1091</v>
      </c>
      <c r="C25" s="646"/>
      <c r="D25" s="586">
        <v>0</v>
      </c>
      <c r="E25" s="586">
        <v>0</v>
      </c>
      <c r="F25" s="586">
        <v>0</v>
      </c>
      <c r="G25" s="586">
        <v>0</v>
      </c>
      <c r="H25" s="586">
        <v>0</v>
      </c>
      <c r="I25" s="586">
        <v>0</v>
      </c>
      <c r="J25" s="520">
        <v>0</v>
      </c>
    </row>
    <row r="27" spans="1:10" ht="11.45" customHeight="1">
      <c r="A27" s="622" t="s">
        <v>1092</v>
      </c>
      <c r="B27" s="622"/>
      <c r="C27" s="623"/>
      <c r="D27" s="587">
        <v>2021</v>
      </c>
      <c r="E27" s="642">
        <v>2022</v>
      </c>
      <c r="F27" s="643"/>
      <c r="G27" s="643"/>
      <c r="H27" s="643"/>
      <c r="I27" s="644"/>
      <c r="J27" s="518" t="s">
        <v>1041</v>
      </c>
    </row>
    <row r="28" spans="1:10" ht="11.45" customHeight="1">
      <c r="A28" s="624"/>
      <c r="B28" s="624"/>
      <c r="C28" s="625"/>
      <c r="D28" s="588" t="s">
        <v>1059</v>
      </c>
      <c r="E28" s="639" t="s">
        <v>1093</v>
      </c>
      <c r="F28" s="640"/>
      <c r="G28" s="640"/>
      <c r="H28" s="640"/>
      <c r="I28" s="641"/>
      <c r="J28" s="510" t="s">
        <v>1094</v>
      </c>
    </row>
    <row r="29" spans="1:10" ht="11.45" customHeight="1">
      <c r="A29" s="645" t="s">
        <v>1095</v>
      </c>
      <c r="B29" s="645"/>
      <c r="C29" s="646"/>
      <c r="D29" s="523"/>
      <c r="E29" s="648" t="s">
        <v>1215</v>
      </c>
      <c r="F29" s="649"/>
      <c r="G29" s="649"/>
      <c r="H29" s="649"/>
      <c r="I29" s="650"/>
      <c r="J29" s="520">
        <v>0</v>
      </c>
    </row>
    <row r="30" spans="1:10" ht="11.45" customHeight="1">
      <c r="A30" s="647"/>
      <c r="B30" s="647"/>
      <c r="C30" s="647"/>
      <c r="D30" s="647"/>
      <c r="E30" s="647"/>
      <c r="F30" s="647"/>
      <c r="G30" s="647"/>
      <c r="H30" s="647"/>
      <c r="I30" s="647"/>
      <c r="J30" s="647"/>
    </row>
    <row r="36" spans="1:1">
      <c r="A36" t="s">
        <v>955</v>
      </c>
    </row>
    <row r="37" spans="1:1">
      <c r="A37" t="s">
        <v>956</v>
      </c>
    </row>
    <row r="38" spans="1:1">
      <c r="A38" t="s">
        <v>957</v>
      </c>
    </row>
    <row r="39" spans="1:1">
      <c r="A39" t="s">
        <v>958</v>
      </c>
    </row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>
  <dimension ref="A1:O41"/>
  <sheetViews>
    <sheetView workbookViewId="0">
      <selection activeCell="A6" sqref="A6"/>
    </sheetView>
  </sheetViews>
  <sheetFormatPr defaultColWidth="11.5703125" defaultRowHeight="15"/>
  <cols>
    <col min="1" max="1" width="1.7109375" customWidth="1"/>
    <col min="2" max="2" width="17.28515625" customWidth="1"/>
    <col min="3" max="4" width="13.42578125" customWidth="1"/>
    <col min="5" max="5" width="8.28515625" bestFit="1" customWidth="1"/>
    <col min="6" max="6" width="13.42578125" customWidth="1"/>
    <col min="7" max="14" width="4.28515625" bestFit="1" customWidth="1"/>
    <col min="15" max="15" width="6.140625" bestFit="1" customWidth="1"/>
    <col min="257" max="257" width="1.7109375" customWidth="1"/>
    <col min="258" max="258" width="17.28515625" customWidth="1"/>
    <col min="259" max="271" width="13.42578125" customWidth="1"/>
    <col min="513" max="513" width="1.7109375" customWidth="1"/>
    <col min="514" max="514" width="17.28515625" customWidth="1"/>
    <col min="515" max="527" width="13.42578125" customWidth="1"/>
    <col min="769" max="769" width="1.7109375" customWidth="1"/>
    <col min="770" max="770" width="17.28515625" customWidth="1"/>
    <col min="771" max="783" width="13.42578125" customWidth="1"/>
    <col min="1025" max="1025" width="1.7109375" customWidth="1"/>
    <col min="1026" max="1026" width="17.28515625" customWidth="1"/>
    <col min="1027" max="1039" width="13.42578125" customWidth="1"/>
    <col min="1281" max="1281" width="1.7109375" customWidth="1"/>
    <col min="1282" max="1282" width="17.28515625" customWidth="1"/>
    <col min="1283" max="1295" width="13.42578125" customWidth="1"/>
    <col min="1537" max="1537" width="1.7109375" customWidth="1"/>
    <col min="1538" max="1538" width="17.28515625" customWidth="1"/>
    <col min="1539" max="1551" width="13.42578125" customWidth="1"/>
    <col min="1793" max="1793" width="1.7109375" customWidth="1"/>
    <col min="1794" max="1794" width="17.28515625" customWidth="1"/>
    <col min="1795" max="1807" width="13.42578125" customWidth="1"/>
    <col min="2049" max="2049" width="1.7109375" customWidth="1"/>
    <col min="2050" max="2050" width="17.28515625" customWidth="1"/>
    <col min="2051" max="2063" width="13.42578125" customWidth="1"/>
    <col min="2305" max="2305" width="1.7109375" customWidth="1"/>
    <col min="2306" max="2306" width="17.28515625" customWidth="1"/>
    <col min="2307" max="2319" width="13.42578125" customWidth="1"/>
    <col min="2561" max="2561" width="1.7109375" customWidth="1"/>
    <col min="2562" max="2562" width="17.28515625" customWidth="1"/>
    <col min="2563" max="2575" width="13.42578125" customWidth="1"/>
    <col min="2817" max="2817" width="1.7109375" customWidth="1"/>
    <col min="2818" max="2818" width="17.28515625" customWidth="1"/>
    <col min="2819" max="2831" width="13.42578125" customWidth="1"/>
    <col min="3073" max="3073" width="1.7109375" customWidth="1"/>
    <col min="3074" max="3074" width="17.28515625" customWidth="1"/>
    <col min="3075" max="3087" width="13.42578125" customWidth="1"/>
    <col min="3329" max="3329" width="1.7109375" customWidth="1"/>
    <col min="3330" max="3330" width="17.28515625" customWidth="1"/>
    <col min="3331" max="3343" width="13.42578125" customWidth="1"/>
    <col min="3585" max="3585" width="1.7109375" customWidth="1"/>
    <col min="3586" max="3586" width="17.28515625" customWidth="1"/>
    <col min="3587" max="3599" width="13.42578125" customWidth="1"/>
    <col min="3841" max="3841" width="1.7109375" customWidth="1"/>
    <col min="3842" max="3842" width="17.28515625" customWidth="1"/>
    <col min="3843" max="3855" width="13.42578125" customWidth="1"/>
    <col min="4097" max="4097" width="1.7109375" customWidth="1"/>
    <col min="4098" max="4098" width="17.28515625" customWidth="1"/>
    <col min="4099" max="4111" width="13.42578125" customWidth="1"/>
    <col min="4353" max="4353" width="1.7109375" customWidth="1"/>
    <col min="4354" max="4354" width="17.28515625" customWidth="1"/>
    <col min="4355" max="4367" width="13.42578125" customWidth="1"/>
    <col min="4609" max="4609" width="1.7109375" customWidth="1"/>
    <col min="4610" max="4610" width="17.28515625" customWidth="1"/>
    <col min="4611" max="4623" width="13.42578125" customWidth="1"/>
    <col min="4865" max="4865" width="1.7109375" customWidth="1"/>
    <col min="4866" max="4866" width="17.28515625" customWidth="1"/>
    <col min="4867" max="4879" width="13.42578125" customWidth="1"/>
    <col min="5121" max="5121" width="1.7109375" customWidth="1"/>
    <col min="5122" max="5122" width="17.28515625" customWidth="1"/>
    <col min="5123" max="5135" width="13.42578125" customWidth="1"/>
    <col min="5377" max="5377" width="1.7109375" customWidth="1"/>
    <col min="5378" max="5378" width="17.28515625" customWidth="1"/>
    <col min="5379" max="5391" width="13.42578125" customWidth="1"/>
    <col min="5633" max="5633" width="1.7109375" customWidth="1"/>
    <col min="5634" max="5634" width="17.28515625" customWidth="1"/>
    <col min="5635" max="5647" width="13.42578125" customWidth="1"/>
    <col min="5889" max="5889" width="1.7109375" customWidth="1"/>
    <col min="5890" max="5890" width="17.28515625" customWidth="1"/>
    <col min="5891" max="5903" width="13.42578125" customWidth="1"/>
    <col min="6145" max="6145" width="1.7109375" customWidth="1"/>
    <col min="6146" max="6146" width="17.28515625" customWidth="1"/>
    <col min="6147" max="6159" width="13.42578125" customWidth="1"/>
    <col min="6401" max="6401" width="1.7109375" customWidth="1"/>
    <col min="6402" max="6402" width="17.28515625" customWidth="1"/>
    <col min="6403" max="6415" width="13.42578125" customWidth="1"/>
    <col min="6657" max="6657" width="1.7109375" customWidth="1"/>
    <col min="6658" max="6658" width="17.28515625" customWidth="1"/>
    <col min="6659" max="6671" width="13.42578125" customWidth="1"/>
    <col min="6913" max="6913" width="1.7109375" customWidth="1"/>
    <col min="6914" max="6914" width="17.28515625" customWidth="1"/>
    <col min="6915" max="6927" width="13.42578125" customWidth="1"/>
    <col min="7169" max="7169" width="1.7109375" customWidth="1"/>
    <col min="7170" max="7170" width="17.28515625" customWidth="1"/>
    <col min="7171" max="7183" width="13.42578125" customWidth="1"/>
    <col min="7425" max="7425" width="1.7109375" customWidth="1"/>
    <col min="7426" max="7426" width="17.28515625" customWidth="1"/>
    <col min="7427" max="7439" width="13.42578125" customWidth="1"/>
    <col min="7681" max="7681" width="1.7109375" customWidth="1"/>
    <col min="7682" max="7682" width="17.28515625" customWidth="1"/>
    <col min="7683" max="7695" width="13.42578125" customWidth="1"/>
    <col min="7937" max="7937" width="1.7109375" customWidth="1"/>
    <col min="7938" max="7938" width="17.28515625" customWidth="1"/>
    <col min="7939" max="7951" width="13.42578125" customWidth="1"/>
    <col min="8193" max="8193" width="1.7109375" customWidth="1"/>
    <col min="8194" max="8194" width="17.28515625" customWidth="1"/>
    <col min="8195" max="8207" width="13.42578125" customWidth="1"/>
    <col min="8449" max="8449" width="1.7109375" customWidth="1"/>
    <col min="8450" max="8450" width="17.28515625" customWidth="1"/>
    <col min="8451" max="8463" width="13.42578125" customWidth="1"/>
    <col min="8705" max="8705" width="1.7109375" customWidth="1"/>
    <col min="8706" max="8706" width="17.28515625" customWidth="1"/>
    <col min="8707" max="8719" width="13.42578125" customWidth="1"/>
    <col min="8961" max="8961" width="1.7109375" customWidth="1"/>
    <col min="8962" max="8962" width="17.28515625" customWidth="1"/>
    <col min="8963" max="8975" width="13.42578125" customWidth="1"/>
    <col min="9217" max="9217" width="1.7109375" customWidth="1"/>
    <col min="9218" max="9218" width="17.28515625" customWidth="1"/>
    <col min="9219" max="9231" width="13.42578125" customWidth="1"/>
    <col min="9473" max="9473" width="1.7109375" customWidth="1"/>
    <col min="9474" max="9474" width="17.28515625" customWidth="1"/>
    <col min="9475" max="9487" width="13.42578125" customWidth="1"/>
    <col min="9729" max="9729" width="1.7109375" customWidth="1"/>
    <col min="9730" max="9730" width="17.28515625" customWidth="1"/>
    <col min="9731" max="9743" width="13.42578125" customWidth="1"/>
    <col min="9985" max="9985" width="1.7109375" customWidth="1"/>
    <col min="9986" max="9986" width="17.28515625" customWidth="1"/>
    <col min="9987" max="9999" width="13.42578125" customWidth="1"/>
    <col min="10241" max="10241" width="1.7109375" customWidth="1"/>
    <col min="10242" max="10242" width="17.28515625" customWidth="1"/>
    <col min="10243" max="10255" width="13.42578125" customWidth="1"/>
    <col min="10497" max="10497" width="1.7109375" customWidth="1"/>
    <col min="10498" max="10498" width="17.28515625" customWidth="1"/>
    <col min="10499" max="10511" width="13.42578125" customWidth="1"/>
    <col min="10753" max="10753" width="1.7109375" customWidth="1"/>
    <col min="10754" max="10754" width="17.28515625" customWidth="1"/>
    <col min="10755" max="10767" width="13.42578125" customWidth="1"/>
    <col min="11009" max="11009" width="1.7109375" customWidth="1"/>
    <col min="11010" max="11010" width="17.28515625" customWidth="1"/>
    <col min="11011" max="11023" width="13.42578125" customWidth="1"/>
    <col min="11265" max="11265" width="1.7109375" customWidth="1"/>
    <col min="11266" max="11266" width="17.28515625" customWidth="1"/>
    <col min="11267" max="11279" width="13.42578125" customWidth="1"/>
    <col min="11521" max="11521" width="1.7109375" customWidth="1"/>
    <col min="11522" max="11522" width="17.28515625" customWidth="1"/>
    <col min="11523" max="11535" width="13.42578125" customWidth="1"/>
    <col min="11777" max="11777" width="1.7109375" customWidth="1"/>
    <col min="11778" max="11778" width="17.28515625" customWidth="1"/>
    <col min="11779" max="11791" width="13.42578125" customWidth="1"/>
    <col min="12033" max="12033" width="1.7109375" customWidth="1"/>
    <col min="12034" max="12034" width="17.28515625" customWidth="1"/>
    <col min="12035" max="12047" width="13.42578125" customWidth="1"/>
    <col min="12289" max="12289" width="1.7109375" customWidth="1"/>
    <col min="12290" max="12290" width="17.28515625" customWidth="1"/>
    <col min="12291" max="12303" width="13.42578125" customWidth="1"/>
    <col min="12545" max="12545" width="1.7109375" customWidth="1"/>
    <col min="12546" max="12546" width="17.28515625" customWidth="1"/>
    <col min="12547" max="12559" width="13.42578125" customWidth="1"/>
    <col min="12801" max="12801" width="1.7109375" customWidth="1"/>
    <col min="12802" max="12802" width="17.28515625" customWidth="1"/>
    <col min="12803" max="12815" width="13.42578125" customWidth="1"/>
    <col min="13057" max="13057" width="1.7109375" customWidth="1"/>
    <col min="13058" max="13058" width="17.28515625" customWidth="1"/>
    <col min="13059" max="13071" width="13.42578125" customWidth="1"/>
    <col min="13313" max="13313" width="1.7109375" customWidth="1"/>
    <col min="13314" max="13314" width="17.28515625" customWidth="1"/>
    <col min="13315" max="13327" width="13.42578125" customWidth="1"/>
    <col min="13569" max="13569" width="1.7109375" customWidth="1"/>
    <col min="13570" max="13570" width="17.28515625" customWidth="1"/>
    <col min="13571" max="13583" width="13.42578125" customWidth="1"/>
    <col min="13825" max="13825" width="1.7109375" customWidth="1"/>
    <col min="13826" max="13826" width="17.28515625" customWidth="1"/>
    <col min="13827" max="13839" width="13.42578125" customWidth="1"/>
    <col min="14081" max="14081" width="1.7109375" customWidth="1"/>
    <col min="14082" max="14082" width="17.28515625" customWidth="1"/>
    <col min="14083" max="14095" width="13.42578125" customWidth="1"/>
    <col min="14337" max="14337" width="1.7109375" customWidth="1"/>
    <col min="14338" max="14338" width="17.28515625" customWidth="1"/>
    <col min="14339" max="14351" width="13.42578125" customWidth="1"/>
    <col min="14593" max="14593" width="1.7109375" customWidth="1"/>
    <col min="14594" max="14594" width="17.28515625" customWidth="1"/>
    <col min="14595" max="14607" width="13.42578125" customWidth="1"/>
    <col min="14849" max="14849" width="1.7109375" customWidth="1"/>
    <col min="14850" max="14850" width="17.28515625" customWidth="1"/>
    <col min="14851" max="14863" width="13.42578125" customWidth="1"/>
    <col min="15105" max="15105" width="1.7109375" customWidth="1"/>
    <col min="15106" max="15106" width="17.28515625" customWidth="1"/>
    <col min="15107" max="15119" width="13.42578125" customWidth="1"/>
    <col min="15361" max="15361" width="1.7109375" customWidth="1"/>
    <col min="15362" max="15362" width="17.28515625" customWidth="1"/>
    <col min="15363" max="15375" width="13.42578125" customWidth="1"/>
    <col min="15617" max="15617" width="1.7109375" customWidth="1"/>
    <col min="15618" max="15618" width="17.28515625" customWidth="1"/>
    <col min="15619" max="15631" width="13.42578125" customWidth="1"/>
    <col min="15873" max="15873" width="1.7109375" customWidth="1"/>
    <col min="15874" max="15874" width="17.28515625" customWidth="1"/>
    <col min="15875" max="15887" width="13.42578125" customWidth="1"/>
    <col min="16129" max="16129" width="1.7109375" customWidth="1"/>
    <col min="16130" max="16130" width="17.28515625" customWidth="1"/>
    <col min="16131" max="16143" width="13.42578125" customWidth="1"/>
  </cols>
  <sheetData>
    <row r="1" spans="1:15" ht="11.45" customHeight="1">
      <c r="A1" s="605" t="s">
        <v>758</v>
      </c>
      <c r="B1" s="605"/>
      <c r="C1" s="605"/>
      <c r="D1" s="605"/>
      <c r="E1" s="605"/>
      <c r="F1" s="605"/>
      <c r="G1" s="605"/>
      <c r="H1" s="605"/>
      <c r="I1" s="605"/>
      <c r="J1" s="605"/>
      <c r="K1" s="605"/>
      <c r="L1" s="605"/>
      <c r="M1" s="605"/>
      <c r="N1" s="605"/>
      <c r="O1" s="605"/>
    </row>
    <row r="2" spans="1:15" ht="11.45" customHeight="1">
      <c r="A2" s="605" t="s">
        <v>1040</v>
      </c>
      <c r="B2" s="605"/>
      <c r="C2" s="605"/>
      <c r="D2" s="605"/>
      <c r="E2" s="605"/>
      <c r="F2" s="605"/>
      <c r="G2" s="605"/>
      <c r="H2" s="605"/>
      <c r="I2" s="605"/>
      <c r="J2" s="605"/>
      <c r="K2" s="605"/>
      <c r="L2" s="605"/>
      <c r="M2" s="605"/>
      <c r="N2" s="605"/>
      <c r="O2" s="605"/>
    </row>
    <row r="3" spans="1:15" ht="11.45" customHeight="1">
      <c r="A3" s="606" t="s">
        <v>1096</v>
      </c>
      <c r="B3" s="606"/>
      <c r="C3" s="606"/>
      <c r="D3" s="606"/>
      <c r="E3" s="606"/>
      <c r="F3" s="606"/>
      <c r="G3" s="606"/>
      <c r="H3" s="606"/>
      <c r="I3" s="606"/>
      <c r="J3" s="606"/>
      <c r="K3" s="606"/>
      <c r="L3" s="606"/>
      <c r="M3" s="606"/>
      <c r="N3" s="606"/>
      <c r="O3" s="606"/>
    </row>
    <row r="4" spans="1:15" ht="11.45" customHeight="1">
      <c r="A4" s="605" t="s">
        <v>753</v>
      </c>
      <c r="B4" s="605"/>
      <c r="C4" s="605"/>
      <c r="D4" s="605"/>
      <c r="E4" s="605"/>
      <c r="F4" s="605"/>
      <c r="G4" s="605"/>
      <c r="H4" s="605"/>
      <c r="I4" s="605"/>
      <c r="J4" s="605"/>
      <c r="K4" s="605"/>
      <c r="L4" s="605"/>
      <c r="M4" s="605"/>
      <c r="N4" s="605"/>
      <c r="O4" s="605"/>
    </row>
    <row r="5" spans="1:15" ht="11.45" customHeight="1">
      <c r="A5" s="907" t="s">
        <v>1236</v>
      </c>
      <c r="B5" s="605"/>
      <c r="C5" s="605"/>
      <c r="D5" s="605"/>
      <c r="E5" s="605"/>
      <c r="F5" s="605"/>
      <c r="G5" s="605"/>
      <c r="H5" s="605"/>
      <c r="I5" s="605"/>
      <c r="J5" s="605"/>
      <c r="K5" s="605"/>
      <c r="L5" s="605"/>
      <c r="M5" s="605"/>
      <c r="N5" s="605"/>
      <c r="O5" s="605"/>
    </row>
    <row r="7" spans="1:15" ht="11.45" customHeight="1">
      <c r="A7" s="604" t="s">
        <v>1097</v>
      </c>
      <c r="B7" s="604"/>
      <c r="C7" s="604"/>
      <c r="D7" s="604"/>
      <c r="E7" s="604"/>
      <c r="F7" s="604"/>
      <c r="G7" s="604"/>
      <c r="H7" s="604"/>
      <c r="I7" s="604"/>
      <c r="J7" s="604"/>
      <c r="K7" s="604"/>
      <c r="L7" s="604"/>
      <c r="O7" s="524" t="s">
        <v>1098</v>
      </c>
    </row>
    <row r="8" spans="1:15" ht="11.45" customHeight="1">
      <c r="A8" s="598" t="s">
        <v>1099</v>
      </c>
      <c r="B8" s="598"/>
      <c r="C8" s="598"/>
      <c r="D8" s="598"/>
      <c r="E8" s="599" t="s">
        <v>1100</v>
      </c>
      <c r="F8" s="599"/>
      <c r="G8" s="599"/>
      <c r="H8" s="600" t="s">
        <v>1101</v>
      </c>
      <c r="I8" s="600"/>
      <c r="J8" s="600" t="s">
        <v>1101</v>
      </c>
      <c r="K8" s="600"/>
      <c r="L8" s="600"/>
      <c r="M8" s="600"/>
      <c r="N8" s="600"/>
      <c r="O8" s="600"/>
    </row>
    <row r="9" spans="1:15" ht="11.45" customHeight="1">
      <c r="A9" s="598"/>
      <c r="B9" s="598"/>
      <c r="C9" s="598"/>
      <c r="D9" s="598"/>
      <c r="E9" s="601" t="s">
        <v>1102</v>
      </c>
      <c r="F9" s="601"/>
      <c r="G9" s="601"/>
      <c r="H9" s="600"/>
      <c r="I9" s="600"/>
      <c r="J9" s="600"/>
      <c r="K9" s="600"/>
      <c r="L9" s="600"/>
      <c r="M9" s="600"/>
      <c r="N9" s="600"/>
      <c r="O9" s="600"/>
    </row>
    <row r="10" spans="1:15" ht="11.45" customHeight="1">
      <c r="A10" s="598"/>
      <c r="B10" s="598"/>
      <c r="C10" s="598"/>
      <c r="D10" s="598"/>
      <c r="E10" s="602" t="s">
        <v>1103</v>
      </c>
      <c r="F10" s="602"/>
      <c r="G10" s="602"/>
      <c r="H10" s="603" t="s">
        <v>715</v>
      </c>
      <c r="I10" s="603"/>
      <c r="J10" s="603"/>
      <c r="K10" s="603"/>
      <c r="L10" s="603"/>
      <c r="M10" s="603"/>
      <c r="N10" s="603"/>
      <c r="O10" s="603"/>
    </row>
    <row r="11" spans="1:15" ht="11.45" customHeight="1">
      <c r="A11" s="594" t="s">
        <v>1104</v>
      </c>
      <c r="B11" s="594"/>
      <c r="C11" s="594"/>
      <c r="D11" s="594"/>
      <c r="E11" s="595"/>
      <c r="F11" s="595"/>
      <c r="G11" s="595"/>
      <c r="H11" s="595"/>
      <c r="I11" s="595"/>
      <c r="J11" s="595"/>
      <c r="K11" s="595"/>
      <c r="L11" s="595"/>
      <c r="M11" s="595"/>
      <c r="N11" s="595"/>
      <c r="O11" s="595"/>
    </row>
    <row r="12" spans="1:15" ht="11.45" customHeight="1">
      <c r="A12" s="594" t="s">
        <v>1105</v>
      </c>
      <c r="B12" s="594"/>
      <c r="C12" s="594"/>
      <c r="D12" s="594"/>
      <c r="E12" s="595"/>
      <c r="F12" s="595"/>
      <c r="G12" s="595"/>
      <c r="H12" s="595"/>
      <c r="I12" s="595"/>
      <c r="J12" s="595"/>
      <c r="K12" s="595"/>
      <c r="L12" s="595"/>
      <c r="M12" s="595"/>
      <c r="N12" s="595"/>
      <c r="O12" s="595"/>
    </row>
    <row r="13" spans="1:15" ht="11.45" customHeight="1">
      <c r="A13" s="594" t="s">
        <v>1106</v>
      </c>
      <c r="B13" s="594"/>
      <c r="C13" s="594"/>
      <c r="D13" s="594"/>
      <c r="E13" s="595"/>
      <c r="F13" s="595"/>
      <c r="G13" s="595"/>
      <c r="H13" s="595"/>
      <c r="I13" s="595"/>
      <c r="J13" s="595"/>
      <c r="K13" s="595"/>
      <c r="L13" s="595"/>
      <c r="M13" s="595"/>
      <c r="N13" s="595"/>
      <c r="O13" s="595"/>
    </row>
    <row r="14" spans="1:15" ht="11.45" customHeight="1">
      <c r="A14" s="594" t="s">
        <v>1107</v>
      </c>
      <c r="B14" s="594"/>
      <c r="C14" s="594"/>
      <c r="D14" s="594"/>
      <c r="E14" s="595"/>
      <c r="F14" s="595"/>
      <c r="G14" s="595"/>
      <c r="H14" s="595"/>
      <c r="I14" s="595"/>
      <c r="J14" s="595"/>
      <c r="K14" s="595"/>
      <c r="L14" s="595"/>
      <c r="M14" s="595"/>
      <c r="N14" s="595"/>
      <c r="O14" s="595"/>
    </row>
    <row r="15" spans="1:15" ht="11.45" customHeight="1">
      <c r="A15" s="594" t="s">
        <v>1108</v>
      </c>
      <c r="B15" s="594"/>
      <c r="C15" s="594"/>
      <c r="D15" s="594"/>
      <c r="E15" s="595"/>
      <c r="F15" s="595"/>
      <c r="G15" s="595"/>
      <c r="H15" s="595"/>
      <c r="I15" s="595"/>
      <c r="J15" s="595"/>
      <c r="K15" s="595"/>
      <c r="L15" s="595"/>
      <c r="M15" s="595"/>
      <c r="N15" s="595"/>
      <c r="O15" s="595"/>
    </row>
    <row r="16" spans="1:15" ht="11.45" customHeight="1">
      <c r="A16" s="594" t="s">
        <v>1109</v>
      </c>
      <c r="B16" s="594"/>
      <c r="C16" s="594"/>
      <c r="D16" s="594"/>
      <c r="E16" s="595"/>
      <c r="F16" s="595"/>
      <c r="G16" s="595"/>
      <c r="H16" s="595"/>
      <c r="I16" s="595"/>
      <c r="J16" s="595"/>
      <c r="K16" s="595"/>
      <c r="L16" s="595"/>
      <c r="M16" s="595"/>
      <c r="N16" s="595"/>
      <c r="O16" s="595"/>
    </row>
    <row r="17" spans="1:15" ht="11.45" customHeight="1">
      <c r="A17" s="594" t="s">
        <v>674</v>
      </c>
      <c r="B17" s="594"/>
      <c r="C17" s="594"/>
      <c r="D17" s="594"/>
      <c r="E17" s="595"/>
      <c r="F17" s="595"/>
      <c r="G17" s="595"/>
      <c r="H17" s="595"/>
      <c r="I17" s="595"/>
      <c r="J17" s="595"/>
      <c r="K17" s="595"/>
      <c r="L17" s="595"/>
      <c r="M17" s="595"/>
      <c r="N17" s="595"/>
      <c r="O17" s="595"/>
    </row>
    <row r="18" spans="1:15" ht="11.45" customHeight="1">
      <c r="A18" s="594" t="s">
        <v>1110</v>
      </c>
      <c r="B18" s="594"/>
      <c r="C18" s="594"/>
      <c r="D18" s="594"/>
      <c r="E18" s="595"/>
      <c r="F18" s="595"/>
      <c r="G18" s="595"/>
      <c r="H18" s="595"/>
      <c r="I18" s="595"/>
      <c r="J18" s="595"/>
      <c r="K18" s="595"/>
      <c r="L18" s="595"/>
      <c r="M18" s="595"/>
      <c r="N18" s="595"/>
      <c r="O18" s="595"/>
    </row>
    <row r="19" spans="1:15" ht="11.45" customHeight="1">
      <c r="A19" s="594" t="s">
        <v>1111</v>
      </c>
      <c r="B19" s="594"/>
      <c r="C19" s="594"/>
      <c r="D19" s="594"/>
      <c r="E19" s="595"/>
      <c r="F19" s="595"/>
      <c r="G19" s="595"/>
      <c r="H19" s="595"/>
      <c r="I19" s="595"/>
      <c r="J19" s="595"/>
      <c r="K19" s="595"/>
      <c r="L19" s="595"/>
      <c r="M19" s="595"/>
      <c r="N19" s="595"/>
      <c r="O19" s="595"/>
    </row>
    <row r="20" spans="1:15" ht="11.45" customHeight="1">
      <c r="A20" s="594" t="s">
        <v>1112</v>
      </c>
      <c r="B20" s="594"/>
      <c r="C20" s="594"/>
      <c r="D20" s="594"/>
      <c r="E20" s="595"/>
      <c r="F20" s="595"/>
      <c r="G20" s="595"/>
      <c r="H20" s="595"/>
      <c r="I20" s="595"/>
      <c r="J20" s="595"/>
      <c r="K20" s="595"/>
      <c r="L20" s="595"/>
      <c r="M20" s="595"/>
      <c r="N20" s="595"/>
      <c r="O20" s="595"/>
    </row>
    <row r="21" spans="1:15" ht="11.45" customHeight="1">
      <c r="A21" s="596" t="s">
        <v>1113</v>
      </c>
      <c r="B21" s="596"/>
      <c r="C21" s="596"/>
      <c r="D21" s="596"/>
      <c r="E21" s="597"/>
      <c r="F21" s="597"/>
      <c r="G21" s="597"/>
      <c r="H21" s="597"/>
      <c r="I21" s="597"/>
      <c r="J21" s="597"/>
      <c r="K21" s="597"/>
      <c r="L21" s="597"/>
      <c r="M21" s="597"/>
      <c r="N21" s="597"/>
      <c r="O21" s="597"/>
    </row>
    <row r="22" spans="1:15">
      <c r="A22" s="525"/>
      <c r="O22" s="526"/>
    </row>
    <row r="23" spans="1:15" ht="11.45" customHeight="1">
      <c r="A23" s="598" t="s">
        <v>1114</v>
      </c>
      <c r="B23" s="598"/>
      <c r="C23" s="598"/>
      <c r="D23" s="598"/>
      <c r="E23" s="527" t="s">
        <v>1115</v>
      </c>
      <c r="F23" s="527" t="s">
        <v>1115</v>
      </c>
      <c r="G23" s="527"/>
      <c r="H23" s="527"/>
      <c r="I23" s="527"/>
      <c r="J23" s="527"/>
      <c r="K23" s="527"/>
      <c r="L23" s="527"/>
      <c r="M23" s="527"/>
      <c r="N23" s="527"/>
      <c r="O23" s="527"/>
    </row>
    <row r="24" spans="1:15" ht="11.45" customHeight="1">
      <c r="A24" s="598"/>
      <c r="B24" s="598"/>
      <c r="C24" s="598"/>
      <c r="D24" s="598"/>
      <c r="E24" s="601" t="s">
        <v>1116</v>
      </c>
      <c r="F24" s="601" t="s">
        <v>1117</v>
      </c>
      <c r="G24" s="601">
        <v>2023</v>
      </c>
      <c r="H24" s="601">
        <v>2024</v>
      </c>
      <c r="I24" s="601">
        <v>2025</v>
      </c>
      <c r="J24" s="528">
        <v>2026</v>
      </c>
      <c r="K24" s="528">
        <v>2027</v>
      </c>
      <c r="L24" s="528">
        <v>2028</v>
      </c>
      <c r="M24" s="528">
        <v>2029</v>
      </c>
      <c r="N24" s="528">
        <v>2030</v>
      </c>
      <c r="O24" s="528">
        <v>2031</v>
      </c>
    </row>
    <row r="25" spans="1:15" ht="11.45" customHeight="1">
      <c r="A25" s="598"/>
      <c r="B25" s="598"/>
      <c r="C25" s="598"/>
      <c r="D25" s="598"/>
      <c r="E25" s="529"/>
      <c r="F25" s="529">
        <v>2022</v>
      </c>
      <c r="G25" s="529"/>
      <c r="H25" s="529"/>
      <c r="I25" s="529"/>
      <c r="J25" s="529"/>
      <c r="K25" s="529"/>
      <c r="L25" s="529"/>
      <c r="M25" s="529"/>
      <c r="N25" s="529"/>
      <c r="O25" s="529"/>
    </row>
    <row r="26" spans="1:15" ht="11.45" customHeight="1">
      <c r="A26" s="591" t="s">
        <v>1118</v>
      </c>
      <c r="B26" s="591"/>
      <c r="C26" s="591"/>
      <c r="D26" s="591"/>
      <c r="E26" s="530">
        <v>0</v>
      </c>
      <c r="F26" s="530">
        <v>0</v>
      </c>
      <c r="G26" s="530">
        <v>0</v>
      </c>
      <c r="H26" s="530">
        <v>0</v>
      </c>
      <c r="I26" s="530">
        <v>0</v>
      </c>
      <c r="J26" s="530">
        <v>0</v>
      </c>
      <c r="K26" s="530">
        <v>0</v>
      </c>
      <c r="L26" s="530">
        <v>0</v>
      </c>
      <c r="M26" s="530">
        <v>0</v>
      </c>
      <c r="N26" s="530">
        <v>0</v>
      </c>
      <c r="O26" s="530">
        <v>0</v>
      </c>
    </row>
    <row r="27" spans="1:15" ht="11.45" customHeight="1">
      <c r="A27" s="591" t="s">
        <v>1119</v>
      </c>
      <c r="B27" s="591"/>
      <c r="C27" s="591"/>
      <c r="D27" s="591"/>
      <c r="E27" s="530">
        <v>0</v>
      </c>
      <c r="F27" s="530">
        <v>0</v>
      </c>
      <c r="G27" s="530">
        <v>0</v>
      </c>
      <c r="H27" s="530">
        <v>0</v>
      </c>
      <c r="I27" s="530">
        <v>0</v>
      </c>
      <c r="J27" s="530">
        <v>0</v>
      </c>
      <c r="K27" s="530">
        <v>0</v>
      </c>
      <c r="L27" s="530">
        <v>0</v>
      </c>
      <c r="M27" s="530">
        <v>0</v>
      </c>
      <c r="N27" s="530">
        <v>0</v>
      </c>
      <c r="O27" s="530">
        <v>0</v>
      </c>
    </row>
    <row r="28" spans="1:15" ht="11.45" customHeight="1">
      <c r="A28" s="591" t="s">
        <v>1120</v>
      </c>
      <c r="B28" s="591"/>
      <c r="C28" s="591"/>
      <c r="D28" s="591"/>
      <c r="E28" s="531"/>
      <c r="F28" s="531"/>
      <c r="G28" s="531"/>
      <c r="H28" s="531"/>
      <c r="I28" s="531"/>
      <c r="J28" s="531"/>
      <c r="K28" s="531"/>
      <c r="L28" s="531"/>
      <c r="M28" s="531"/>
      <c r="N28" s="531"/>
      <c r="O28" s="531"/>
    </row>
    <row r="29" spans="1:15" ht="11.45" customHeight="1">
      <c r="A29" s="591" t="s">
        <v>1121</v>
      </c>
      <c r="B29" s="591"/>
      <c r="C29" s="591"/>
      <c r="D29" s="591"/>
      <c r="E29" s="531"/>
      <c r="F29" s="531"/>
      <c r="G29" s="531"/>
      <c r="H29" s="531"/>
      <c r="I29" s="531"/>
      <c r="J29" s="531"/>
      <c r="K29" s="531"/>
      <c r="L29" s="531"/>
      <c r="M29" s="531"/>
      <c r="N29" s="531"/>
      <c r="O29" s="531"/>
    </row>
    <row r="30" spans="1:15" ht="11.45" customHeight="1">
      <c r="A30" s="591" t="s">
        <v>1122</v>
      </c>
      <c r="B30" s="591"/>
      <c r="C30" s="591"/>
      <c r="D30" s="591"/>
      <c r="E30" s="531"/>
      <c r="F30" s="531"/>
      <c r="G30" s="531"/>
      <c r="H30" s="531"/>
      <c r="I30" s="531"/>
      <c r="J30" s="531"/>
      <c r="K30" s="531"/>
      <c r="L30" s="531"/>
      <c r="M30" s="531"/>
      <c r="N30" s="531"/>
      <c r="O30" s="531"/>
    </row>
    <row r="31" spans="1:15" ht="11.45" customHeight="1">
      <c r="A31" s="592" t="s">
        <v>1123</v>
      </c>
      <c r="B31" s="592"/>
      <c r="C31" s="592"/>
      <c r="D31" s="592"/>
      <c r="E31" s="532"/>
      <c r="F31" s="532"/>
      <c r="G31" s="532"/>
      <c r="H31" s="532"/>
      <c r="I31" s="532"/>
      <c r="J31" s="532"/>
      <c r="K31" s="532"/>
      <c r="L31" s="532"/>
      <c r="M31" s="532"/>
      <c r="N31" s="532"/>
      <c r="O31" s="532"/>
    </row>
    <row r="32" spans="1:15" ht="11.45" customHeight="1">
      <c r="A32" s="590" t="s">
        <v>1124</v>
      </c>
      <c r="B32" s="590"/>
      <c r="C32" s="590"/>
      <c r="D32" s="590"/>
      <c r="E32" s="533">
        <v>0</v>
      </c>
      <c r="F32" s="533">
        <v>0</v>
      </c>
      <c r="G32" s="533">
        <v>0</v>
      </c>
      <c r="H32" s="533">
        <v>0</v>
      </c>
      <c r="I32" s="533">
        <v>0</v>
      </c>
      <c r="J32" s="533">
        <v>0</v>
      </c>
      <c r="K32" s="533">
        <v>0</v>
      </c>
      <c r="L32" s="533">
        <v>0</v>
      </c>
      <c r="M32" s="533">
        <v>0</v>
      </c>
      <c r="N32" s="533">
        <v>0</v>
      </c>
      <c r="O32" s="533">
        <v>0</v>
      </c>
    </row>
    <row r="33" spans="1:15" ht="11.45" customHeight="1">
      <c r="A33" s="593" t="s">
        <v>1125</v>
      </c>
      <c r="B33" s="593"/>
      <c r="C33" s="593"/>
      <c r="D33" s="593"/>
      <c r="E33" s="534">
        <v>0</v>
      </c>
      <c r="F33" s="534">
        <v>0</v>
      </c>
      <c r="G33" s="534">
        <v>0</v>
      </c>
      <c r="H33" s="534">
        <v>0</v>
      </c>
      <c r="I33" s="534">
        <v>0</v>
      </c>
      <c r="J33" s="534">
        <v>0</v>
      </c>
      <c r="K33" s="534">
        <v>0</v>
      </c>
      <c r="L33" s="534">
        <v>0</v>
      </c>
      <c r="M33" s="534">
        <v>0</v>
      </c>
      <c r="N33" s="534">
        <v>0</v>
      </c>
      <c r="O33" s="534">
        <v>0</v>
      </c>
    </row>
    <row r="34" spans="1:15" ht="11.45" customHeight="1">
      <c r="A34" s="590" t="s">
        <v>1126</v>
      </c>
      <c r="B34" s="590"/>
      <c r="C34" s="590"/>
      <c r="D34" s="590"/>
      <c r="E34" s="535"/>
      <c r="F34" s="535"/>
      <c r="G34" s="535"/>
      <c r="H34" s="535"/>
      <c r="I34" s="535"/>
      <c r="J34" s="535"/>
      <c r="K34" s="535"/>
      <c r="L34" s="535"/>
      <c r="M34" s="535"/>
      <c r="N34" s="535"/>
      <c r="O34" s="535"/>
    </row>
    <row r="35" spans="1:15" ht="11.45" customHeight="1">
      <c r="A35" s="590" t="s">
        <v>1127</v>
      </c>
      <c r="B35" s="590"/>
      <c r="C35" s="590"/>
      <c r="D35" s="590"/>
      <c r="E35" s="536"/>
      <c r="F35" s="536"/>
      <c r="G35" s="536"/>
      <c r="H35" s="536"/>
      <c r="I35" s="536"/>
      <c r="J35" s="536"/>
      <c r="K35" s="536"/>
      <c r="L35" s="536"/>
      <c r="M35" s="536"/>
      <c r="N35" s="536"/>
      <c r="O35" s="536"/>
    </row>
    <row r="38" spans="1:15">
      <c r="A38" t="s">
        <v>955</v>
      </c>
    </row>
    <row r="39" spans="1:15">
      <c r="A39" t="s">
        <v>956</v>
      </c>
    </row>
    <row r="40" spans="1:15">
      <c r="A40" t="s">
        <v>957</v>
      </c>
    </row>
    <row r="41" spans="1:15">
      <c r="A41" t="s">
        <v>958</v>
      </c>
    </row>
  </sheetData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2:H79"/>
  <sheetViews>
    <sheetView workbookViewId="0"/>
  </sheetViews>
  <sheetFormatPr defaultColWidth="11.5703125" defaultRowHeight="15"/>
  <cols>
    <col min="1" max="3" width="1.7109375" customWidth="1"/>
    <col min="4" max="4" width="39.7109375" customWidth="1"/>
    <col min="5" max="7" width="14.28515625" customWidth="1"/>
  </cols>
  <sheetData>
    <row r="2" spans="1:8">
      <c r="A2" s="574" t="s">
        <v>1069</v>
      </c>
      <c r="B2" s="574"/>
      <c r="C2" s="574"/>
      <c r="D2" s="574"/>
      <c r="E2" s="574"/>
      <c r="F2" s="574"/>
      <c r="G2" s="574"/>
    </row>
    <row r="3" spans="1:8">
      <c r="A3" s="574" t="s">
        <v>752</v>
      </c>
      <c r="B3" s="574"/>
      <c r="C3" s="574"/>
      <c r="D3" s="574"/>
      <c r="E3" s="574"/>
      <c r="F3" s="574"/>
      <c r="G3" s="574"/>
    </row>
    <row r="4" spans="1:8">
      <c r="A4" s="575" t="s">
        <v>1128</v>
      </c>
      <c r="B4" s="575"/>
      <c r="C4" s="575"/>
      <c r="D4" s="575"/>
      <c r="E4" s="575"/>
      <c r="F4" s="575"/>
      <c r="G4" s="575"/>
    </row>
    <row r="5" spans="1:8">
      <c r="A5" s="574" t="s">
        <v>753</v>
      </c>
      <c r="B5" s="574"/>
      <c r="C5" s="574"/>
      <c r="D5" s="574"/>
      <c r="E5" s="574"/>
      <c r="F5" s="574"/>
      <c r="G5" s="574"/>
    </row>
    <row r="6" spans="1:8">
      <c r="A6" s="574" t="s">
        <v>1211</v>
      </c>
      <c r="B6" s="574"/>
      <c r="C6" s="574"/>
      <c r="D6" s="574"/>
      <c r="E6" s="574"/>
      <c r="F6" s="574"/>
      <c r="G6" s="574"/>
    </row>
    <row r="8" spans="1:8">
      <c r="A8" s="584" t="s">
        <v>1129</v>
      </c>
      <c r="B8" s="584"/>
      <c r="C8" s="584"/>
      <c r="D8" s="584"/>
      <c r="G8" s="508"/>
      <c r="H8" t="s">
        <v>754</v>
      </c>
    </row>
    <row r="10" spans="1:8">
      <c r="A10" s="613" t="s">
        <v>755</v>
      </c>
      <c r="B10" s="613"/>
      <c r="C10" s="613"/>
      <c r="D10" s="613"/>
      <c r="E10" s="537" t="s">
        <v>1130</v>
      </c>
      <c r="F10" s="607" t="s">
        <v>1131</v>
      </c>
      <c r="G10" s="607"/>
    </row>
    <row r="11" spans="1:8">
      <c r="A11" s="613"/>
      <c r="B11" s="613"/>
      <c r="C11" s="613"/>
      <c r="D11" s="613"/>
      <c r="E11" s="538" t="s">
        <v>1115</v>
      </c>
      <c r="F11" s="538" t="s">
        <v>1132</v>
      </c>
      <c r="G11" s="539" t="s">
        <v>1133</v>
      </c>
      <c r="H11" t="s">
        <v>1212</v>
      </c>
    </row>
    <row r="12" spans="1:8">
      <c r="A12" s="613"/>
      <c r="B12" s="613"/>
      <c r="C12" s="613"/>
      <c r="D12" s="613"/>
      <c r="E12" s="540" t="s">
        <v>1116</v>
      </c>
      <c r="F12" s="540" t="s">
        <v>1213</v>
      </c>
      <c r="G12" s="541" t="s">
        <v>1213</v>
      </c>
      <c r="H12" t="s">
        <v>1213</v>
      </c>
    </row>
    <row r="13" spans="1:8">
      <c r="A13" s="608" t="s">
        <v>1134</v>
      </c>
      <c r="B13" s="608"/>
      <c r="C13" s="608"/>
      <c r="D13" s="608"/>
      <c r="E13" s="542">
        <v>938163.67</v>
      </c>
      <c r="F13" s="542">
        <v>1133247.92</v>
      </c>
      <c r="G13" s="543">
        <v>803869.25</v>
      </c>
      <c r="H13" s="558">
        <v>0</v>
      </c>
    </row>
    <row r="14" spans="1:8">
      <c r="B14" s="608" t="s">
        <v>1135</v>
      </c>
      <c r="C14" s="608"/>
      <c r="D14" s="608"/>
      <c r="E14" s="542">
        <v>0</v>
      </c>
      <c r="F14" s="542">
        <v>0</v>
      </c>
      <c r="G14" s="543">
        <v>0</v>
      </c>
      <c r="H14" s="558">
        <v>0</v>
      </c>
    </row>
    <row r="15" spans="1:8">
      <c r="B15" s="608" t="s">
        <v>1136</v>
      </c>
      <c r="C15" s="608"/>
      <c r="D15" s="608"/>
      <c r="E15" s="542">
        <v>936147</v>
      </c>
      <c r="F15" s="542">
        <v>1131231.25</v>
      </c>
      <c r="G15" s="543">
        <v>801852.58</v>
      </c>
      <c r="H15" s="558">
        <v>0</v>
      </c>
    </row>
    <row r="16" spans="1:8">
      <c r="C16" s="608" t="s">
        <v>1137</v>
      </c>
      <c r="D16" s="608"/>
      <c r="E16" s="542">
        <v>0</v>
      </c>
      <c r="F16" s="542">
        <v>0</v>
      </c>
      <c r="G16" s="543">
        <v>0</v>
      </c>
      <c r="H16" s="558">
        <v>0</v>
      </c>
    </row>
    <row r="17" spans="1:8">
      <c r="D17" s="544" t="s">
        <v>1138</v>
      </c>
      <c r="E17" s="542">
        <v>0</v>
      </c>
      <c r="F17" s="542">
        <v>0</v>
      </c>
      <c r="G17" s="543">
        <v>0</v>
      </c>
      <c r="H17" s="558">
        <v>0</v>
      </c>
    </row>
    <row r="18" spans="1:8">
      <c r="D18" s="544" t="s">
        <v>1139</v>
      </c>
      <c r="E18" s="542">
        <v>0</v>
      </c>
      <c r="F18" s="542">
        <v>0</v>
      </c>
      <c r="G18" s="543">
        <v>0</v>
      </c>
      <c r="H18" s="558">
        <v>0</v>
      </c>
    </row>
    <row r="19" spans="1:8">
      <c r="C19" s="608" t="s">
        <v>1140</v>
      </c>
      <c r="D19" s="608"/>
      <c r="E19" s="542">
        <v>0</v>
      </c>
      <c r="F19" s="542">
        <v>0</v>
      </c>
      <c r="G19" s="543">
        <v>0</v>
      </c>
      <c r="H19" s="558">
        <v>0</v>
      </c>
    </row>
    <row r="20" spans="1:8">
      <c r="C20" s="608" t="s">
        <v>1141</v>
      </c>
      <c r="D20" s="608"/>
      <c r="E20" s="542">
        <v>32070.25</v>
      </c>
      <c r="F20" s="542">
        <v>7311.6</v>
      </c>
      <c r="G20" s="543">
        <v>7311.6</v>
      </c>
      <c r="H20" s="558">
        <v>0</v>
      </c>
    </row>
    <row r="21" spans="1:8">
      <c r="D21" s="544" t="s">
        <v>1138</v>
      </c>
      <c r="E21" s="542">
        <v>32070.25</v>
      </c>
      <c r="F21" s="542">
        <v>7311.6</v>
      </c>
      <c r="G21" s="543">
        <v>7311.6</v>
      </c>
      <c r="H21" s="558">
        <v>0</v>
      </c>
    </row>
    <row r="22" spans="1:8">
      <c r="D22" s="544" t="s">
        <v>1139</v>
      </c>
      <c r="E22" s="542">
        <v>0</v>
      </c>
      <c r="F22" s="542">
        <v>0</v>
      </c>
      <c r="G22" s="543">
        <v>0</v>
      </c>
      <c r="H22" s="558">
        <v>0</v>
      </c>
    </row>
    <row r="23" spans="1:8">
      <c r="C23" s="608" t="s">
        <v>1142</v>
      </c>
      <c r="D23" s="608"/>
      <c r="E23" s="542">
        <v>634077.25</v>
      </c>
      <c r="F23" s="542">
        <v>975714.23</v>
      </c>
      <c r="G23" s="543">
        <v>766335.6</v>
      </c>
      <c r="H23" s="558">
        <v>0</v>
      </c>
    </row>
    <row r="24" spans="1:8">
      <c r="D24" s="544" t="s">
        <v>1143</v>
      </c>
      <c r="E24" s="542">
        <v>0</v>
      </c>
      <c r="F24" s="542">
        <v>0</v>
      </c>
      <c r="G24" s="543">
        <v>0</v>
      </c>
      <c r="H24" s="558">
        <v>0</v>
      </c>
    </row>
    <row r="25" spans="1:8">
      <c r="D25" s="544" t="s">
        <v>1144</v>
      </c>
      <c r="E25" s="542">
        <v>300772.06</v>
      </c>
      <c r="F25" s="542">
        <v>642409.04</v>
      </c>
      <c r="G25" s="543">
        <v>433030.41</v>
      </c>
      <c r="H25" s="558">
        <v>0</v>
      </c>
    </row>
    <row r="26" spans="1:8">
      <c r="D26" s="544" t="s">
        <v>1145</v>
      </c>
      <c r="E26" s="542">
        <v>0</v>
      </c>
      <c r="F26" s="542">
        <v>0</v>
      </c>
      <c r="G26" s="543">
        <v>0</v>
      </c>
      <c r="H26" s="558">
        <v>0</v>
      </c>
    </row>
    <row r="27" spans="1:8">
      <c r="D27" s="544" t="s">
        <v>1146</v>
      </c>
      <c r="E27" s="542">
        <v>0</v>
      </c>
      <c r="F27" s="542">
        <v>0</v>
      </c>
      <c r="G27" s="543">
        <v>0</v>
      </c>
      <c r="H27" s="558">
        <v>0</v>
      </c>
    </row>
    <row r="28" spans="1:8">
      <c r="D28" s="544" t="s">
        <v>1147</v>
      </c>
      <c r="E28" s="542">
        <v>333305.19</v>
      </c>
      <c r="F28" s="542">
        <v>333305.19</v>
      </c>
      <c r="G28" s="543">
        <v>333305.19</v>
      </c>
      <c r="H28" s="558">
        <v>0</v>
      </c>
    </row>
    <row r="29" spans="1:8">
      <c r="C29" s="608" t="s">
        <v>1148</v>
      </c>
      <c r="D29" s="608"/>
      <c r="E29" s="542">
        <v>269999.5</v>
      </c>
      <c r="F29" s="542">
        <v>148205.42000000001</v>
      </c>
      <c r="G29" s="543">
        <v>28205.38</v>
      </c>
      <c r="H29" s="558">
        <v>0</v>
      </c>
    </row>
    <row r="30" spans="1:8">
      <c r="B30" s="608" t="s">
        <v>1149</v>
      </c>
      <c r="C30" s="608"/>
      <c r="D30" s="608"/>
      <c r="E30" s="542">
        <v>2016.67</v>
      </c>
      <c r="F30" s="542">
        <v>2016.67</v>
      </c>
      <c r="G30" s="543">
        <v>2016.67</v>
      </c>
      <c r="H30" s="558">
        <v>0</v>
      </c>
    </row>
    <row r="31" spans="1:8">
      <c r="B31" s="608" t="s">
        <v>1150</v>
      </c>
      <c r="C31" s="608"/>
      <c r="D31" s="608"/>
      <c r="E31" s="542">
        <v>0</v>
      </c>
      <c r="F31" s="542">
        <v>0</v>
      </c>
      <c r="G31" s="543">
        <v>0</v>
      </c>
      <c r="H31" s="558">
        <v>0</v>
      </c>
    </row>
    <row r="32" spans="1:8">
      <c r="A32" s="608" t="s">
        <v>1151</v>
      </c>
      <c r="B32" s="608"/>
      <c r="C32" s="608"/>
      <c r="D32" s="608"/>
      <c r="E32" s="542">
        <v>14415069.220000001</v>
      </c>
      <c r="F32" s="542">
        <v>21118618.640000001</v>
      </c>
      <c r="G32" s="543">
        <v>18196605.719999999</v>
      </c>
      <c r="H32" s="558">
        <v>0</v>
      </c>
    </row>
    <row r="33" spans="1:8">
      <c r="B33" s="608" t="s">
        <v>1152</v>
      </c>
      <c r="C33" s="608"/>
      <c r="D33" s="608"/>
      <c r="E33" s="542">
        <v>13782614.6</v>
      </c>
      <c r="F33" s="542">
        <v>20474563.23</v>
      </c>
      <c r="G33" s="543">
        <v>17578120.600000001</v>
      </c>
      <c r="H33" s="558">
        <v>0</v>
      </c>
    </row>
    <row r="34" spans="1:8">
      <c r="C34" s="608" t="s">
        <v>1016</v>
      </c>
      <c r="D34" s="608"/>
      <c r="E34" s="542">
        <v>20648054.219999999</v>
      </c>
      <c r="F34" s="542">
        <v>23546471.280000001</v>
      </c>
      <c r="G34" s="543">
        <v>20428150.699999999</v>
      </c>
      <c r="H34" s="558">
        <v>0</v>
      </c>
    </row>
    <row r="35" spans="1:8">
      <c r="C35" s="608" t="s">
        <v>1153</v>
      </c>
      <c r="D35" s="608"/>
      <c r="E35" s="542">
        <v>5645028.3300000001</v>
      </c>
      <c r="F35" s="542">
        <v>2030935.46</v>
      </c>
      <c r="G35" s="543">
        <v>1801765.44</v>
      </c>
      <c r="H35" s="558">
        <v>0</v>
      </c>
    </row>
    <row r="36" spans="1:8">
      <c r="C36" s="608" t="s">
        <v>1019</v>
      </c>
      <c r="D36" s="608"/>
      <c r="E36" s="542">
        <v>1220411.29</v>
      </c>
      <c r="F36" s="542">
        <v>1040972.59</v>
      </c>
      <c r="G36" s="543">
        <v>1048264.66</v>
      </c>
      <c r="H36" s="558">
        <v>0</v>
      </c>
    </row>
    <row r="37" spans="1:8">
      <c r="B37" s="608" t="s">
        <v>1021</v>
      </c>
      <c r="C37" s="608"/>
      <c r="D37" s="608"/>
      <c r="E37" s="542">
        <v>632454.62</v>
      </c>
      <c r="F37" s="542">
        <v>644055.41</v>
      </c>
      <c r="G37" s="543">
        <v>618485.12</v>
      </c>
      <c r="H37" s="558">
        <v>0</v>
      </c>
    </row>
    <row r="38" spans="1:8">
      <c r="A38" s="610" t="s">
        <v>1154</v>
      </c>
      <c r="B38" s="610"/>
      <c r="C38" s="610"/>
      <c r="D38" s="610"/>
      <c r="E38" s="545" t="s">
        <v>1155</v>
      </c>
      <c r="F38" s="545" t="s">
        <v>756</v>
      </c>
      <c r="G38" s="546" t="s">
        <v>1194</v>
      </c>
      <c r="H38" s="558">
        <v>0</v>
      </c>
    </row>
    <row r="39" spans="1:8">
      <c r="A39" s="610" t="s">
        <v>1214</v>
      </c>
      <c r="B39" s="610"/>
      <c r="C39" s="610"/>
      <c r="D39" s="610"/>
      <c r="E39" s="547">
        <v>119752398.65000001</v>
      </c>
      <c r="F39" s="547">
        <v>125902225.13</v>
      </c>
      <c r="G39" s="546">
        <v>131120939.64</v>
      </c>
      <c r="H39" s="558">
        <v>0</v>
      </c>
    </row>
    <row r="40" spans="1:8" ht="15" customHeight="1">
      <c r="A40" s="3" t="s">
        <v>1216</v>
      </c>
      <c r="B40" s="611"/>
      <c r="C40" s="611"/>
      <c r="D40" s="611"/>
      <c r="E40" s="548">
        <v>100000</v>
      </c>
      <c r="F40" s="548">
        <v>100000</v>
      </c>
      <c r="G40" s="549">
        <v>350000</v>
      </c>
      <c r="H40" s="558">
        <v>0</v>
      </c>
    </row>
    <row r="41" spans="1:8" ht="15" customHeight="1">
      <c r="A41" s="3" t="s">
        <v>1217</v>
      </c>
      <c r="B41" s="611"/>
      <c r="C41" s="611"/>
      <c r="D41" s="611"/>
      <c r="E41" s="548">
        <v>119652398.65000001</v>
      </c>
      <c r="F41" s="548">
        <v>125802225.13</v>
      </c>
      <c r="G41" s="549">
        <v>130770939.64</v>
      </c>
      <c r="H41" s="558">
        <v>0</v>
      </c>
    </row>
    <row r="42" spans="1:8" ht="15" customHeight="1">
      <c r="A42" s="1" t="s">
        <v>1156</v>
      </c>
      <c r="B42" s="611"/>
      <c r="C42" s="611"/>
      <c r="D42" s="611"/>
      <c r="E42" s="548">
        <v>0.78</v>
      </c>
      <c r="F42" s="548">
        <v>0.9</v>
      </c>
      <c r="G42" s="549">
        <v>0.61</v>
      </c>
      <c r="H42" s="558">
        <v>0</v>
      </c>
    </row>
    <row r="43" spans="1:8">
      <c r="A43" s="610" t="s">
        <v>1157</v>
      </c>
      <c r="B43" s="610"/>
      <c r="C43" s="610"/>
      <c r="D43" s="610"/>
      <c r="E43" s="545" t="s">
        <v>1158</v>
      </c>
      <c r="F43" s="545" t="s">
        <v>757</v>
      </c>
      <c r="G43" s="546" t="s">
        <v>1195</v>
      </c>
      <c r="H43" s="558">
        <v>0</v>
      </c>
    </row>
    <row r="44" spans="1:8" ht="15" customHeight="1">
      <c r="A44" t="s">
        <v>1159</v>
      </c>
      <c r="B44" s="651"/>
      <c r="C44" s="651"/>
      <c r="D44" s="652"/>
      <c r="E44" s="548">
        <v>0</v>
      </c>
      <c r="F44" s="548">
        <v>0</v>
      </c>
      <c r="G44" s="549">
        <v>0</v>
      </c>
      <c r="H44" s="558">
        <v>0</v>
      </c>
    </row>
    <row r="45" spans="1:8">
      <c r="A45" s="612" t="s">
        <v>1160</v>
      </c>
      <c r="B45" s="612"/>
      <c r="C45" s="612"/>
      <c r="D45" s="612"/>
      <c r="E45" s="550">
        <v>0</v>
      </c>
      <c r="F45" s="550">
        <v>0</v>
      </c>
      <c r="G45" s="551">
        <v>0</v>
      </c>
      <c r="H45" s="558">
        <v>0</v>
      </c>
    </row>
    <row r="46" spans="1:8">
      <c r="A46" s="552" t="s">
        <v>867</v>
      </c>
      <c r="B46" s="553"/>
      <c r="C46" s="553"/>
      <c r="D46" s="553"/>
      <c r="E46" s="553"/>
      <c r="F46" s="553"/>
      <c r="G46" s="553"/>
    </row>
    <row r="47" spans="1:8">
      <c r="A47" s="876" t="s">
        <v>1161</v>
      </c>
      <c r="B47" s="876"/>
      <c r="C47" s="876"/>
      <c r="D47" s="877"/>
      <c r="E47" s="537" t="s">
        <v>1130</v>
      </c>
      <c r="F47" s="607" t="s">
        <v>1131</v>
      </c>
      <c r="G47" s="607"/>
    </row>
    <row r="48" spans="1:8">
      <c r="A48" s="613"/>
      <c r="B48" s="613"/>
      <c r="C48" s="613"/>
      <c r="D48" s="613"/>
      <c r="E48" s="538" t="s">
        <v>1115</v>
      </c>
      <c r="F48" s="538" t="s">
        <v>1132</v>
      </c>
      <c r="G48" s="539" t="s">
        <v>1133</v>
      </c>
      <c r="H48" t="s">
        <v>1212</v>
      </c>
    </row>
    <row r="49" spans="1:8">
      <c r="A49" s="613"/>
      <c r="B49" s="613"/>
      <c r="C49" s="613"/>
      <c r="D49" s="613"/>
      <c r="E49" s="540" t="s">
        <v>1116</v>
      </c>
      <c r="F49" s="540" t="s">
        <v>1213</v>
      </c>
      <c r="G49" s="541" t="s">
        <v>1213</v>
      </c>
      <c r="H49" t="s">
        <v>1213</v>
      </c>
    </row>
    <row r="50" spans="1:8">
      <c r="A50" s="608" t="s">
        <v>1162</v>
      </c>
      <c r="B50" s="608"/>
      <c r="C50" s="608"/>
      <c r="D50" s="608"/>
      <c r="E50" s="542">
        <v>0</v>
      </c>
      <c r="F50" s="542">
        <v>0</v>
      </c>
      <c r="G50" s="543">
        <v>0</v>
      </c>
      <c r="H50" s="558">
        <v>0</v>
      </c>
    </row>
    <row r="51" spans="1:8">
      <c r="A51" s="608" t="s">
        <v>1163</v>
      </c>
      <c r="B51" s="608"/>
      <c r="C51" s="608"/>
      <c r="D51" s="608"/>
      <c r="E51" s="542">
        <v>191855.5</v>
      </c>
      <c r="F51" s="542">
        <v>890725.17</v>
      </c>
      <c r="G51" s="543">
        <v>694027.71</v>
      </c>
      <c r="H51" s="558">
        <v>0</v>
      </c>
    </row>
    <row r="52" spans="1:8">
      <c r="A52" s="608" t="s">
        <v>1164</v>
      </c>
      <c r="B52" s="608"/>
      <c r="C52" s="608"/>
      <c r="D52" s="608"/>
      <c r="E52" s="542">
        <v>146560621.28</v>
      </c>
      <c r="F52" s="542">
        <v>203332561.78999999</v>
      </c>
      <c r="G52" s="543">
        <v>203332561.78999999</v>
      </c>
      <c r="H52" s="558">
        <v>0</v>
      </c>
    </row>
    <row r="53" spans="1:8">
      <c r="A53" s="608" t="s">
        <v>1165</v>
      </c>
      <c r="B53" s="608"/>
      <c r="C53" s="608"/>
      <c r="D53" s="608"/>
      <c r="E53" s="542">
        <v>3014612.74</v>
      </c>
      <c r="F53" s="542">
        <v>2425644.9300000002</v>
      </c>
      <c r="G53" s="543">
        <v>2062734.15</v>
      </c>
      <c r="H53" s="558">
        <v>0</v>
      </c>
    </row>
    <row r="54" spans="1:8">
      <c r="A54" s="608" t="s">
        <v>1166</v>
      </c>
      <c r="B54" s="608"/>
      <c r="C54" s="608"/>
      <c r="D54" s="608"/>
      <c r="E54" s="542">
        <v>0</v>
      </c>
      <c r="F54" s="542">
        <v>0</v>
      </c>
      <c r="G54" s="543">
        <v>0</v>
      </c>
      <c r="H54" s="558">
        <v>0</v>
      </c>
    </row>
    <row r="55" spans="1:8">
      <c r="A55" s="608" t="s">
        <v>1167</v>
      </c>
      <c r="B55" s="608"/>
      <c r="C55" s="608"/>
      <c r="D55" s="608"/>
      <c r="E55" s="542">
        <v>0</v>
      </c>
      <c r="F55" s="542">
        <v>0</v>
      </c>
      <c r="G55" s="543">
        <v>0</v>
      </c>
      <c r="H55" s="558">
        <v>0</v>
      </c>
    </row>
    <row r="56" spans="1:8">
      <c r="A56" s="609" t="s">
        <v>1168</v>
      </c>
      <c r="B56" s="609"/>
      <c r="C56" s="609"/>
      <c r="D56" s="609"/>
      <c r="E56" s="554">
        <v>0</v>
      </c>
      <c r="F56" s="554">
        <v>0</v>
      </c>
      <c r="G56" s="555">
        <v>0</v>
      </c>
      <c r="H56" s="558">
        <v>0</v>
      </c>
    </row>
    <row r="57" spans="1:8">
      <c r="A57" s="584" t="s">
        <v>1169</v>
      </c>
      <c r="B57" s="584"/>
      <c r="C57" s="584"/>
      <c r="D57" s="584"/>
      <c r="E57" s="584"/>
      <c r="F57" s="584"/>
      <c r="G57" s="584"/>
    </row>
    <row r="58" spans="1:8">
      <c r="A58" s="584" t="s">
        <v>1170</v>
      </c>
      <c r="B58" s="584"/>
      <c r="C58" s="584"/>
      <c r="D58" s="584"/>
      <c r="E58" s="584"/>
      <c r="F58" s="584"/>
      <c r="G58" s="584"/>
    </row>
    <row r="59" spans="1:8">
      <c r="A59" s="584" t="s">
        <v>1171</v>
      </c>
      <c r="B59" s="584"/>
      <c r="C59" s="584"/>
      <c r="D59" s="584"/>
      <c r="E59" s="584"/>
      <c r="F59" s="584"/>
      <c r="G59" s="584"/>
    </row>
    <row r="60" spans="1:8">
      <c r="A60" s="584" t="s">
        <v>1172</v>
      </c>
      <c r="B60" s="584"/>
      <c r="C60" s="584"/>
      <c r="D60" s="584"/>
      <c r="E60" s="584"/>
      <c r="F60" s="584"/>
      <c r="G60" s="584"/>
    </row>
    <row r="61" spans="1:8">
      <c r="A61" s="584" t="s">
        <v>1173</v>
      </c>
      <c r="B61" s="584"/>
      <c r="C61" s="584"/>
      <c r="D61" s="584"/>
      <c r="E61" s="584"/>
      <c r="F61" s="584"/>
      <c r="G61" s="584"/>
    </row>
    <row r="62" spans="1:8">
      <c r="A62" s="584" t="s">
        <v>1174</v>
      </c>
      <c r="B62" s="584"/>
      <c r="C62" s="584"/>
      <c r="D62" s="584"/>
      <c r="E62" s="584"/>
      <c r="F62" s="584"/>
      <c r="G62" s="584"/>
    </row>
    <row r="69" spans="1:8" ht="11.45" customHeight="1">
      <c r="A69" s="875" t="s">
        <v>1175</v>
      </c>
      <c r="B69" s="875"/>
      <c r="C69" s="875"/>
      <c r="D69" s="875"/>
      <c r="E69" s="875"/>
      <c r="F69" s="875"/>
      <c r="G69" s="875"/>
      <c r="H69" s="570"/>
    </row>
    <row r="70" spans="1:8" ht="11.45" customHeight="1">
      <c r="A70" s="875" t="s">
        <v>1176</v>
      </c>
      <c r="B70" s="875"/>
      <c r="C70" s="875"/>
      <c r="D70" s="875"/>
      <c r="E70" s="875"/>
      <c r="F70" s="875"/>
      <c r="G70" s="875"/>
      <c r="H70" s="570"/>
    </row>
    <row r="71" spans="1:8" ht="11.45" customHeight="1">
      <c r="A71" s="570" t="s">
        <v>1177</v>
      </c>
      <c r="B71" s="570"/>
      <c r="C71" s="570"/>
      <c r="D71" s="570"/>
      <c r="E71" s="570"/>
      <c r="F71" s="570"/>
      <c r="G71" s="570"/>
      <c r="H71" s="570"/>
    </row>
    <row r="72" spans="1:8" ht="11.45" customHeight="1">
      <c r="A72" s="570" t="s">
        <v>1178</v>
      </c>
      <c r="B72" s="570"/>
      <c r="C72" s="570"/>
      <c r="D72" s="570"/>
      <c r="E72" s="570"/>
      <c r="F72" s="570"/>
      <c r="G72" s="570"/>
      <c r="H72" s="570"/>
    </row>
    <row r="73" spans="1:8" ht="11.45" customHeight="1">
      <c r="A73" s="570" t="s">
        <v>1179</v>
      </c>
      <c r="B73" s="570"/>
      <c r="C73" s="570"/>
      <c r="D73" s="570"/>
      <c r="E73" s="570"/>
      <c r="F73" s="570"/>
      <c r="G73" s="570"/>
      <c r="H73" s="570"/>
    </row>
    <row r="74" spans="1:8" ht="11.45" customHeight="1">
      <c r="A74" s="570" t="s">
        <v>1179</v>
      </c>
      <c r="B74" s="570"/>
      <c r="C74" s="570"/>
      <c r="D74" s="570"/>
      <c r="E74" s="570"/>
      <c r="F74" s="570"/>
      <c r="G74" s="570"/>
      <c r="H74" s="570"/>
    </row>
    <row r="75" spans="1:8" ht="11.45" customHeight="1">
      <c r="A75" s="570" t="s">
        <v>1179</v>
      </c>
      <c r="B75" s="570"/>
      <c r="C75" s="570"/>
      <c r="D75" s="570"/>
      <c r="E75" s="570"/>
      <c r="F75" s="570"/>
      <c r="G75" s="570"/>
      <c r="H75" s="570"/>
    </row>
    <row r="76" spans="1:8" ht="11.45" customHeight="1">
      <c r="B76" s="570"/>
      <c r="C76" s="570"/>
      <c r="D76" s="570" t="s">
        <v>1180</v>
      </c>
      <c r="E76" s="570"/>
      <c r="F76" s="570"/>
      <c r="G76" s="570"/>
      <c r="H76" s="570"/>
    </row>
    <row r="77" spans="1:8" ht="11.45" customHeight="1">
      <c r="B77" s="570"/>
      <c r="C77" s="570"/>
      <c r="D77" s="570" t="s">
        <v>1181</v>
      </c>
      <c r="E77" s="570"/>
      <c r="F77" s="570"/>
      <c r="G77" s="570"/>
      <c r="H77" s="570"/>
    </row>
    <row r="78" spans="1:8" ht="11.45" customHeight="1">
      <c r="B78" s="570"/>
      <c r="C78" s="570"/>
      <c r="D78" s="570" t="s">
        <v>1182</v>
      </c>
      <c r="E78" s="570"/>
      <c r="F78" s="570"/>
      <c r="G78" s="570"/>
      <c r="H78" s="570"/>
    </row>
    <row r="79" spans="1:8" ht="11.45" customHeight="1">
      <c r="B79" s="570"/>
      <c r="C79" s="570"/>
      <c r="D79" s="570" t="s">
        <v>1183</v>
      </c>
      <c r="E79" s="570"/>
      <c r="F79" s="570"/>
      <c r="G79" s="570"/>
      <c r="H79" s="570"/>
    </row>
  </sheetData>
  <mergeCells count="3">
    <mergeCell ref="A70:G70"/>
    <mergeCell ref="A69:G69"/>
    <mergeCell ref="A47:D47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T46"/>
  <sheetViews>
    <sheetView zoomScale="130" zoomScaleNormal="130" workbookViewId="0"/>
  </sheetViews>
  <sheetFormatPr defaultRowHeight="11.25"/>
  <cols>
    <col min="1" max="1" width="49.42578125" style="1" bestFit="1" customWidth="1"/>
    <col min="2" max="2" width="10.5703125" style="1" customWidth="1"/>
    <col min="3" max="3" width="12.28515625" style="1" bestFit="1" customWidth="1"/>
    <col min="4" max="4" width="11.42578125" style="1" bestFit="1" customWidth="1"/>
    <col min="5" max="5" width="12.28515625" style="1" customWidth="1"/>
    <col min="6" max="6" width="11.7109375" style="1" customWidth="1"/>
    <col min="7" max="7" width="12.42578125" style="1" customWidth="1"/>
    <col min="8" max="8" width="12.7109375" style="1" customWidth="1"/>
    <col min="9" max="10" width="11.7109375" style="1" customWidth="1"/>
    <col min="11" max="11" width="11.42578125" style="1" bestFit="1" customWidth="1"/>
    <col min="12" max="12" width="11" style="1" customWidth="1"/>
    <col min="13" max="13" width="12.5703125" style="1" customWidth="1"/>
    <col min="14" max="14" width="10.5703125" style="1" bestFit="1" customWidth="1"/>
    <col min="15" max="15" width="11.42578125" style="1" bestFit="1" customWidth="1"/>
    <col min="16" max="16" width="11" style="1" bestFit="1" customWidth="1"/>
    <col min="17" max="17" width="9.5703125" style="1" bestFit="1" customWidth="1"/>
    <col min="18" max="16384" width="9.140625" style="1"/>
  </cols>
  <sheetData>
    <row r="1" spans="1:20">
      <c r="B1" s="2" t="s">
        <v>1</v>
      </c>
      <c r="E1" s="2" t="s">
        <v>633</v>
      </c>
      <c r="H1" s="66" t="s">
        <v>467</v>
      </c>
      <c r="I1" s="2" t="s">
        <v>1</v>
      </c>
      <c r="M1" s="2" t="s">
        <v>633</v>
      </c>
      <c r="T1" s="66" t="s">
        <v>468</v>
      </c>
    </row>
    <row r="2" spans="1:20">
      <c r="A2" s="11"/>
      <c r="B2" s="6"/>
      <c r="C2" s="878" t="s">
        <v>10</v>
      </c>
      <c r="D2" s="313">
        <v>44835</v>
      </c>
      <c r="E2" s="313">
        <v>44805</v>
      </c>
      <c r="F2" s="313">
        <v>44774</v>
      </c>
      <c r="G2" s="313">
        <v>44743</v>
      </c>
      <c r="H2" s="313">
        <v>44713</v>
      </c>
      <c r="I2" s="313">
        <v>44682</v>
      </c>
      <c r="J2" s="313">
        <v>44652</v>
      </c>
      <c r="K2" s="313">
        <v>44621</v>
      </c>
      <c r="L2" s="313">
        <v>44593</v>
      </c>
      <c r="M2" s="313">
        <v>44562</v>
      </c>
      <c r="N2" s="313">
        <v>44531</v>
      </c>
      <c r="O2" s="313">
        <v>44501</v>
      </c>
    </row>
    <row r="3" spans="1:20">
      <c r="A3" s="12" t="s">
        <v>0</v>
      </c>
      <c r="B3" s="8"/>
      <c r="C3" s="879"/>
      <c r="D3" s="314" t="s">
        <v>34</v>
      </c>
      <c r="E3" s="43" t="s">
        <v>35</v>
      </c>
      <c r="F3" s="41" t="s">
        <v>36</v>
      </c>
      <c r="G3" s="43" t="s">
        <v>443</v>
      </c>
      <c r="H3" s="41" t="s">
        <v>444</v>
      </c>
      <c r="I3" s="43" t="s">
        <v>445</v>
      </c>
      <c r="J3" s="41" t="s">
        <v>446</v>
      </c>
      <c r="K3" s="43" t="s">
        <v>447</v>
      </c>
      <c r="L3" s="41" t="s">
        <v>448</v>
      </c>
      <c r="M3" s="43" t="s">
        <v>449</v>
      </c>
      <c r="N3" s="41" t="s">
        <v>450</v>
      </c>
      <c r="O3" s="43" t="s">
        <v>451</v>
      </c>
    </row>
    <row r="4" spans="1:20">
      <c r="A4" s="9" t="s">
        <v>40</v>
      </c>
      <c r="B4" s="14" t="s">
        <v>41</v>
      </c>
      <c r="C4" s="13">
        <f>SUM(D4:O4)</f>
        <v>0</v>
      </c>
      <c r="D4" s="368"/>
      <c r="E4" s="7"/>
      <c r="F4" s="7"/>
      <c r="G4" s="7"/>
      <c r="H4" s="7"/>
      <c r="I4" s="7"/>
      <c r="J4" s="7"/>
      <c r="K4" s="7"/>
      <c r="L4" s="7"/>
      <c r="M4" s="7"/>
      <c r="N4" s="7"/>
      <c r="O4" s="7"/>
    </row>
    <row r="5" spans="1:20">
      <c r="A5" s="5" t="s">
        <v>2</v>
      </c>
      <c r="B5" s="5"/>
      <c r="C5" s="13">
        <f>SUM(D5:O5)</f>
        <v>142696941.60000002</v>
      </c>
      <c r="D5" s="62">
        <f t="shared" ref="D5" si="0">D6-D7</f>
        <v>11519412.220000001</v>
      </c>
      <c r="E5" s="62">
        <f t="shared" ref="E5:O5" si="1">E6-E7</f>
        <v>10920544.790000001</v>
      </c>
      <c r="F5" s="62">
        <f t="shared" si="1"/>
        <v>10723446.91</v>
      </c>
      <c r="G5" s="62">
        <f t="shared" si="1"/>
        <v>11950113.09</v>
      </c>
      <c r="H5" s="62">
        <f t="shared" si="1"/>
        <v>11668765.83</v>
      </c>
      <c r="I5" s="62">
        <f t="shared" si="1"/>
        <v>13305465.119999999</v>
      </c>
      <c r="J5" s="62">
        <f t="shared" si="1"/>
        <v>11103679.35</v>
      </c>
      <c r="K5" s="62">
        <f t="shared" si="1"/>
        <v>11527853.43</v>
      </c>
      <c r="L5" s="62">
        <f t="shared" si="1"/>
        <v>11080171.5</v>
      </c>
      <c r="M5" s="62">
        <f t="shared" si="1"/>
        <v>11182974.76</v>
      </c>
      <c r="N5" s="62">
        <f t="shared" si="1"/>
        <v>16377826.710000001</v>
      </c>
      <c r="O5" s="62">
        <f t="shared" si="1"/>
        <v>11336687.890000001</v>
      </c>
      <c r="P5" s="365"/>
    </row>
    <row r="6" spans="1:20">
      <c r="A6" s="5" t="s">
        <v>3</v>
      </c>
      <c r="B6" s="10" t="s">
        <v>42</v>
      </c>
      <c r="C6" s="13">
        <f>SUM(D6:O6)</f>
        <v>158809810.37</v>
      </c>
      <c r="D6" s="62">
        <f>12709999.32</f>
        <v>12709999.32</v>
      </c>
      <c r="E6" s="62">
        <f>12015391.06</f>
        <v>12015391.060000001</v>
      </c>
      <c r="F6" s="62">
        <f>11887679.67</f>
        <v>11887679.67</v>
      </c>
      <c r="G6" s="62">
        <f>13068617.18</f>
        <v>13068617.18</v>
      </c>
      <c r="H6" s="62">
        <v>12859295.98</v>
      </c>
      <c r="I6" s="62">
        <f>14680470.85</f>
        <v>14680470.85</v>
      </c>
      <c r="J6" s="62">
        <v>12445410.869999999</v>
      </c>
      <c r="K6" s="62">
        <v>12688905.859999999</v>
      </c>
      <c r="L6" s="62">
        <v>12723514.17</v>
      </c>
      <c r="M6" s="62">
        <f>12843050.92</f>
        <v>12843050.92</v>
      </c>
      <c r="N6" s="62">
        <f>18101953.5</f>
        <v>18101953.5</v>
      </c>
      <c r="O6" s="62">
        <f>12785520.99</f>
        <v>12785520.99</v>
      </c>
      <c r="P6" s="365"/>
    </row>
    <row r="7" spans="1:20">
      <c r="A7" s="5" t="s">
        <v>4</v>
      </c>
      <c r="B7" s="10" t="s">
        <v>43</v>
      </c>
      <c r="C7" s="13">
        <f>SUM(D7:O7)</f>
        <v>16112868.769999998</v>
      </c>
      <c r="D7" s="62">
        <f>1190587.1</f>
        <v>1190587.1000000001</v>
      </c>
      <c r="E7" s="62">
        <f>1094846.27</f>
        <v>1094846.27</v>
      </c>
      <c r="F7" s="62">
        <f>1164232.76</f>
        <v>1164232.76</v>
      </c>
      <c r="G7" s="62">
        <f>1118504.09</f>
        <v>1118504.0900000001</v>
      </c>
      <c r="H7" s="62">
        <f>1190530.15</f>
        <v>1190530.1499999999</v>
      </c>
      <c r="I7" s="62">
        <f>1375005.73</f>
        <v>1375005.73</v>
      </c>
      <c r="J7" s="62">
        <v>1341731.52</v>
      </c>
      <c r="K7" s="62">
        <f>1161052.43</f>
        <v>1161052.43</v>
      </c>
      <c r="L7" s="315">
        <f>1643342.67</f>
        <v>1643342.67</v>
      </c>
      <c r="M7" s="315">
        <f>1660076.16</f>
        <v>1660076.16</v>
      </c>
      <c r="N7" s="315">
        <f>1724126.79</f>
        <v>1724126.79</v>
      </c>
      <c r="O7" s="315">
        <f>1448833.1</f>
        <v>1448833.1</v>
      </c>
    </row>
    <row r="8" spans="1:20" s="2" customFormat="1">
      <c r="A8" s="9" t="s">
        <v>5</v>
      </c>
      <c r="B8" s="15"/>
      <c r="C8" s="16">
        <f>SUM(D8:O8)</f>
        <v>16145701.980000002</v>
      </c>
      <c r="D8" s="16">
        <f t="shared" ref="D8:I8" si="2">SUM(D9:D31)</f>
        <v>1672373.18</v>
      </c>
      <c r="E8" s="16">
        <f t="shared" si="2"/>
        <v>1372774.0100000002</v>
      </c>
      <c r="F8" s="16">
        <f t="shared" si="2"/>
        <v>1419739.79</v>
      </c>
      <c r="G8" s="16">
        <f t="shared" si="2"/>
        <v>1300027.9100000001</v>
      </c>
      <c r="H8" s="16">
        <f t="shared" si="2"/>
        <v>1349194.7899999998</v>
      </c>
      <c r="I8" s="16">
        <f t="shared" si="2"/>
        <v>1437892.58</v>
      </c>
      <c r="J8" s="16">
        <f t="shared" ref="J8" si="3">SUM(J9:J31)</f>
        <v>1257813.1099999999</v>
      </c>
      <c r="K8" s="16">
        <f t="shared" ref="K8:M8" si="4">SUM(K9:K31)</f>
        <v>1494171.91</v>
      </c>
      <c r="L8" s="16">
        <f t="shared" si="4"/>
        <v>871600.23999999987</v>
      </c>
      <c r="M8" s="16">
        <f t="shared" si="4"/>
        <v>742336.64999999991</v>
      </c>
      <c r="N8" s="16">
        <f>SUM(N9:N31)</f>
        <v>1946479.6300000001</v>
      </c>
      <c r="O8" s="16">
        <f t="shared" ref="O8" si="5">SUM(O9:O31)</f>
        <v>1281298.18</v>
      </c>
    </row>
    <row r="9" spans="1:20" s="2" customFormat="1">
      <c r="A9" s="333" t="s">
        <v>750</v>
      </c>
      <c r="B9" s="10" t="s">
        <v>675</v>
      </c>
      <c r="C9" s="13">
        <f t="shared" ref="C9:C37" si="6">SUM(D9:O9)</f>
        <v>1164430</v>
      </c>
      <c r="D9" s="62">
        <f>104232</f>
        <v>104232</v>
      </c>
      <c r="E9" s="62">
        <f>104232</f>
        <v>104232</v>
      </c>
      <c r="F9" s="62">
        <f>104232</f>
        <v>104232</v>
      </c>
      <c r="G9" s="62">
        <f>41078+31772+9306+113928</f>
        <v>196084</v>
      </c>
      <c r="H9" s="62">
        <f>48050+24800</f>
        <v>72850</v>
      </c>
      <c r="I9" s="62">
        <f>48050+24800</f>
        <v>72850</v>
      </c>
      <c r="J9" s="62">
        <f>72850+24800</f>
        <v>97650</v>
      </c>
      <c r="K9" s="62">
        <v>48050</v>
      </c>
      <c r="L9" s="62">
        <v>72850</v>
      </c>
      <c r="M9" s="62">
        <v>72850</v>
      </c>
      <c r="N9" s="62">
        <f>72850+72850</f>
        <v>145700</v>
      </c>
      <c r="O9" s="62">
        <f>72850</f>
        <v>72850</v>
      </c>
    </row>
    <row r="10" spans="1:20" s="2" customFormat="1">
      <c r="A10" s="657"/>
      <c r="B10" s="337"/>
      <c r="C10" s="13">
        <f>SUM(D10:O10)</f>
        <v>0</v>
      </c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</row>
    <row r="11" spans="1:20" s="3" customFormat="1" ht="8.25">
      <c r="A11" s="30" t="s">
        <v>6</v>
      </c>
      <c r="B11" s="2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</row>
    <row r="12" spans="1:20" s="2" customFormat="1">
      <c r="A12" s="9" t="s">
        <v>7</v>
      </c>
      <c r="B12" s="30" t="s">
        <v>26</v>
      </c>
      <c r="C12" s="318"/>
      <c r="D12" s="318"/>
      <c r="E12" s="318"/>
      <c r="F12" s="318"/>
      <c r="G12" s="318"/>
      <c r="H12" s="318"/>
      <c r="I12" s="318"/>
      <c r="J12" s="318"/>
      <c r="K12" s="318"/>
      <c r="L12" s="318"/>
      <c r="M12" s="318"/>
      <c r="N12" s="318"/>
      <c r="O12" s="318"/>
    </row>
    <row r="13" spans="1:20" s="2" customFormat="1">
      <c r="A13" s="5" t="s">
        <v>456</v>
      </c>
      <c r="B13" s="10" t="s">
        <v>457</v>
      </c>
      <c r="C13" s="13">
        <f t="shared" si="6"/>
        <v>6328109.8399999999</v>
      </c>
      <c r="D13" s="317">
        <f>425972.73+280838.94-120597.13</f>
        <v>586214.53999999992</v>
      </c>
      <c r="E13" s="317">
        <f>412345.91+8631.35+138512.18</f>
        <v>559489.43999999994</v>
      </c>
      <c r="F13" s="317">
        <f>408401.91+137755.5+8602.75</f>
        <v>554760.15999999992</v>
      </c>
      <c r="G13" s="317">
        <f>408434.58+137060.72+8691.94</f>
        <v>554187.24</v>
      </c>
      <c r="H13" s="317">
        <f>396920.91+123281.04+8590.78</f>
        <v>528792.73</v>
      </c>
      <c r="I13" s="317">
        <f>398239.88+122659.46+8653.19</f>
        <v>529552.53</v>
      </c>
      <c r="J13" s="317">
        <f>396941.18+122332.93+8653.19</f>
        <v>527927.29999999993</v>
      </c>
      <c r="K13" s="317">
        <f>399169.03+121136.46+9403.71</f>
        <v>529709.20000000007</v>
      </c>
      <c r="L13" s="317">
        <f>308768.59+87226.15+5073.55</f>
        <v>401068.29</v>
      </c>
      <c r="M13" s="317">
        <f>234624.7+88797.03+5451.67</f>
        <v>328873.39999999997</v>
      </c>
      <c r="N13" s="317">
        <f>653486.68+91787.64+94059.92</f>
        <v>839334.24000000011</v>
      </c>
      <c r="O13" s="317">
        <f>293422.03+89308.42+5470.32</f>
        <v>388200.77</v>
      </c>
    </row>
    <row r="14" spans="1:20" s="2" customFormat="1">
      <c r="A14" s="5" t="s">
        <v>1235</v>
      </c>
      <c r="B14" s="10" t="s">
        <v>458</v>
      </c>
      <c r="C14" s="316">
        <f t="shared" si="6"/>
        <v>1788588.75</v>
      </c>
      <c r="D14" s="62">
        <f>93694.45+69984.24-46.25</f>
        <v>163632.44</v>
      </c>
      <c r="E14" s="62">
        <f>89971.79+67663.34</f>
        <v>157635.13</v>
      </c>
      <c r="F14" s="62">
        <f>89883.83+67421.24-201.6</f>
        <v>157103.47</v>
      </c>
      <c r="G14" s="62">
        <f>91117.4+67205.98-261.36</f>
        <v>158062.02000000002</v>
      </c>
      <c r="H14" s="62">
        <f>88927.92+64921.76</f>
        <v>153849.68</v>
      </c>
      <c r="I14" s="62">
        <f>89422.86+64945.43</f>
        <v>154368.29</v>
      </c>
      <c r="J14" s="62">
        <f>89933.51+64765.37</f>
        <v>154698.88</v>
      </c>
      <c r="K14" s="62">
        <f>88953.59+64175.16-64.35</f>
        <v>153064.4</v>
      </c>
      <c r="L14" s="62">
        <f>75311.11+55781.06</f>
        <v>131092.16999999998</v>
      </c>
      <c r="M14" s="62">
        <f>86934.48+53366.32</f>
        <v>140300.79999999999</v>
      </c>
      <c r="N14" s="62">
        <f>78489.05+53390.9</f>
        <v>131879.95000000001</v>
      </c>
      <c r="O14" s="62">
        <f>79522.33+53379.19</f>
        <v>132901.52000000002</v>
      </c>
    </row>
    <row r="15" spans="1:20" s="3" customFormat="1" ht="8.25">
      <c r="A15" s="10" t="s">
        <v>8</v>
      </c>
      <c r="B15" s="10"/>
      <c r="C15" s="475">
        <f t="shared" si="6"/>
        <v>0</v>
      </c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</row>
    <row r="16" spans="1:20">
      <c r="A16" s="10" t="s">
        <v>748</v>
      </c>
      <c r="B16" s="10" t="s">
        <v>454</v>
      </c>
      <c r="C16" s="13">
        <f t="shared" si="6"/>
        <v>543474.49</v>
      </c>
      <c r="D16" s="62">
        <f>41771.66</f>
        <v>41771.660000000003</v>
      </c>
      <c r="E16" s="62"/>
      <c r="F16" s="62">
        <f>87810.76</f>
        <v>87810.76</v>
      </c>
      <c r="G16" s="62"/>
      <c r="H16" s="62">
        <v>46999.51</v>
      </c>
      <c r="I16" s="62">
        <f>58824.47</f>
        <v>58824.47</v>
      </c>
      <c r="J16" s="62">
        <v>46260.45</v>
      </c>
      <c r="K16" s="62">
        <v>46260.45</v>
      </c>
      <c r="L16" s="62">
        <f>41994.23</f>
        <v>41994.23</v>
      </c>
      <c r="M16" s="62">
        <f>41994.23</f>
        <v>41994.23</v>
      </c>
      <c r="N16" s="62">
        <v>90184.06</v>
      </c>
      <c r="O16" s="62">
        <f>41374.67</f>
        <v>41374.67</v>
      </c>
      <c r="Q16" s="481"/>
    </row>
    <row r="17" spans="1:15">
      <c r="A17" s="5" t="s">
        <v>9</v>
      </c>
      <c r="B17" s="665"/>
      <c r="C17" s="13">
        <f t="shared" si="6"/>
        <v>0</v>
      </c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</row>
    <row r="18" spans="1:15">
      <c r="A18" s="5" t="s">
        <v>645</v>
      </c>
      <c r="B18" s="10" t="s">
        <v>27</v>
      </c>
      <c r="C18" s="316">
        <f t="shared" si="6"/>
        <v>4413842.21</v>
      </c>
      <c r="D18" s="62">
        <f>618359.36</f>
        <v>618359.36</v>
      </c>
      <c r="E18" s="62">
        <f>(437508.32-47945.81)-815.56</f>
        <v>388746.95</v>
      </c>
      <c r="F18" s="62">
        <f>349748.56-6010.28</f>
        <v>343738.27999999997</v>
      </c>
      <c r="G18" s="62">
        <f>281732.76-48232.86</f>
        <v>233499.90000000002</v>
      </c>
      <c r="H18" s="62">
        <f>389536.32-25254.89</f>
        <v>364281.43</v>
      </c>
      <c r="I18" s="62">
        <v>443844.93</v>
      </c>
      <c r="J18" s="62">
        <f>416112.89-137141.35</f>
        <v>278971.54000000004</v>
      </c>
      <c r="K18" s="62">
        <f>619278.08</f>
        <v>619278.07999999996</v>
      </c>
      <c r="L18" s="62">
        <f>346111.52-258485.56</f>
        <v>87625.960000000021</v>
      </c>
      <c r="M18" s="62">
        <f>170931.46-130848.46</f>
        <v>40082.999999999985</v>
      </c>
      <c r="N18" s="62">
        <f>468274.43</f>
        <v>468274.43</v>
      </c>
      <c r="O18" s="62">
        <f>559892.02-(2703.66+30050.01)</f>
        <v>527138.35</v>
      </c>
    </row>
    <row r="19" spans="1:15">
      <c r="A19" s="5" t="s">
        <v>647</v>
      </c>
      <c r="B19" s="10" t="s">
        <v>28</v>
      </c>
      <c r="C19" s="316">
        <f t="shared" si="6"/>
        <v>35069.57</v>
      </c>
      <c r="D19" s="62">
        <f>2328.03</f>
        <v>2328.0300000000002</v>
      </c>
      <c r="E19" s="62">
        <f>2328.03</f>
        <v>2328.0300000000002</v>
      </c>
      <c r="F19" s="62">
        <f>2328.02</f>
        <v>2328.02</v>
      </c>
      <c r="G19" s="62">
        <f>2328.03</f>
        <v>2328.0300000000002</v>
      </c>
      <c r="H19" s="62">
        <v>2328.0300000000002</v>
      </c>
      <c r="I19" s="62">
        <f>5089.12</f>
        <v>5089.12</v>
      </c>
      <c r="J19" s="62">
        <v>2761.09</v>
      </c>
      <c r="K19" s="62"/>
      <c r="L19" s="62">
        <v>2761.09</v>
      </c>
      <c r="M19" s="62"/>
      <c r="N19" s="62">
        <v>12818.13</v>
      </c>
      <c r="O19" s="62"/>
    </row>
    <row r="20" spans="1:15">
      <c r="A20" s="5" t="s">
        <v>12</v>
      </c>
      <c r="B20" s="10" t="s">
        <v>452</v>
      </c>
      <c r="C20" s="13">
        <f t="shared" si="6"/>
        <v>0</v>
      </c>
      <c r="D20" s="368"/>
      <c r="E20" s="368"/>
      <c r="F20" s="368"/>
      <c r="G20" s="368"/>
      <c r="H20" s="368"/>
      <c r="I20" s="368"/>
      <c r="J20" s="368"/>
      <c r="K20" s="368"/>
      <c r="L20" s="368"/>
      <c r="M20" s="368"/>
      <c r="N20" s="368"/>
      <c r="O20" s="368"/>
    </row>
    <row r="21" spans="1:15">
      <c r="A21" s="10" t="s">
        <v>13</v>
      </c>
      <c r="B21" s="10" t="s">
        <v>455</v>
      </c>
      <c r="C21" s="316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</row>
    <row r="22" spans="1:15">
      <c r="A22" s="5" t="s">
        <v>14</v>
      </c>
      <c r="B22" s="10" t="s">
        <v>29</v>
      </c>
      <c r="C22" s="13">
        <f t="shared" si="6"/>
        <v>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5" t="s">
        <v>15</v>
      </c>
      <c r="B23" s="10"/>
      <c r="C23" s="13">
        <f t="shared" si="6"/>
        <v>0</v>
      </c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</row>
    <row r="24" spans="1:15">
      <c r="A24" s="10" t="s">
        <v>615</v>
      </c>
      <c r="B24" s="10" t="s">
        <v>453</v>
      </c>
      <c r="C24" s="316">
        <f>SUM(D24:O24)</f>
        <v>166135.34</v>
      </c>
      <c r="D24" s="62">
        <f>26433.66</f>
        <v>26433.66</v>
      </c>
      <c r="E24" s="62">
        <f>25056.84</f>
        <v>25056.84</v>
      </c>
      <c r="F24" s="62">
        <f>22714.62</f>
        <v>22714.62</v>
      </c>
      <c r="G24" s="62">
        <f>17418.99</f>
        <v>17418.990000000002</v>
      </c>
      <c r="H24" s="62">
        <f>16537.97</f>
        <v>16537.97</v>
      </c>
      <c r="I24" s="62">
        <f>14585.66</f>
        <v>14585.66</v>
      </c>
      <c r="J24" s="62">
        <f>11006.74</f>
        <v>11006.74</v>
      </c>
      <c r="K24" s="62">
        <v>10154.58</v>
      </c>
      <c r="L24" s="62">
        <v>8239.4699999999993</v>
      </c>
      <c r="M24" s="62">
        <f>2785.15</f>
        <v>2785.15</v>
      </c>
      <c r="N24" s="62">
        <f>7750.51</f>
        <v>7750.51</v>
      </c>
      <c r="O24" s="62">
        <f>3451.15</f>
        <v>3451.15</v>
      </c>
    </row>
    <row r="25" spans="1:15">
      <c r="A25" s="10" t="s">
        <v>646</v>
      </c>
      <c r="B25" s="10" t="s">
        <v>30</v>
      </c>
      <c r="C25" s="316">
        <f t="shared" si="6"/>
        <v>1586056.78</v>
      </c>
      <c r="D25" s="99">
        <f>129401.49</f>
        <v>129401.49</v>
      </c>
      <c r="E25" s="99">
        <f>135285.62</f>
        <v>135285.62</v>
      </c>
      <c r="F25" s="99">
        <f>147052.48</f>
        <v>147052.48000000001</v>
      </c>
      <c r="G25" s="99">
        <f>138447.73</f>
        <v>138447.73000000001</v>
      </c>
      <c r="H25" s="99">
        <f>163555.44</f>
        <v>163555.44</v>
      </c>
      <c r="I25" s="99">
        <f>138777.58</f>
        <v>138777.57999999999</v>
      </c>
      <c r="J25" s="99">
        <f>138537.11</f>
        <v>138537.10999999999</v>
      </c>
      <c r="K25" s="99">
        <f>127979.54-40324.34</f>
        <v>87655.2</v>
      </c>
      <c r="L25" s="99">
        <v>125969.03</v>
      </c>
      <c r="M25" s="99">
        <f>115450.07</f>
        <v>115450.07</v>
      </c>
      <c r="N25" s="99">
        <f>150593.31-50</f>
        <v>150543.31</v>
      </c>
      <c r="O25" s="99">
        <f>115381.72</f>
        <v>115381.72</v>
      </c>
    </row>
    <row r="26" spans="1:15">
      <c r="A26" s="5" t="s">
        <v>16</v>
      </c>
      <c r="B26" s="10" t="s">
        <v>31</v>
      </c>
      <c r="C26" s="13">
        <f t="shared" si="6"/>
        <v>0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476" t="s">
        <v>670</v>
      </c>
      <c r="B27" s="473" t="s">
        <v>668</v>
      </c>
      <c r="C27" s="13">
        <f t="shared" si="6"/>
        <v>19417.48</v>
      </c>
      <c r="D27" s="13"/>
      <c r="E27" s="13"/>
      <c r="F27" s="13"/>
      <c r="G27" s="13"/>
      <c r="H27" s="13"/>
      <c r="I27" s="13">
        <v>19417.48</v>
      </c>
      <c r="J27" s="5"/>
      <c r="K27" s="5"/>
      <c r="L27" s="5"/>
      <c r="M27" s="5"/>
      <c r="N27" s="5"/>
      <c r="O27" s="5"/>
    </row>
    <row r="28" spans="1:15">
      <c r="A28" s="472" t="s">
        <v>671</v>
      </c>
      <c r="B28" s="473" t="s">
        <v>669</v>
      </c>
      <c r="C28" s="13">
        <f t="shared" si="6"/>
        <v>582.52</v>
      </c>
      <c r="D28" s="474"/>
      <c r="E28" s="474"/>
      <c r="F28" s="474"/>
      <c r="G28" s="474"/>
      <c r="H28" s="474"/>
      <c r="I28" s="474">
        <v>582.52</v>
      </c>
      <c r="J28" s="472"/>
      <c r="K28" s="472"/>
      <c r="L28" s="472"/>
      <c r="M28" s="472"/>
      <c r="N28" s="472"/>
      <c r="O28" s="472"/>
    </row>
    <row r="29" spans="1:15">
      <c r="A29" s="5" t="s">
        <v>672</v>
      </c>
      <c r="B29" s="10" t="s">
        <v>33</v>
      </c>
      <c r="C29" s="13">
        <f t="shared" si="6"/>
        <v>0</v>
      </c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</row>
    <row r="30" spans="1:15">
      <c r="A30" s="5" t="s">
        <v>17</v>
      </c>
      <c r="B30" s="10" t="s">
        <v>32</v>
      </c>
      <c r="C30" s="13">
        <f t="shared" si="6"/>
        <v>0</v>
      </c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</row>
    <row r="31" spans="1:15">
      <c r="A31" s="5" t="s">
        <v>18</v>
      </c>
      <c r="B31" s="471" t="s">
        <v>667</v>
      </c>
      <c r="C31" s="13">
        <f>SUM(D31:O31)</f>
        <v>99995</v>
      </c>
      <c r="D31" s="5"/>
      <c r="E31" s="5"/>
      <c r="F31" s="5"/>
      <c r="G31" s="5"/>
      <c r="H31" s="5"/>
      <c r="I31" s="5"/>
      <c r="J31" s="5"/>
      <c r="K31" s="5"/>
      <c r="L31" s="5"/>
      <c r="M31" s="5"/>
      <c r="N31" s="315">
        <v>99995</v>
      </c>
      <c r="O31" s="5"/>
    </row>
    <row r="32" spans="1:15" s="2" customFormat="1">
      <c r="A32" s="9" t="s">
        <v>19</v>
      </c>
      <c r="B32" s="15"/>
      <c r="C32" s="16">
        <f>SUM(D32:O32)</f>
        <v>126551239.62</v>
      </c>
      <c r="D32" s="17">
        <f t="shared" ref="D32" si="7">D5-D8</f>
        <v>9847039.040000001</v>
      </c>
      <c r="E32" s="17">
        <f t="shared" ref="E32:K32" si="8">E5-E8</f>
        <v>9547770.7800000012</v>
      </c>
      <c r="F32" s="17">
        <f t="shared" si="8"/>
        <v>9303707.120000001</v>
      </c>
      <c r="G32" s="17">
        <f t="shared" si="8"/>
        <v>10650085.18</v>
      </c>
      <c r="H32" s="17">
        <f t="shared" si="8"/>
        <v>10319571.040000001</v>
      </c>
      <c r="I32" s="17">
        <f t="shared" si="8"/>
        <v>11867572.539999999</v>
      </c>
      <c r="J32" s="17">
        <f t="shared" si="8"/>
        <v>9845866.2400000002</v>
      </c>
      <c r="K32" s="17">
        <f t="shared" si="8"/>
        <v>10033681.52</v>
      </c>
      <c r="L32" s="17">
        <f t="shared" ref="L32:M32" si="9">L5-L8</f>
        <v>10208571.26</v>
      </c>
      <c r="M32" s="17">
        <f t="shared" si="9"/>
        <v>10440638.109999999</v>
      </c>
      <c r="N32" s="17">
        <f>N5-N8</f>
        <v>14431347.08</v>
      </c>
      <c r="O32" s="17">
        <f t="shared" ref="O32" si="10">O5-O8</f>
        <v>10055389.710000001</v>
      </c>
    </row>
    <row r="33" spans="1:15">
      <c r="A33" s="5" t="s">
        <v>20</v>
      </c>
      <c r="B33" s="5"/>
      <c r="C33" s="13">
        <f t="shared" si="6"/>
        <v>0</v>
      </c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</row>
    <row r="34" spans="1:15">
      <c r="A34" s="5" t="s">
        <v>21</v>
      </c>
      <c r="B34" s="5"/>
      <c r="C34" s="13">
        <f t="shared" si="6"/>
        <v>126551239.62</v>
      </c>
      <c r="D34" s="18">
        <f t="shared" ref="D34:E34" si="11">D32+D33</f>
        <v>9847039.040000001</v>
      </c>
      <c r="E34" s="18">
        <f t="shared" si="11"/>
        <v>9547770.7800000012</v>
      </c>
      <c r="F34" s="18">
        <f t="shared" ref="F34:O34" si="12">F32+F33</f>
        <v>9303707.120000001</v>
      </c>
      <c r="G34" s="18">
        <f t="shared" si="12"/>
        <v>10650085.18</v>
      </c>
      <c r="H34" s="18">
        <f t="shared" si="12"/>
        <v>10319571.040000001</v>
      </c>
      <c r="I34" s="18">
        <f t="shared" si="12"/>
        <v>11867572.539999999</v>
      </c>
      <c r="J34" s="18">
        <f t="shared" si="12"/>
        <v>9845866.2400000002</v>
      </c>
      <c r="K34" s="18">
        <f t="shared" si="12"/>
        <v>10033681.52</v>
      </c>
      <c r="L34" s="18">
        <f t="shared" si="12"/>
        <v>10208571.26</v>
      </c>
      <c r="M34" s="18">
        <f t="shared" si="12"/>
        <v>10440638.109999999</v>
      </c>
      <c r="N34" s="18">
        <f t="shared" si="12"/>
        <v>14431347.08</v>
      </c>
      <c r="O34" s="18">
        <f t="shared" si="12"/>
        <v>10055389.710000001</v>
      </c>
    </row>
    <row r="35" spans="1:15">
      <c r="A35" s="5" t="s">
        <v>22</v>
      </c>
      <c r="B35" s="5"/>
      <c r="C35" s="13">
        <f>SUM(D35:O35)</f>
        <v>250000</v>
      </c>
      <c r="D35" s="62"/>
      <c r="E35" s="62"/>
      <c r="F35" s="62"/>
      <c r="G35" s="62"/>
      <c r="H35" s="62">
        <f>150000+100000</f>
        <v>250000</v>
      </c>
      <c r="I35" s="62"/>
      <c r="J35" s="62"/>
      <c r="K35" s="62"/>
      <c r="L35" s="62"/>
      <c r="M35" s="62"/>
      <c r="N35" s="62"/>
      <c r="O35" s="62"/>
    </row>
    <row r="36" spans="1:15">
      <c r="A36" s="5" t="s">
        <v>563</v>
      </c>
      <c r="B36" s="5"/>
      <c r="C36" s="13">
        <f>SUM(D36:O36)</f>
        <v>126301239.62</v>
      </c>
      <c r="D36" s="18">
        <f t="shared" ref="D36:E36" si="13">D34-D35</f>
        <v>9847039.040000001</v>
      </c>
      <c r="E36" s="18">
        <f t="shared" si="13"/>
        <v>9547770.7800000012</v>
      </c>
      <c r="F36" s="18">
        <f t="shared" ref="F36:O36" si="14">F34-F35</f>
        <v>9303707.120000001</v>
      </c>
      <c r="G36" s="18">
        <f t="shared" si="14"/>
        <v>10650085.18</v>
      </c>
      <c r="H36" s="18">
        <f t="shared" si="14"/>
        <v>10069571.040000001</v>
      </c>
      <c r="I36" s="18">
        <f t="shared" si="14"/>
        <v>11867572.539999999</v>
      </c>
      <c r="J36" s="18">
        <f t="shared" si="14"/>
        <v>9845866.2400000002</v>
      </c>
      <c r="K36" s="18">
        <f t="shared" si="14"/>
        <v>10033681.52</v>
      </c>
      <c r="L36" s="18">
        <f t="shared" si="14"/>
        <v>10208571.26</v>
      </c>
      <c r="M36" s="18">
        <f t="shared" si="14"/>
        <v>10440638.109999999</v>
      </c>
      <c r="N36" s="18">
        <f t="shared" si="14"/>
        <v>14431347.08</v>
      </c>
      <c r="O36" s="18">
        <f t="shared" si="14"/>
        <v>10055389.710000001</v>
      </c>
    </row>
    <row r="37" spans="1:15">
      <c r="A37" s="5" t="s">
        <v>23</v>
      </c>
      <c r="B37" s="5"/>
      <c r="C37" s="13">
        <f t="shared" si="6"/>
        <v>100000</v>
      </c>
      <c r="D37" s="5"/>
      <c r="E37" s="5"/>
      <c r="F37" s="5"/>
      <c r="G37" s="5"/>
      <c r="H37" s="5"/>
      <c r="I37" s="18"/>
      <c r="J37" s="5"/>
      <c r="K37" s="5"/>
      <c r="L37" s="5"/>
      <c r="M37" s="5"/>
      <c r="N37" s="5"/>
      <c r="O37" s="62">
        <v>100000</v>
      </c>
    </row>
    <row r="38" spans="1:15" s="2" customFormat="1">
      <c r="A38" s="9" t="s">
        <v>24</v>
      </c>
      <c r="B38" s="9"/>
      <c r="C38" s="16">
        <f>SUM(D38:O38)</f>
        <v>126201239.62</v>
      </c>
      <c r="D38" s="17">
        <f>D36-D37</f>
        <v>9847039.040000001</v>
      </c>
      <c r="E38" s="17">
        <f>E36-E37</f>
        <v>9547770.7800000012</v>
      </c>
      <c r="F38" s="17">
        <f t="shared" ref="F38:O38" si="15">F36-F37</f>
        <v>9303707.120000001</v>
      </c>
      <c r="G38" s="17">
        <f t="shared" si="15"/>
        <v>10650085.18</v>
      </c>
      <c r="H38" s="17">
        <f t="shared" si="15"/>
        <v>10069571.040000001</v>
      </c>
      <c r="I38" s="17">
        <f t="shared" si="15"/>
        <v>11867572.539999999</v>
      </c>
      <c r="J38" s="17">
        <f t="shared" si="15"/>
        <v>9845866.2400000002</v>
      </c>
      <c r="K38" s="17">
        <f t="shared" si="15"/>
        <v>10033681.52</v>
      </c>
      <c r="L38" s="17">
        <f t="shared" si="15"/>
        <v>10208571.26</v>
      </c>
      <c r="M38" s="17">
        <f t="shared" si="15"/>
        <v>10440638.109999999</v>
      </c>
      <c r="N38" s="17">
        <f t="shared" si="15"/>
        <v>14431347.08</v>
      </c>
      <c r="O38" s="17">
        <f t="shared" si="15"/>
        <v>9955389.7100000009</v>
      </c>
    </row>
    <row r="39" spans="1:15" s="3" customFormat="1" ht="8.25">
      <c r="A39" s="3" t="s">
        <v>749</v>
      </c>
      <c r="B39" s="340"/>
      <c r="C39" s="338"/>
      <c r="D39" s="338">
        <f>9951271.04-D38</f>
        <v>104231.99999999814</v>
      </c>
      <c r="E39" s="338">
        <f>9652002.78-E38</f>
        <v>104231.99999999814</v>
      </c>
      <c r="F39" s="338">
        <f>9407939.12-F38</f>
        <v>104231.99999999814</v>
      </c>
      <c r="G39" s="338">
        <f>10846169.18-G38</f>
        <v>196084</v>
      </c>
      <c r="H39" s="338">
        <f>10392421.04-H38</f>
        <v>322849.99999999814</v>
      </c>
      <c r="I39" s="338">
        <f>11940422.54-I38</f>
        <v>72850</v>
      </c>
      <c r="J39" s="338">
        <f>9943516.24-J38</f>
        <v>97650</v>
      </c>
      <c r="K39" s="338">
        <f>10081731.52-K38</f>
        <v>48050</v>
      </c>
      <c r="L39" s="338">
        <f>10281421.26-L38</f>
        <v>72850</v>
      </c>
      <c r="M39" s="338">
        <f>10513488.11-M38</f>
        <v>72850</v>
      </c>
      <c r="N39" s="338">
        <f>14677042.08-N38</f>
        <v>245695</v>
      </c>
      <c r="O39" s="338">
        <f>10128239.71-O38</f>
        <v>172850</v>
      </c>
    </row>
    <row r="40" spans="1:15" s="24" customFormat="1" ht="8.25">
      <c r="A40" s="24" t="s">
        <v>25</v>
      </c>
      <c r="C40" s="466"/>
    </row>
    <row r="41" spans="1:15" s="24" customFormat="1" ht="8.25">
      <c r="A41" s="24" t="s">
        <v>666</v>
      </c>
    </row>
    <row r="42" spans="1:15" s="24" customFormat="1" ht="8.25">
      <c r="A42" s="24" t="s">
        <v>665</v>
      </c>
    </row>
    <row r="43" spans="1:15">
      <c r="C43" s="352">
        <v>126201239.62</v>
      </c>
      <c r="D43" s="352"/>
    </row>
    <row r="45" spans="1:15">
      <c r="A45" s="55" t="s">
        <v>95</v>
      </c>
      <c r="B45" s="54"/>
      <c r="C45" s="56" t="s">
        <v>96</v>
      </c>
      <c r="D45" s="56"/>
      <c r="E45" s="57"/>
      <c r="F45" s="55"/>
      <c r="G45" s="58" t="s">
        <v>97</v>
      </c>
      <c r="H45" s="58"/>
    </row>
    <row r="46" spans="1:15">
      <c r="A46" s="55" t="s">
        <v>98</v>
      </c>
      <c r="B46" s="54"/>
      <c r="C46" s="56" t="s">
        <v>99</v>
      </c>
      <c r="D46" s="56"/>
      <c r="E46" s="57"/>
      <c r="F46" s="55"/>
      <c r="G46" s="58" t="s">
        <v>100</v>
      </c>
      <c r="H46" s="58"/>
    </row>
  </sheetData>
  <mergeCells count="1">
    <mergeCell ref="C2:C3"/>
  </mergeCells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W63"/>
  <sheetViews>
    <sheetView workbookViewId="0">
      <selection activeCell="H28" sqref="H28"/>
    </sheetView>
  </sheetViews>
  <sheetFormatPr defaultRowHeight="8.25"/>
  <cols>
    <col min="1" max="1" width="31.140625" style="3" customWidth="1"/>
    <col min="2" max="6" width="9.140625" style="3"/>
    <col min="7" max="7" width="9.28515625" style="3" bestFit="1" customWidth="1"/>
    <col min="8" max="8" width="12.7109375" style="3" customWidth="1"/>
    <col min="9" max="9" width="11.5703125" style="3" customWidth="1"/>
    <col min="10" max="10" width="11.85546875" style="3" bestFit="1" customWidth="1"/>
    <col min="11" max="11" width="11.7109375" style="3" customWidth="1"/>
    <col min="12" max="12" width="11.42578125" style="3" customWidth="1"/>
    <col min="13" max="13" width="11.42578125" style="3" bestFit="1" customWidth="1"/>
    <col min="14" max="14" width="11.5703125" style="3" customWidth="1"/>
    <col min="15" max="15" width="11.7109375" style="3" customWidth="1"/>
    <col min="16" max="16" width="11.42578125" style="3" customWidth="1"/>
    <col min="17" max="17" width="11.85546875" style="3" bestFit="1" customWidth="1"/>
    <col min="18" max="18" width="12.42578125" style="3" customWidth="1"/>
    <col min="19" max="19" width="11.85546875" style="3" bestFit="1" customWidth="1"/>
    <col min="20" max="20" width="11.7109375" style="3" bestFit="1" customWidth="1"/>
    <col min="21" max="21" width="10.42578125" style="3" bestFit="1" customWidth="1"/>
    <col min="22" max="16384" width="9.140625" style="3"/>
  </cols>
  <sheetData>
    <row r="1" spans="1:23" ht="11.25">
      <c r="B1" s="24" t="s">
        <v>44</v>
      </c>
      <c r="H1" s="2" t="s">
        <v>633</v>
      </c>
      <c r="I1" s="2"/>
      <c r="K1" s="340" t="s">
        <v>467</v>
      </c>
      <c r="L1" s="405"/>
      <c r="M1" s="24" t="s">
        <v>44</v>
      </c>
      <c r="R1" s="2" t="s">
        <v>633</v>
      </c>
      <c r="W1" s="340" t="s">
        <v>468</v>
      </c>
    </row>
    <row r="2" spans="1:23">
      <c r="A2" s="35" t="s">
        <v>45</v>
      </c>
      <c r="B2" s="35"/>
      <c r="C2" s="35"/>
      <c r="D2" s="35"/>
      <c r="E2" s="35"/>
      <c r="F2" s="35"/>
      <c r="G2" s="35"/>
      <c r="H2" s="338"/>
      <c r="L2" s="405"/>
      <c r="M2" s="338"/>
      <c r="N2" s="338"/>
    </row>
    <row r="3" spans="1:23">
      <c r="A3" s="22" t="s">
        <v>46</v>
      </c>
      <c r="B3" s="25" t="s">
        <v>469</v>
      </c>
      <c r="C3" s="25"/>
      <c r="D3" s="25"/>
      <c r="E3" s="25"/>
      <c r="F3" s="25"/>
      <c r="G3" s="25"/>
      <c r="H3" s="47" t="s">
        <v>89</v>
      </c>
      <c r="I3" s="42">
        <f>RCL!D2</f>
        <v>44835</v>
      </c>
      <c r="J3" s="44">
        <f>RCL!E2</f>
        <v>44805</v>
      </c>
      <c r="K3" s="42">
        <f>RCL!F2</f>
        <v>44774</v>
      </c>
      <c r="L3" s="42">
        <f>RCL!G2</f>
        <v>44743</v>
      </c>
      <c r="M3" s="44">
        <f>RCL!H2</f>
        <v>44713</v>
      </c>
      <c r="N3" s="42">
        <f>RCL!I2</f>
        <v>44682</v>
      </c>
      <c r="O3" s="44">
        <f>RCL!J2</f>
        <v>44652</v>
      </c>
      <c r="P3" s="42">
        <f>RCL!K2</f>
        <v>44621</v>
      </c>
      <c r="Q3" s="44">
        <f>RCL!L2</f>
        <v>44593</v>
      </c>
      <c r="R3" s="42">
        <f>RCL!M2</f>
        <v>44562</v>
      </c>
      <c r="S3" s="44">
        <f>RCL!N2</f>
        <v>44531</v>
      </c>
      <c r="T3" s="42">
        <f>RCL!O2</f>
        <v>44501</v>
      </c>
    </row>
    <row r="4" spans="1:23">
      <c r="A4" s="10" t="s">
        <v>40</v>
      </c>
      <c r="B4" s="341" t="s">
        <v>92</v>
      </c>
      <c r="C4" s="25"/>
      <c r="D4" s="25"/>
      <c r="E4" s="25"/>
      <c r="F4" s="25"/>
      <c r="G4" s="32" t="s">
        <v>80</v>
      </c>
      <c r="H4" s="48" t="s">
        <v>90</v>
      </c>
      <c r="I4" s="43" t="s">
        <v>34</v>
      </c>
      <c r="J4" s="41" t="s">
        <v>35</v>
      </c>
      <c r="K4" s="43" t="s">
        <v>36</v>
      </c>
      <c r="L4" s="43" t="s">
        <v>37</v>
      </c>
      <c r="M4" s="41" t="s">
        <v>38</v>
      </c>
      <c r="N4" s="43" t="s">
        <v>39</v>
      </c>
      <c r="O4" s="41" t="s">
        <v>83</v>
      </c>
      <c r="P4" s="43" t="s">
        <v>84</v>
      </c>
      <c r="Q4" s="41" t="s">
        <v>85</v>
      </c>
      <c r="R4" s="43" t="s">
        <v>86</v>
      </c>
      <c r="S4" s="41" t="s">
        <v>87</v>
      </c>
      <c r="T4" s="43" t="s">
        <v>88</v>
      </c>
    </row>
    <row r="5" spans="1:23" s="24" customFormat="1">
      <c r="A5" s="40" t="s">
        <v>47</v>
      </c>
      <c r="B5" s="36"/>
      <c r="C5" s="37"/>
      <c r="D5" s="37"/>
      <c r="E5" s="37"/>
      <c r="F5" s="37"/>
      <c r="G5" s="37"/>
      <c r="H5" s="336">
        <f>SUM(I5:T5)</f>
        <v>123936690.40000001</v>
      </c>
      <c r="I5" s="166">
        <f>I6+I7</f>
        <v>10531830.92</v>
      </c>
      <c r="J5" s="166">
        <f>J6+J7</f>
        <v>10367704.5</v>
      </c>
      <c r="K5" s="166">
        <f t="shared" ref="K5:L5" si="0">K6+K7</f>
        <v>10342789.360000001</v>
      </c>
      <c r="L5" s="166">
        <f t="shared" si="0"/>
        <v>10266633.360000001</v>
      </c>
      <c r="M5" s="166">
        <f>M6+M7</f>
        <v>13271057.68</v>
      </c>
      <c r="N5" s="166">
        <f t="shared" ref="N5:T5" si="1">N6+N7</f>
        <v>9786306.4000000004</v>
      </c>
      <c r="O5" s="166">
        <f t="shared" si="1"/>
        <v>9800939.4299999997</v>
      </c>
      <c r="P5" s="166">
        <f t="shared" si="1"/>
        <v>9594937.8899999987</v>
      </c>
      <c r="Q5" s="166">
        <f t="shared" si="1"/>
        <v>9521281.9600000009</v>
      </c>
      <c r="R5" s="166">
        <f t="shared" si="1"/>
        <v>7830866.4000000004</v>
      </c>
      <c r="S5" s="166">
        <f t="shared" si="1"/>
        <v>15244093.890000001</v>
      </c>
      <c r="T5" s="166">
        <f t="shared" si="1"/>
        <v>7378248.6099999994</v>
      </c>
      <c r="V5" s="3"/>
      <c r="W5" s="3"/>
    </row>
    <row r="6" spans="1:23">
      <c r="A6" s="10" t="s">
        <v>48</v>
      </c>
      <c r="B6" s="22"/>
      <c r="C6" s="25"/>
      <c r="D6" s="25"/>
      <c r="E6" s="25"/>
      <c r="F6" s="25"/>
      <c r="G6" s="23" t="s">
        <v>106</v>
      </c>
      <c r="H6" s="46">
        <f>SUM(I6:T6)</f>
        <v>123038208.2</v>
      </c>
      <c r="I6" s="45">
        <v>10439276.02</v>
      </c>
      <c r="J6" s="45">
        <v>10259086.9</v>
      </c>
      <c r="K6" s="45">
        <f>10241440.06</f>
        <v>10241440.060000001</v>
      </c>
      <c r="L6" s="51">
        <f>10173649.96</f>
        <v>10173649.960000001</v>
      </c>
      <c r="M6" s="45">
        <f>13197303.28</f>
        <v>13197303.279999999</v>
      </c>
      <c r="N6" s="45">
        <f>9717453.4</f>
        <v>9717453.4000000004</v>
      </c>
      <c r="O6" s="45">
        <v>9800939.4299999997</v>
      </c>
      <c r="P6" s="45">
        <f>9512897.79</f>
        <v>9512897.7899999991</v>
      </c>
      <c r="Q6" s="45">
        <v>9453129.1600000001</v>
      </c>
      <c r="R6" s="45">
        <v>7753844.4000000004</v>
      </c>
      <c r="S6" s="45">
        <f>15177341.49</f>
        <v>15177341.49</v>
      </c>
      <c r="T6" s="45">
        <f>7311846.31</f>
        <v>7311846.3099999996</v>
      </c>
    </row>
    <row r="7" spans="1:23">
      <c r="A7" s="10" t="s">
        <v>49</v>
      </c>
      <c r="B7" s="19"/>
      <c r="C7" s="35"/>
      <c r="D7" s="35"/>
      <c r="E7" s="35"/>
      <c r="F7" s="35"/>
      <c r="G7" s="20" t="s">
        <v>107</v>
      </c>
      <c r="H7" s="46">
        <f>SUM(I7:T7)</f>
        <v>898482.20000000007</v>
      </c>
      <c r="I7" s="51">
        <f>92554.9</f>
        <v>92554.9</v>
      </c>
      <c r="J7" s="51">
        <f>108617.6</f>
        <v>108617.60000000001</v>
      </c>
      <c r="K7" s="51">
        <f>101349.3</f>
        <v>101349.3</v>
      </c>
      <c r="L7" s="51">
        <f>92983.4</f>
        <v>92983.4</v>
      </c>
      <c r="M7" s="51">
        <f>73754.4</f>
        <v>73754.399999999994</v>
      </c>
      <c r="N7" s="51">
        <f>68853</f>
        <v>68853</v>
      </c>
      <c r="O7" s="51"/>
      <c r="P7" s="51">
        <f>82040.1</f>
        <v>82040.100000000006</v>
      </c>
      <c r="Q7" s="51">
        <f>68152.8</f>
        <v>68152.800000000003</v>
      </c>
      <c r="R7" s="51">
        <v>77022</v>
      </c>
      <c r="S7" s="51">
        <f>66752.4</f>
        <v>66752.399999999994</v>
      </c>
      <c r="T7" s="51">
        <f>66402.3</f>
        <v>66402.3</v>
      </c>
    </row>
    <row r="8" spans="1:23" s="24" customFormat="1">
      <c r="A8" s="32" t="s">
        <v>5</v>
      </c>
      <c r="B8" s="32"/>
      <c r="C8" s="33"/>
      <c r="D8" s="33"/>
      <c r="E8" s="33"/>
      <c r="F8" s="33"/>
      <c r="G8" s="467"/>
      <c r="H8" s="46">
        <f>SUM(I8:T8)</f>
        <v>31898212.780000001</v>
      </c>
      <c r="I8" s="49">
        <f t="shared" ref="I8:N8" si="2">SUM(I10:I19)</f>
        <v>2825463.7399999998</v>
      </c>
      <c r="J8" s="49">
        <f t="shared" si="2"/>
        <v>2581814.14</v>
      </c>
      <c r="K8" s="49">
        <f t="shared" si="2"/>
        <v>2697101.4499999997</v>
      </c>
      <c r="L8" s="49">
        <f t="shared" si="2"/>
        <v>2691175.5</v>
      </c>
      <c r="M8" s="49">
        <f t="shared" si="2"/>
        <v>3605506.35</v>
      </c>
      <c r="N8" s="49">
        <f t="shared" si="2"/>
        <v>2420548.7600000002</v>
      </c>
      <c r="O8" s="49">
        <f t="shared" ref="O8" si="3">SUM(O10:O19)</f>
        <v>2390980.42</v>
      </c>
      <c r="P8" s="49">
        <f t="shared" ref="P8:T8" si="4">SUM(P10:P19)</f>
        <v>2528661.2799999998</v>
      </c>
      <c r="Q8" s="49">
        <f t="shared" si="4"/>
        <v>2297658.2499999995</v>
      </c>
      <c r="R8" s="49">
        <f t="shared" si="4"/>
        <v>2001789.7200000002</v>
      </c>
      <c r="S8" s="49">
        <f t="shared" si="4"/>
        <v>3828455.82</v>
      </c>
      <c r="T8" s="49">
        <f t="shared" si="4"/>
        <v>2029057.35</v>
      </c>
      <c r="U8" s="414"/>
      <c r="V8" s="3"/>
      <c r="W8" s="3"/>
    </row>
    <row r="9" spans="1:23" s="24" customFormat="1">
      <c r="A9" s="32"/>
      <c r="B9" s="32"/>
      <c r="C9" s="33"/>
      <c r="D9" s="33"/>
      <c r="E9" s="33"/>
      <c r="F9" s="33"/>
      <c r="G9" s="34"/>
      <c r="H9" s="46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14"/>
      <c r="V9" s="3"/>
      <c r="W9" s="3"/>
    </row>
    <row r="10" spans="1:23">
      <c r="A10" s="22" t="s">
        <v>94</v>
      </c>
      <c r="B10" s="22"/>
      <c r="C10" s="25"/>
      <c r="D10" s="25"/>
      <c r="E10" s="25"/>
      <c r="F10" s="23"/>
      <c r="G10" s="30" t="s">
        <v>101</v>
      </c>
      <c r="H10" s="46">
        <f t="shared" ref="H10:H46" si="5">SUM(I10:T10)</f>
        <v>26699049.939999998</v>
      </c>
      <c r="I10" s="51">
        <f>2255361.06</f>
        <v>2255361.06</v>
      </c>
      <c r="J10" s="51">
        <f>2237316.49</f>
        <v>2237316.4900000002</v>
      </c>
      <c r="K10" s="51">
        <f>2150516.8</f>
        <v>2150516.7999999998</v>
      </c>
      <c r="L10" s="51">
        <f>2143560.48</f>
        <v>2143560.48</v>
      </c>
      <c r="M10" s="51">
        <f>3187388.92</f>
        <v>3187388.92</v>
      </c>
      <c r="N10" s="51">
        <f>2032469.12</f>
        <v>2032469.12</v>
      </c>
      <c r="O10" s="51">
        <v>2019475.9</v>
      </c>
      <c r="P10" s="51">
        <f>2016240.3</f>
        <v>2016240.3</v>
      </c>
      <c r="Q10" s="51">
        <f>1994589.15</f>
        <v>1994589.15</v>
      </c>
      <c r="R10" s="51">
        <v>1730656.33</v>
      </c>
      <c r="S10" s="51">
        <f>3278600.89</f>
        <v>3278600.89</v>
      </c>
      <c r="T10" s="51">
        <f>1652874.5</f>
        <v>1652874.5</v>
      </c>
    </row>
    <row r="11" spans="1:23">
      <c r="A11" s="21"/>
      <c r="B11" s="19"/>
      <c r="C11" s="35"/>
      <c r="D11" s="35"/>
      <c r="E11" s="35"/>
      <c r="F11" s="35"/>
      <c r="G11" s="10"/>
      <c r="H11" s="46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</row>
    <row r="12" spans="1:23">
      <c r="A12" s="22" t="s">
        <v>50</v>
      </c>
      <c r="B12" s="22"/>
      <c r="C12" s="25"/>
      <c r="D12" s="25"/>
      <c r="E12" s="25"/>
      <c r="F12" s="25"/>
      <c r="G12" s="10" t="s">
        <v>102</v>
      </c>
      <c r="H12" s="46">
        <f t="shared" si="5"/>
        <v>3352241.21</v>
      </c>
      <c r="I12" s="51">
        <f>258383.84</f>
        <v>258383.84</v>
      </c>
      <c r="J12" s="51">
        <f>259648.67</f>
        <v>259648.67</v>
      </c>
      <c r="K12" s="51">
        <f>260359.09</f>
        <v>260359.09</v>
      </c>
      <c r="L12" s="51">
        <f>259109.97</f>
        <v>259109.97</v>
      </c>
      <c r="M12" s="51">
        <f>391636.18</f>
        <v>391636.18</v>
      </c>
      <c r="N12" s="51">
        <f>263289.7</f>
        <v>263289.7</v>
      </c>
      <c r="O12" s="51">
        <v>267062.40999999997</v>
      </c>
      <c r="P12" s="51">
        <v>262246.5</v>
      </c>
      <c r="Q12" s="51">
        <f>266900.34</f>
        <v>266900.34000000003</v>
      </c>
      <c r="R12" s="51">
        <v>224135.64</v>
      </c>
      <c r="S12" s="51">
        <f>425586.98</f>
        <v>425586.98</v>
      </c>
      <c r="T12" s="51">
        <f>213881.89</f>
        <v>213881.89</v>
      </c>
    </row>
    <row r="13" spans="1:23">
      <c r="A13" s="22"/>
      <c r="B13" s="22"/>
      <c r="C13" s="25"/>
      <c r="D13" s="25"/>
      <c r="E13" s="25"/>
      <c r="F13" s="25"/>
      <c r="G13" s="10"/>
      <c r="H13" s="46">
        <f t="shared" si="5"/>
        <v>0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3">
      <c r="A14" s="22" t="s">
        <v>634</v>
      </c>
      <c r="B14" s="22"/>
      <c r="C14" s="25"/>
      <c r="D14" s="25"/>
      <c r="E14" s="25"/>
      <c r="F14" s="441"/>
      <c r="G14" s="10" t="s">
        <v>632</v>
      </c>
      <c r="H14" s="46">
        <f t="shared" si="5"/>
        <v>70636.42</v>
      </c>
      <c r="I14" s="51">
        <f>1613.61</f>
        <v>1613.61</v>
      </c>
      <c r="J14" s="51">
        <f>1613.61</f>
        <v>1613.61</v>
      </c>
      <c r="K14" s="51">
        <f>1613.61</f>
        <v>1613.61</v>
      </c>
      <c r="L14" s="51">
        <f>1613.61</f>
        <v>1613.61</v>
      </c>
      <c r="M14" s="51">
        <v>1613.61</v>
      </c>
      <c r="N14" s="51">
        <f>1613.61</f>
        <v>1613.61</v>
      </c>
      <c r="O14" s="51">
        <v>1613.61</v>
      </c>
      <c r="P14" s="51">
        <f>1613.61</f>
        <v>1613.61</v>
      </c>
      <c r="Q14" s="51">
        <f>1613.61</f>
        <v>1613.61</v>
      </c>
      <c r="R14" s="51">
        <v>1396.82</v>
      </c>
      <c r="S14" s="51">
        <v>53381.19</v>
      </c>
      <c r="T14" s="51">
        <v>1335.92</v>
      </c>
    </row>
    <row r="15" spans="1:23">
      <c r="A15" s="22"/>
      <c r="B15" s="22"/>
      <c r="C15" s="25"/>
      <c r="D15" s="25"/>
      <c r="E15" s="25"/>
      <c r="F15" s="23"/>
      <c r="G15" s="10"/>
      <c r="H15" s="46">
        <f t="shared" si="5"/>
        <v>0</v>
      </c>
      <c r="I15" s="335"/>
      <c r="J15" s="335"/>
      <c r="K15" s="335"/>
      <c r="L15" s="335"/>
      <c r="M15" s="335"/>
      <c r="N15" s="335"/>
      <c r="O15" s="335"/>
      <c r="P15" s="10"/>
      <c r="Q15" s="10"/>
      <c r="R15" s="10"/>
      <c r="S15" s="10"/>
      <c r="T15" s="10"/>
    </row>
    <row r="16" spans="1:23">
      <c r="A16" s="19" t="s">
        <v>51</v>
      </c>
      <c r="B16" s="19"/>
      <c r="C16" s="35"/>
      <c r="D16" s="35"/>
      <c r="E16" s="35"/>
      <c r="F16" s="35"/>
      <c r="G16" s="10" t="s">
        <v>103</v>
      </c>
      <c r="H16" s="46">
        <f t="shared" si="5"/>
        <v>24599.13</v>
      </c>
      <c r="I16" s="51"/>
      <c r="J16" s="51"/>
      <c r="K16" s="51"/>
      <c r="L16" s="51"/>
      <c r="M16" s="51"/>
      <c r="N16" s="51"/>
      <c r="O16" s="51"/>
      <c r="P16" s="51"/>
      <c r="Q16" s="51"/>
      <c r="R16" s="51">
        <v>24599.13</v>
      </c>
      <c r="S16" s="10"/>
      <c r="T16" s="10"/>
    </row>
    <row r="17" spans="1:23">
      <c r="A17" s="22"/>
      <c r="B17" s="22"/>
      <c r="C17" s="25"/>
      <c r="D17" s="25"/>
      <c r="E17" s="25"/>
      <c r="F17" s="23"/>
      <c r="G17" s="10"/>
      <c r="H17" s="46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3">
      <c r="A18" s="27" t="s">
        <v>52</v>
      </c>
      <c r="B18" s="27"/>
      <c r="C18" s="28"/>
      <c r="D18" s="28"/>
      <c r="E18" s="28"/>
      <c r="F18" s="441"/>
      <c r="G18" s="10" t="s">
        <v>93</v>
      </c>
      <c r="H18" s="46">
        <f>SUM(I18:T18)</f>
        <v>1751686.08</v>
      </c>
      <c r="I18" s="62">
        <f>310105.23</f>
        <v>310105.23</v>
      </c>
      <c r="J18" s="62">
        <f>83235.37</f>
        <v>83235.37</v>
      </c>
      <c r="K18" s="62">
        <f>284611.95</f>
        <v>284611.95</v>
      </c>
      <c r="L18" s="62">
        <f>286891.44</f>
        <v>286891.44</v>
      </c>
      <c r="M18" s="62">
        <v>24867.64</v>
      </c>
      <c r="N18" s="62">
        <f>123176.33</f>
        <v>123176.33</v>
      </c>
      <c r="O18" s="62">
        <v>102828.5</v>
      </c>
      <c r="P18" s="62">
        <f>248560.87</f>
        <v>248560.87</v>
      </c>
      <c r="Q18" s="62">
        <f>34555.15</f>
        <v>34555.15</v>
      </c>
      <c r="R18" s="62">
        <v>21001.8</v>
      </c>
      <c r="S18" s="62">
        <f>70886.76</f>
        <v>70886.759999999995</v>
      </c>
      <c r="T18" s="62">
        <f>160965.04</f>
        <v>160965.04</v>
      </c>
    </row>
    <row r="19" spans="1:23">
      <c r="A19" s="52"/>
      <c r="B19" s="53"/>
      <c r="C19" s="25"/>
      <c r="D19" s="25"/>
      <c r="E19" s="25"/>
      <c r="F19" s="25"/>
      <c r="G19" s="665"/>
      <c r="H19" s="46">
        <f>SUM(I19:T19)</f>
        <v>0</v>
      </c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</row>
    <row r="20" spans="1:23" s="24" customFormat="1">
      <c r="A20" s="40" t="s">
        <v>53</v>
      </c>
      <c r="B20" s="36"/>
      <c r="C20" s="37"/>
      <c r="D20" s="37"/>
      <c r="E20" s="37"/>
      <c r="F20" s="37"/>
      <c r="G20" s="15"/>
      <c r="H20" s="46">
        <f>SUM(I20:T20)</f>
        <v>92038477.61999999</v>
      </c>
      <c r="I20" s="50">
        <f t="shared" ref="I20:N20" si="6">I5-I8</f>
        <v>7706367.1799999997</v>
      </c>
      <c r="J20" s="50">
        <f t="shared" si="6"/>
        <v>7785890.3599999994</v>
      </c>
      <c r="K20" s="50">
        <f t="shared" si="6"/>
        <v>7645687.910000002</v>
      </c>
      <c r="L20" s="50">
        <f t="shared" si="6"/>
        <v>7575457.8600000013</v>
      </c>
      <c r="M20" s="50">
        <f t="shared" si="6"/>
        <v>9665551.3300000001</v>
      </c>
      <c r="N20" s="50">
        <f t="shared" si="6"/>
        <v>7365757.6400000006</v>
      </c>
      <c r="O20" s="50">
        <f t="shared" ref="O20:T20" si="7">O5-O8</f>
        <v>7409959.0099999998</v>
      </c>
      <c r="P20" s="50">
        <f t="shared" si="7"/>
        <v>7066276.6099999994</v>
      </c>
      <c r="Q20" s="50">
        <f t="shared" si="7"/>
        <v>7223623.7100000009</v>
      </c>
      <c r="R20" s="50">
        <f t="shared" si="7"/>
        <v>5829076.6799999997</v>
      </c>
      <c r="S20" s="50">
        <f t="shared" si="7"/>
        <v>11415638.07</v>
      </c>
      <c r="T20" s="50">
        <f t="shared" si="7"/>
        <v>5349191.26</v>
      </c>
      <c r="V20" s="3"/>
      <c r="W20" s="3"/>
    </row>
    <row r="21" spans="1:23" s="24" customFormat="1">
      <c r="A21" s="480" t="str">
        <f>RCL!A9</f>
        <v>Repasses p/Assist. Financ. Complementar - ACS (321) - da EC. Nº 120/22</v>
      </c>
      <c r="B21" s="25" t="s">
        <v>676</v>
      </c>
      <c r="C21" s="25"/>
      <c r="D21" s="25"/>
      <c r="E21" s="25"/>
      <c r="F21" s="25"/>
      <c r="G21" s="480" t="str">
        <f>RCL!B9</f>
        <v>1.7.1.8.03.1.1.01.02.01</v>
      </c>
      <c r="H21" s="480">
        <f>RCL!C9</f>
        <v>1164430</v>
      </c>
      <c r="I21" s="480">
        <f>RCL!D9</f>
        <v>104232</v>
      </c>
      <c r="J21" s="480">
        <f>RCL!E9</f>
        <v>104232</v>
      </c>
      <c r="K21" s="480">
        <f>RCL!F9</f>
        <v>104232</v>
      </c>
      <c r="L21" s="480">
        <f>RCL!G9</f>
        <v>196084</v>
      </c>
      <c r="M21" s="480">
        <f>RCL!H9</f>
        <v>72850</v>
      </c>
      <c r="N21" s="480">
        <f>RCL!I9</f>
        <v>72850</v>
      </c>
      <c r="O21" s="480">
        <f>RCL!J9</f>
        <v>97650</v>
      </c>
      <c r="P21" s="480">
        <f>RCL!K9</f>
        <v>48050</v>
      </c>
      <c r="Q21" s="480">
        <f>RCL!L9</f>
        <v>72850</v>
      </c>
      <c r="R21" s="480">
        <f>RCL!M9</f>
        <v>72850</v>
      </c>
      <c r="S21" s="480">
        <f>RCL!N9</f>
        <v>145700</v>
      </c>
      <c r="T21" s="480">
        <f>RCL!O9</f>
        <v>72850</v>
      </c>
      <c r="V21" s="3"/>
      <c r="W21" s="3"/>
    </row>
    <row r="22" spans="1:23" s="24" customFormat="1">
      <c r="A22" s="473"/>
      <c r="B22" s="32"/>
      <c r="C22" s="33"/>
      <c r="D22" s="33"/>
      <c r="E22" s="33"/>
      <c r="F22" s="34"/>
      <c r="G22" s="473"/>
      <c r="H22" s="480">
        <f>RCL!C10</f>
        <v>0</v>
      </c>
      <c r="I22" s="479"/>
      <c r="J22" s="479"/>
      <c r="K22" s="479"/>
      <c r="L22" s="479"/>
      <c r="M22" s="479"/>
      <c r="N22" s="479"/>
      <c r="O22" s="479"/>
      <c r="P22" s="479"/>
      <c r="Q22" s="479"/>
      <c r="R22" s="479"/>
      <c r="S22" s="479"/>
      <c r="T22" s="479"/>
      <c r="V22" s="3"/>
      <c r="W22" s="3"/>
    </row>
    <row r="23" spans="1:23" s="24" customFormat="1">
      <c r="A23" s="473" t="s">
        <v>1230</v>
      </c>
      <c r="B23" s="661"/>
      <c r="C23" s="37"/>
      <c r="D23" s="37"/>
      <c r="E23" s="37"/>
      <c r="F23" s="37"/>
      <c r="G23" s="473" t="s">
        <v>1231</v>
      </c>
      <c r="H23" s="46">
        <f>SUM(I23:T23)</f>
        <v>389881.64999999997</v>
      </c>
      <c r="I23" s="480">
        <f>33464.79</f>
        <v>33464.79</v>
      </c>
      <c r="J23" s="480">
        <v>32845.75</v>
      </c>
      <c r="K23" s="480">
        <v>32522.9</v>
      </c>
      <c r="L23" s="480">
        <v>32138.34</v>
      </c>
      <c r="M23" s="480">
        <v>31832.21</v>
      </c>
      <c r="N23" s="480">
        <v>31828.58</v>
      </c>
      <c r="O23" s="480">
        <v>31936.61</v>
      </c>
      <c r="P23" s="480">
        <v>31666.81</v>
      </c>
      <c r="Q23" s="480">
        <v>33441.86</v>
      </c>
      <c r="R23" s="480">
        <v>28019.439999999999</v>
      </c>
      <c r="S23" s="480">
        <v>47839.66</v>
      </c>
      <c r="T23" s="480">
        <v>22344.7</v>
      </c>
      <c r="V23" s="3"/>
      <c r="W23" s="3"/>
    </row>
    <row r="24" spans="1:23">
      <c r="A24" s="10" t="s">
        <v>54</v>
      </c>
      <c r="B24" s="22"/>
      <c r="C24" s="25"/>
      <c r="D24" s="25"/>
      <c r="E24" s="25"/>
      <c r="F24" s="25"/>
      <c r="G24" s="10" t="s">
        <v>104</v>
      </c>
      <c r="H24" s="46">
        <f t="shared" si="5"/>
        <v>0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3">
      <c r="A25" s="10" t="s">
        <v>55</v>
      </c>
      <c r="B25" s="19"/>
      <c r="C25" s="35"/>
      <c r="D25" s="35"/>
      <c r="E25" s="35"/>
      <c r="F25" s="35"/>
      <c r="G25" s="10" t="s">
        <v>105</v>
      </c>
      <c r="H25" s="46">
        <f t="shared" si="5"/>
        <v>0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3" s="24" customFormat="1">
      <c r="A26" s="15" t="s">
        <v>82</v>
      </c>
      <c r="B26" s="32"/>
      <c r="C26" s="33"/>
      <c r="D26" s="33"/>
      <c r="E26" s="33"/>
      <c r="F26" s="33"/>
      <c r="G26" s="34"/>
      <c r="H26" s="46">
        <f>SUM(I26:T26)</f>
        <v>389881.64999999997</v>
      </c>
      <c r="I26" s="49">
        <f>SUM(I23:I25)</f>
        <v>33464.79</v>
      </c>
      <c r="J26" s="49">
        <f>SUM(J23:J25)</f>
        <v>32845.75</v>
      </c>
      <c r="K26" s="49">
        <f>SUM(K23:K25)</f>
        <v>32522.9</v>
      </c>
      <c r="L26" s="49">
        <f t="shared" ref="L26:T26" si="8">SUM(L23:L25)</f>
        <v>32138.34</v>
      </c>
      <c r="M26" s="49">
        <f t="shared" si="8"/>
        <v>31832.21</v>
      </c>
      <c r="N26" s="49">
        <f t="shared" si="8"/>
        <v>31828.58</v>
      </c>
      <c r="O26" s="49">
        <f t="shared" si="8"/>
        <v>31936.61</v>
      </c>
      <c r="P26" s="49">
        <f t="shared" si="8"/>
        <v>31666.81</v>
      </c>
      <c r="Q26" s="49">
        <f t="shared" si="8"/>
        <v>33441.86</v>
      </c>
      <c r="R26" s="49">
        <f t="shared" si="8"/>
        <v>28019.439999999999</v>
      </c>
      <c r="S26" s="49">
        <f t="shared" si="8"/>
        <v>47839.66</v>
      </c>
      <c r="T26" s="49">
        <f t="shared" si="8"/>
        <v>22344.7</v>
      </c>
    </row>
    <row r="27" spans="1:23">
      <c r="A27" s="10" t="s">
        <v>56</v>
      </c>
      <c r="B27" s="22" t="s">
        <v>81</v>
      </c>
      <c r="C27" s="25"/>
      <c r="D27" s="25"/>
      <c r="E27" s="25"/>
      <c r="F27" s="25"/>
      <c r="G27" s="10"/>
      <c r="H27" s="46">
        <f>SUM(I27:T27)</f>
        <v>141404.08999999799</v>
      </c>
      <c r="I27" s="337">
        <f>(10469865.46-0.01)-I5</f>
        <v>-61965.469999998808</v>
      </c>
      <c r="J27" s="337">
        <f>(10238839.91+31545)-J5</f>
        <v>-97319.589999999851</v>
      </c>
      <c r="K27" s="337">
        <f>(10230543.52+15000)-K5</f>
        <v>-97245.840000001714</v>
      </c>
      <c r="L27" s="337">
        <f>(10162753.42+36500.01)-L5</f>
        <v>-67379.930000001565</v>
      </c>
      <c r="M27" s="337">
        <f>13194520.1-M5</f>
        <v>-76537.580000000075</v>
      </c>
      <c r="N27" s="337">
        <f>9716713.8-N5</f>
        <v>-69592.599999999627</v>
      </c>
      <c r="O27" s="337">
        <f>9788563.69-O5</f>
        <v>-12375.740000000224</v>
      </c>
      <c r="P27" s="337">
        <f>9623865.53-P5</f>
        <v>28927.640000000596</v>
      </c>
      <c r="Q27" s="337">
        <f>9465877.22+649785.6-Q5</f>
        <v>594380.8599999994</v>
      </c>
      <c r="R27" s="337">
        <f>7754356.74+77022-R5</f>
        <v>512.33999999985099</v>
      </c>
      <c r="S27" s="337"/>
      <c r="T27" s="337"/>
    </row>
    <row r="28" spans="1:23">
      <c r="A28" s="26" t="s">
        <v>57</v>
      </c>
      <c r="B28" s="27" t="s">
        <v>81</v>
      </c>
      <c r="C28" s="35"/>
      <c r="D28" s="35"/>
      <c r="E28" s="35"/>
      <c r="F28" s="35"/>
      <c r="G28" s="10"/>
      <c r="H28" s="46">
        <f>SUM(I28:T28)</f>
        <v>-57270.479999998948</v>
      </c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>
        <f>(15143005.9-S6)+(-1283.7-S7)</f>
        <v>-102371.68999999984</v>
      </c>
      <c r="T28" s="51">
        <f>(7288911.42+134438.4)-(T6+T7)</f>
        <v>45101.210000000894</v>
      </c>
    </row>
    <row r="29" spans="1:23" s="24" customFormat="1">
      <c r="A29" s="32" t="s">
        <v>58</v>
      </c>
      <c r="B29" s="33"/>
      <c r="C29" s="33"/>
      <c r="D29" s="33"/>
      <c r="E29" s="33"/>
      <c r="F29" s="33"/>
      <c r="G29" s="339"/>
      <c r="H29" s="46">
        <f>SUM(I29:T29)</f>
        <v>84133.60999999904</v>
      </c>
      <c r="I29" s="49">
        <f>SUM(I27:I28)</f>
        <v>-61965.469999998808</v>
      </c>
      <c r="J29" s="49">
        <f>SUM(J27:J28)</f>
        <v>-97319.589999999851</v>
      </c>
      <c r="K29" s="49">
        <f>SUM(K27:K28)</f>
        <v>-97245.840000001714</v>
      </c>
      <c r="L29" s="49">
        <f t="shared" ref="L29" si="9">SUM(L27:L28)</f>
        <v>-67379.930000001565</v>
      </c>
      <c r="M29" s="49">
        <f>SUM(M27:M28)</f>
        <v>-76537.580000000075</v>
      </c>
      <c r="N29" s="49">
        <f t="shared" ref="N29:T29" si="10">SUM(N27:N28)</f>
        <v>-69592.599999999627</v>
      </c>
      <c r="O29" s="49">
        <f t="shared" si="10"/>
        <v>-12375.740000000224</v>
      </c>
      <c r="P29" s="49">
        <f t="shared" si="10"/>
        <v>28927.640000000596</v>
      </c>
      <c r="Q29" s="49">
        <f t="shared" si="10"/>
        <v>594380.8599999994</v>
      </c>
      <c r="R29" s="49">
        <f t="shared" si="10"/>
        <v>512.33999999985099</v>
      </c>
      <c r="S29" s="49">
        <f t="shared" si="10"/>
        <v>-102371.68999999984</v>
      </c>
      <c r="T29" s="49">
        <f t="shared" si="10"/>
        <v>45101.210000000894</v>
      </c>
    </row>
    <row r="30" spans="1:23">
      <c r="A30" s="29"/>
      <c r="B30" s="19" t="s">
        <v>59</v>
      </c>
      <c r="C30" s="35"/>
      <c r="D30" s="35"/>
      <c r="E30" s="35"/>
      <c r="F30" s="35"/>
      <c r="G30" s="10" t="s">
        <v>61</v>
      </c>
      <c r="H30" s="46">
        <f t="shared" si="5"/>
        <v>0</v>
      </c>
      <c r="I30" s="10"/>
      <c r="J30" s="10"/>
      <c r="K30" s="10"/>
      <c r="L30" s="10"/>
      <c r="M30" s="15"/>
      <c r="N30" s="15"/>
      <c r="O30" s="15"/>
      <c r="P30" s="15"/>
      <c r="Q30" s="15"/>
      <c r="R30" s="15"/>
      <c r="S30" s="15"/>
      <c r="T30" s="15"/>
    </row>
    <row r="31" spans="1:23">
      <c r="A31" s="29" t="s">
        <v>65</v>
      </c>
      <c r="B31" s="22" t="s">
        <v>60</v>
      </c>
      <c r="C31" s="25"/>
      <c r="D31" s="25"/>
      <c r="E31" s="25"/>
      <c r="F31" s="25"/>
      <c r="G31" s="10" t="s">
        <v>62</v>
      </c>
      <c r="H31" s="46">
        <f t="shared" si="5"/>
        <v>0</v>
      </c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1:23">
      <c r="A32" s="30"/>
      <c r="B32" s="21" t="s">
        <v>63</v>
      </c>
      <c r="C32" s="31"/>
      <c r="D32" s="31"/>
      <c r="E32" s="31"/>
      <c r="F32" s="31"/>
      <c r="G32" s="10" t="s">
        <v>64</v>
      </c>
      <c r="H32" s="46">
        <f t="shared" si="5"/>
        <v>0</v>
      </c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</row>
    <row r="33" spans="1:20">
      <c r="A33" s="26"/>
      <c r="B33" s="27" t="s">
        <v>67</v>
      </c>
      <c r="C33" s="28"/>
      <c r="D33" s="28"/>
      <c r="E33" s="28"/>
      <c r="F33" s="28"/>
      <c r="G33" s="10" t="s">
        <v>68</v>
      </c>
      <c r="H33" s="46">
        <f t="shared" si="5"/>
        <v>0</v>
      </c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>
      <c r="A34" s="29" t="s">
        <v>66</v>
      </c>
      <c r="B34" s="22" t="s">
        <v>60</v>
      </c>
      <c r="C34" s="25"/>
      <c r="D34" s="25"/>
      <c r="E34" s="25"/>
      <c r="F34" s="25"/>
      <c r="G34" s="10" t="s">
        <v>62</v>
      </c>
      <c r="H34" s="46">
        <f t="shared" si="5"/>
        <v>0</v>
      </c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>
      <c r="A35" s="29"/>
      <c r="B35" s="21" t="s">
        <v>63</v>
      </c>
      <c r="C35" s="31"/>
      <c r="D35" s="31"/>
      <c r="E35" s="31"/>
      <c r="F35" s="31"/>
      <c r="G35" s="10" t="s">
        <v>64</v>
      </c>
      <c r="H35" s="46">
        <f t="shared" si="5"/>
        <v>0</v>
      </c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>
      <c r="A36" s="30"/>
      <c r="B36" s="22" t="s">
        <v>69</v>
      </c>
      <c r="C36" s="25"/>
      <c r="D36" s="25"/>
      <c r="E36" s="25"/>
      <c r="F36" s="25"/>
      <c r="G36" s="10" t="s">
        <v>70</v>
      </c>
      <c r="H36" s="46">
        <f t="shared" si="5"/>
        <v>0</v>
      </c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>
      <c r="A37" s="26"/>
      <c r="B37" s="27" t="s">
        <v>71</v>
      </c>
      <c r="C37" s="28"/>
      <c r="D37" s="28"/>
      <c r="E37" s="28"/>
      <c r="F37" s="28"/>
      <c r="G37" s="10" t="s">
        <v>72</v>
      </c>
      <c r="H37" s="46">
        <f t="shared" si="5"/>
        <v>0</v>
      </c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>
      <c r="A38" s="29"/>
      <c r="B38" s="22" t="s">
        <v>60</v>
      </c>
      <c r="C38" s="25"/>
      <c r="D38" s="25"/>
      <c r="E38" s="25"/>
      <c r="F38" s="25"/>
      <c r="G38" s="10" t="s">
        <v>62</v>
      </c>
      <c r="H38" s="46">
        <f t="shared" si="5"/>
        <v>0</v>
      </c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>
      <c r="A39" s="29" t="s">
        <v>565</v>
      </c>
      <c r="B39" s="21" t="s">
        <v>63</v>
      </c>
      <c r="C39" s="31"/>
      <c r="D39" s="31"/>
      <c r="E39" s="31"/>
      <c r="F39" s="31"/>
      <c r="G39" s="10" t="s">
        <v>64</v>
      </c>
      <c r="H39" s="46">
        <f t="shared" si="5"/>
        <v>0</v>
      </c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>
      <c r="A40" s="29"/>
      <c r="B40" s="22" t="s">
        <v>69</v>
      </c>
      <c r="C40" s="25"/>
      <c r="D40" s="25"/>
      <c r="E40" s="25"/>
      <c r="F40" s="25"/>
      <c r="G40" s="10" t="s">
        <v>70</v>
      </c>
      <c r="H40" s="46">
        <f t="shared" si="5"/>
        <v>0</v>
      </c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>
      <c r="A41" s="30"/>
      <c r="B41" s="22" t="s">
        <v>74</v>
      </c>
      <c r="C41" s="31"/>
      <c r="D41" s="31"/>
      <c r="E41" s="31"/>
      <c r="F41" s="31"/>
      <c r="G41" s="10" t="s">
        <v>73</v>
      </c>
      <c r="H41" s="46">
        <f t="shared" si="5"/>
        <v>0</v>
      </c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>
      <c r="A42" s="26"/>
      <c r="B42" s="22" t="s">
        <v>60</v>
      </c>
      <c r="C42" s="25"/>
      <c r="D42" s="25"/>
      <c r="E42" s="25"/>
      <c r="F42" s="25"/>
      <c r="G42" s="10" t="s">
        <v>62</v>
      </c>
      <c r="H42" s="46">
        <f t="shared" si="5"/>
        <v>0</v>
      </c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>
      <c r="A43" s="29"/>
      <c r="B43" s="21" t="s">
        <v>63</v>
      </c>
      <c r="C43" s="31"/>
      <c r="D43" s="31"/>
      <c r="E43" s="31"/>
      <c r="F43" s="31"/>
      <c r="G43" s="10" t="s">
        <v>64</v>
      </c>
      <c r="H43" s="46">
        <f t="shared" si="5"/>
        <v>0</v>
      </c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>
      <c r="A44" s="29" t="s">
        <v>566</v>
      </c>
      <c r="B44" s="22" t="s">
        <v>69</v>
      </c>
      <c r="C44" s="25"/>
      <c r="D44" s="25"/>
      <c r="E44" s="25"/>
      <c r="F44" s="25"/>
      <c r="G44" s="10" t="s">
        <v>70</v>
      </c>
      <c r="H44" s="46">
        <f t="shared" si="5"/>
        <v>0</v>
      </c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>
      <c r="A45" s="29"/>
      <c r="B45" s="22" t="s">
        <v>74</v>
      </c>
      <c r="C45" s="31"/>
      <c r="D45" s="31"/>
      <c r="E45" s="31"/>
      <c r="F45" s="31"/>
      <c r="G45" s="10" t="s">
        <v>73</v>
      </c>
      <c r="H45" s="46">
        <f t="shared" si="5"/>
        <v>0</v>
      </c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>
      <c r="A46" s="29"/>
      <c r="B46" s="22" t="s">
        <v>75</v>
      </c>
      <c r="C46" s="31"/>
      <c r="D46" s="31"/>
      <c r="E46" s="31"/>
      <c r="F46" s="31"/>
      <c r="G46" s="10" t="s">
        <v>76</v>
      </c>
      <c r="H46" s="46">
        <f t="shared" si="5"/>
        <v>0</v>
      </c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>
      <c r="A47" s="30"/>
      <c r="B47" s="22" t="s">
        <v>77</v>
      </c>
      <c r="C47" s="31"/>
      <c r="D47" s="31"/>
      <c r="E47" s="31"/>
      <c r="F47" s="31"/>
      <c r="G47" s="10" t="s">
        <v>78</v>
      </c>
      <c r="H47" s="46">
        <f>SUM(I47:T47)</f>
        <v>0</v>
      </c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</row>
    <row r="48" spans="1:20" s="24" customFormat="1">
      <c r="A48" s="32" t="s">
        <v>79</v>
      </c>
      <c r="B48" s="33"/>
      <c r="C48" s="33" t="s">
        <v>466</v>
      </c>
      <c r="D48" s="33"/>
      <c r="E48" s="33"/>
      <c r="F48" s="33"/>
      <c r="G48" s="34"/>
      <c r="H48" s="46">
        <f>SUM(I48:T48)</f>
        <v>0</v>
      </c>
      <c r="I48" s="49">
        <f>SUM(I30:I47)</f>
        <v>0</v>
      </c>
      <c r="J48" s="49">
        <f t="shared" ref="J48:T48" si="11">SUM(J30:J47)</f>
        <v>0</v>
      </c>
      <c r="K48" s="49">
        <f t="shared" si="11"/>
        <v>0</v>
      </c>
      <c r="L48" s="49">
        <f t="shared" si="11"/>
        <v>0</v>
      </c>
      <c r="M48" s="49">
        <f t="shared" si="11"/>
        <v>0</v>
      </c>
      <c r="N48" s="49">
        <f t="shared" si="11"/>
        <v>0</v>
      </c>
      <c r="O48" s="49">
        <f t="shared" si="11"/>
        <v>0</v>
      </c>
      <c r="P48" s="49">
        <f t="shared" si="11"/>
        <v>0</v>
      </c>
      <c r="Q48" s="49">
        <f t="shared" si="11"/>
        <v>0</v>
      </c>
      <c r="R48" s="49">
        <f t="shared" si="11"/>
        <v>0</v>
      </c>
      <c r="S48" s="49">
        <f t="shared" si="11"/>
        <v>0</v>
      </c>
      <c r="T48" s="49">
        <f t="shared" si="11"/>
        <v>0</v>
      </c>
    </row>
    <row r="49" spans="1:20">
      <c r="A49" s="32" t="s">
        <v>91</v>
      </c>
      <c r="B49" s="25"/>
      <c r="C49" s="25"/>
      <c r="D49" s="25"/>
      <c r="E49" s="25"/>
      <c r="F49" s="25"/>
      <c r="G49" s="23"/>
      <c r="H49" s="50">
        <f>H20+H26+H29-(H21+H48)</f>
        <v>91348062.879999995</v>
      </c>
      <c r="I49" s="50">
        <f>I20+I26+I29-(I21+I48)</f>
        <v>7573634.5000000009</v>
      </c>
      <c r="J49" s="50">
        <f t="shared" ref="J49:T49" si="12">J20+J26+J29-(J21+J48)</f>
        <v>7617184.5199999996</v>
      </c>
      <c r="K49" s="50">
        <f t="shared" si="12"/>
        <v>7476732.9700000007</v>
      </c>
      <c r="L49" s="50">
        <f t="shared" si="12"/>
        <v>7344132.2699999996</v>
      </c>
      <c r="M49" s="50">
        <f t="shared" si="12"/>
        <v>9547995.9600000009</v>
      </c>
      <c r="N49" s="50">
        <f t="shared" si="12"/>
        <v>7255143.620000001</v>
      </c>
      <c r="O49" s="50">
        <f t="shared" si="12"/>
        <v>7331869.8799999999</v>
      </c>
      <c r="P49" s="50">
        <f t="shared" si="12"/>
        <v>7078821.0599999996</v>
      </c>
      <c r="Q49" s="50">
        <f t="shared" si="12"/>
        <v>7778596.4300000006</v>
      </c>
      <c r="R49" s="50">
        <f t="shared" si="12"/>
        <v>5784758.46</v>
      </c>
      <c r="S49" s="50">
        <f t="shared" si="12"/>
        <v>11215406.040000001</v>
      </c>
      <c r="T49" s="50">
        <f t="shared" si="12"/>
        <v>5343787.1700000009</v>
      </c>
    </row>
    <row r="50" spans="1:20">
      <c r="A50" s="3" t="s">
        <v>618</v>
      </c>
      <c r="H50" s="367"/>
    </row>
    <row r="51" spans="1:20">
      <c r="H51" s="367"/>
      <c r="I51" s="405"/>
    </row>
    <row r="53" spans="1:20">
      <c r="G53" s="442"/>
    </row>
    <row r="54" spans="1:20">
      <c r="G54" s="442"/>
    </row>
    <row r="56" spans="1:20" s="57" customFormat="1" ht="11.25">
      <c r="A56" s="54"/>
      <c r="H56" s="167"/>
      <c r="N56" s="55" t="s">
        <v>95</v>
      </c>
      <c r="O56" s="54"/>
      <c r="P56" s="56" t="s">
        <v>96</v>
      </c>
      <c r="Q56" s="56"/>
      <c r="S56" s="58" t="s">
        <v>97</v>
      </c>
    </row>
    <row r="57" spans="1:20" s="59" customFormat="1" ht="11.25">
      <c r="A57" s="54"/>
      <c r="N57" s="55" t="s">
        <v>98</v>
      </c>
      <c r="O57" s="54"/>
      <c r="P57" s="56" t="s">
        <v>99</v>
      </c>
      <c r="Q57" s="56"/>
      <c r="R57" s="57"/>
      <c r="S57" s="58" t="s">
        <v>100</v>
      </c>
    </row>
    <row r="58" spans="1:20">
      <c r="L58" s="405"/>
    </row>
    <row r="63" spans="1:20">
      <c r="I63" s="367"/>
    </row>
  </sheetData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B2:R59"/>
  <sheetViews>
    <sheetView workbookViewId="0">
      <selection activeCell="N7" sqref="N7"/>
    </sheetView>
  </sheetViews>
  <sheetFormatPr defaultRowHeight="8.25"/>
  <cols>
    <col min="1" max="1" width="1.28515625" style="59" customWidth="1"/>
    <col min="2" max="2" width="16.7109375" style="59" customWidth="1"/>
    <col min="3" max="3" width="9.7109375" style="59" customWidth="1"/>
    <col min="4" max="4" width="8.85546875" style="59" customWidth="1"/>
    <col min="5" max="5" width="9" style="59" customWidth="1"/>
    <col min="6" max="6" width="9.140625" style="59" customWidth="1"/>
    <col min="7" max="7" width="9.28515625" style="59" customWidth="1"/>
    <col min="8" max="8" width="9.140625" style="59" customWidth="1"/>
    <col min="9" max="9" width="9" style="59" customWidth="1"/>
    <col min="10" max="10" width="8.85546875" style="59" bestFit="1" customWidth="1"/>
    <col min="11" max="11" width="8.85546875" style="59" customWidth="1"/>
    <col min="12" max="12" width="9" style="59" bestFit="1" customWidth="1"/>
    <col min="13" max="13" width="9" style="59" customWidth="1"/>
    <col min="14" max="14" width="8.85546875" style="59" customWidth="1"/>
    <col min="15" max="15" width="9" style="59" customWidth="1"/>
    <col min="16" max="16" width="9.140625" style="59"/>
    <col min="17" max="17" width="9.42578125" style="59" bestFit="1" customWidth="1"/>
    <col min="18" max="18" width="9.140625" style="59"/>
    <col min="19" max="19" width="24.140625" style="59" bestFit="1" customWidth="1"/>
    <col min="20" max="20" width="10.42578125" style="59" customWidth="1"/>
    <col min="21" max="21" width="10.28515625" style="59" customWidth="1"/>
    <col min="22" max="256" width="9.140625" style="59"/>
    <col min="257" max="257" width="6.140625" style="59" customWidth="1"/>
    <col min="258" max="258" width="16.7109375" style="59" customWidth="1"/>
    <col min="259" max="260" width="9.85546875" style="59" bestFit="1" customWidth="1"/>
    <col min="261" max="261" width="9.140625" style="59" bestFit="1" customWidth="1"/>
    <col min="262" max="262" width="9.140625" style="59"/>
    <col min="263" max="263" width="9" style="59" customWidth="1"/>
    <col min="264" max="264" width="9.140625" style="59" bestFit="1" customWidth="1"/>
    <col min="265" max="265" width="9" style="59" customWidth="1"/>
    <col min="266" max="266" width="8.85546875" style="59" bestFit="1" customWidth="1"/>
    <col min="267" max="267" width="9.140625" style="59"/>
    <col min="268" max="268" width="8.85546875" style="59" bestFit="1" customWidth="1"/>
    <col min="269" max="269" width="9" style="59" bestFit="1" customWidth="1"/>
    <col min="270" max="270" width="9" style="59" customWidth="1"/>
    <col min="271" max="271" width="8.85546875" style="59" bestFit="1" customWidth="1"/>
    <col min="272" max="274" width="9.140625" style="59"/>
    <col min="275" max="275" width="24.140625" style="59" bestFit="1" customWidth="1"/>
    <col min="276" max="276" width="10.42578125" style="59" customWidth="1"/>
    <col min="277" max="277" width="10.28515625" style="59" customWidth="1"/>
    <col min="278" max="512" width="9.140625" style="59"/>
    <col min="513" max="513" width="6.140625" style="59" customWidth="1"/>
    <col min="514" max="514" width="16.7109375" style="59" customWidth="1"/>
    <col min="515" max="516" width="9.85546875" style="59" bestFit="1" customWidth="1"/>
    <col min="517" max="517" width="9.140625" style="59" bestFit="1" customWidth="1"/>
    <col min="518" max="518" width="9.140625" style="59"/>
    <col min="519" max="519" width="9" style="59" customWidth="1"/>
    <col min="520" max="520" width="9.140625" style="59" bestFit="1" customWidth="1"/>
    <col min="521" max="521" width="9" style="59" customWidth="1"/>
    <col min="522" max="522" width="8.85546875" style="59" bestFit="1" customWidth="1"/>
    <col min="523" max="523" width="9.140625" style="59"/>
    <col min="524" max="524" width="8.85546875" style="59" bestFit="1" customWidth="1"/>
    <col min="525" max="525" width="9" style="59" bestFit="1" customWidth="1"/>
    <col min="526" max="526" width="9" style="59" customWidth="1"/>
    <col min="527" max="527" width="8.85546875" style="59" bestFit="1" customWidth="1"/>
    <col min="528" max="530" width="9.140625" style="59"/>
    <col min="531" max="531" width="24.140625" style="59" bestFit="1" customWidth="1"/>
    <col min="532" max="532" width="10.42578125" style="59" customWidth="1"/>
    <col min="533" max="533" width="10.28515625" style="59" customWidth="1"/>
    <col min="534" max="768" width="9.140625" style="59"/>
    <col min="769" max="769" width="6.140625" style="59" customWidth="1"/>
    <col min="770" max="770" width="16.7109375" style="59" customWidth="1"/>
    <col min="771" max="772" width="9.85546875" style="59" bestFit="1" customWidth="1"/>
    <col min="773" max="773" width="9.140625" style="59" bestFit="1" customWidth="1"/>
    <col min="774" max="774" width="9.140625" style="59"/>
    <col min="775" max="775" width="9" style="59" customWidth="1"/>
    <col min="776" max="776" width="9.140625" style="59" bestFit="1" customWidth="1"/>
    <col min="777" max="777" width="9" style="59" customWidth="1"/>
    <col min="778" max="778" width="8.85546875" style="59" bestFit="1" customWidth="1"/>
    <col min="779" max="779" width="9.140625" style="59"/>
    <col min="780" max="780" width="8.85546875" style="59" bestFit="1" customWidth="1"/>
    <col min="781" max="781" width="9" style="59" bestFit="1" customWidth="1"/>
    <col min="782" max="782" width="9" style="59" customWidth="1"/>
    <col min="783" max="783" width="8.85546875" style="59" bestFit="1" customWidth="1"/>
    <col min="784" max="786" width="9.140625" style="59"/>
    <col min="787" max="787" width="24.140625" style="59" bestFit="1" customWidth="1"/>
    <col min="788" max="788" width="10.42578125" style="59" customWidth="1"/>
    <col min="789" max="789" width="10.28515625" style="59" customWidth="1"/>
    <col min="790" max="1024" width="9.140625" style="59"/>
    <col min="1025" max="1025" width="6.140625" style="59" customWidth="1"/>
    <col min="1026" max="1026" width="16.7109375" style="59" customWidth="1"/>
    <col min="1027" max="1028" width="9.85546875" style="59" bestFit="1" customWidth="1"/>
    <col min="1029" max="1029" width="9.140625" style="59" bestFit="1" customWidth="1"/>
    <col min="1030" max="1030" width="9.140625" style="59"/>
    <col min="1031" max="1031" width="9" style="59" customWidth="1"/>
    <col min="1032" max="1032" width="9.140625" style="59" bestFit="1" customWidth="1"/>
    <col min="1033" max="1033" width="9" style="59" customWidth="1"/>
    <col min="1034" max="1034" width="8.85546875" style="59" bestFit="1" customWidth="1"/>
    <col min="1035" max="1035" width="9.140625" style="59"/>
    <col min="1036" max="1036" width="8.85546875" style="59" bestFit="1" customWidth="1"/>
    <col min="1037" max="1037" width="9" style="59" bestFit="1" customWidth="1"/>
    <col min="1038" max="1038" width="9" style="59" customWidth="1"/>
    <col min="1039" max="1039" width="8.85546875" style="59" bestFit="1" customWidth="1"/>
    <col min="1040" max="1042" width="9.140625" style="59"/>
    <col min="1043" max="1043" width="24.140625" style="59" bestFit="1" customWidth="1"/>
    <col min="1044" max="1044" width="10.42578125" style="59" customWidth="1"/>
    <col min="1045" max="1045" width="10.28515625" style="59" customWidth="1"/>
    <col min="1046" max="1280" width="9.140625" style="59"/>
    <col min="1281" max="1281" width="6.140625" style="59" customWidth="1"/>
    <col min="1282" max="1282" width="16.7109375" style="59" customWidth="1"/>
    <col min="1283" max="1284" width="9.85546875" style="59" bestFit="1" customWidth="1"/>
    <col min="1285" max="1285" width="9.140625" style="59" bestFit="1" customWidth="1"/>
    <col min="1286" max="1286" width="9.140625" style="59"/>
    <col min="1287" max="1287" width="9" style="59" customWidth="1"/>
    <col min="1288" max="1288" width="9.140625" style="59" bestFit="1" customWidth="1"/>
    <col min="1289" max="1289" width="9" style="59" customWidth="1"/>
    <col min="1290" max="1290" width="8.85546875" style="59" bestFit="1" customWidth="1"/>
    <col min="1291" max="1291" width="9.140625" style="59"/>
    <col min="1292" max="1292" width="8.85546875" style="59" bestFit="1" customWidth="1"/>
    <col min="1293" max="1293" width="9" style="59" bestFit="1" customWidth="1"/>
    <col min="1294" max="1294" width="9" style="59" customWidth="1"/>
    <col min="1295" max="1295" width="8.85546875" style="59" bestFit="1" customWidth="1"/>
    <col min="1296" max="1298" width="9.140625" style="59"/>
    <col min="1299" max="1299" width="24.140625" style="59" bestFit="1" customWidth="1"/>
    <col min="1300" max="1300" width="10.42578125" style="59" customWidth="1"/>
    <col min="1301" max="1301" width="10.28515625" style="59" customWidth="1"/>
    <col min="1302" max="1536" width="9.140625" style="59"/>
    <col min="1537" max="1537" width="6.140625" style="59" customWidth="1"/>
    <col min="1538" max="1538" width="16.7109375" style="59" customWidth="1"/>
    <col min="1539" max="1540" width="9.85546875" style="59" bestFit="1" customWidth="1"/>
    <col min="1541" max="1541" width="9.140625" style="59" bestFit="1" customWidth="1"/>
    <col min="1542" max="1542" width="9.140625" style="59"/>
    <col min="1543" max="1543" width="9" style="59" customWidth="1"/>
    <col min="1544" max="1544" width="9.140625" style="59" bestFit="1" customWidth="1"/>
    <col min="1545" max="1545" width="9" style="59" customWidth="1"/>
    <col min="1546" max="1546" width="8.85546875" style="59" bestFit="1" customWidth="1"/>
    <col min="1547" max="1547" width="9.140625" style="59"/>
    <col min="1548" max="1548" width="8.85546875" style="59" bestFit="1" customWidth="1"/>
    <col min="1549" max="1549" width="9" style="59" bestFit="1" customWidth="1"/>
    <col min="1550" max="1550" width="9" style="59" customWidth="1"/>
    <col min="1551" max="1551" width="8.85546875" style="59" bestFit="1" customWidth="1"/>
    <col min="1552" max="1554" width="9.140625" style="59"/>
    <col min="1555" max="1555" width="24.140625" style="59" bestFit="1" customWidth="1"/>
    <col min="1556" max="1556" width="10.42578125" style="59" customWidth="1"/>
    <col min="1557" max="1557" width="10.28515625" style="59" customWidth="1"/>
    <col min="1558" max="1792" width="9.140625" style="59"/>
    <col min="1793" max="1793" width="6.140625" style="59" customWidth="1"/>
    <col min="1794" max="1794" width="16.7109375" style="59" customWidth="1"/>
    <col min="1795" max="1796" width="9.85546875" style="59" bestFit="1" customWidth="1"/>
    <col min="1797" max="1797" width="9.140625" style="59" bestFit="1" customWidth="1"/>
    <col min="1798" max="1798" width="9.140625" style="59"/>
    <col min="1799" max="1799" width="9" style="59" customWidth="1"/>
    <col min="1800" max="1800" width="9.140625" style="59" bestFit="1" customWidth="1"/>
    <col min="1801" max="1801" width="9" style="59" customWidth="1"/>
    <col min="1802" max="1802" width="8.85546875" style="59" bestFit="1" customWidth="1"/>
    <col min="1803" max="1803" width="9.140625" style="59"/>
    <col min="1804" max="1804" width="8.85546875" style="59" bestFit="1" customWidth="1"/>
    <col min="1805" max="1805" width="9" style="59" bestFit="1" customWidth="1"/>
    <col min="1806" max="1806" width="9" style="59" customWidth="1"/>
    <col min="1807" max="1807" width="8.85546875" style="59" bestFit="1" customWidth="1"/>
    <col min="1808" max="1810" width="9.140625" style="59"/>
    <col min="1811" max="1811" width="24.140625" style="59" bestFit="1" customWidth="1"/>
    <col min="1812" max="1812" width="10.42578125" style="59" customWidth="1"/>
    <col min="1813" max="1813" width="10.28515625" style="59" customWidth="1"/>
    <col min="1814" max="2048" width="9.140625" style="59"/>
    <col min="2049" max="2049" width="6.140625" style="59" customWidth="1"/>
    <col min="2050" max="2050" width="16.7109375" style="59" customWidth="1"/>
    <col min="2051" max="2052" width="9.85546875" style="59" bestFit="1" customWidth="1"/>
    <col min="2053" max="2053" width="9.140625" style="59" bestFit="1" customWidth="1"/>
    <col min="2054" max="2054" width="9.140625" style="59"/>
    <col min="2055" max="2055" width="9" style="59" customWidth="1"/>
    <col min="2056" max="2056" width="9.140625" style="59" bestFit="1" customWidth="1"/>
    <col min="2057" max="2057" width="9" style="59" customWidth="1"/>
    <col min="2058" max="2058" width="8.85546875" style="59" bestFit="1" customWidth="1"/>
    <col min="2059" max="2059" width="9.140625" style="59"/>
    <col min="2060" max="2060" width="8.85546875" style="59" bestFit="1" customWidth="1"/>
    <col min="2061" max="2061" width="9" style="59" bestFit="1" customWidth="1"/>
    <col min="2062" max="2062" width="9" style="59" customWidth="1"/>
    <col min="2063" max="2063" width="8.85546875" style="59" bestFit="1" customWidth="1"/>
    <col min="2064" max="2066" width="9.140625" style="59"/>
    <col min="2067" max="2067" width="24.140625" style="59" bestFit="1" customWidth="1"/>
    <col min="2068" max="2068" width="10.42578125" style="59" customWidth="1"/>
    <col min="2069" max="2069" width="10.28515625" style="59" customWidth="1"/>
    <col min="2070" max="2304" width="9.140625" style="59"/>
    <col min="2305" max="2305" width="6.140625" style="59" customWidth="1"/>
    <col min="2306" max="2306" width="16.7109375" style="59" customWidth="1"/>
    <col min="2307" max="2308" width="9.85546875" style="59" bestFit="1" customWidth="1"/>
    <col min="2309" max="2309" width="9.140625" style="59" bestFit="1" customWidth="1"/>
    <col min="2310" max="2310" width="9.140625" style="59"/>
    <col min="2311" max="2311" width="9" style="59" customWidth="1"/>
    <col min="2312" max="2312" width="9.140625" style="59" bestFit="1" customWidth="1"/>
    <col min="2313" max="2313" width="9" style="59" customWidth="1"/>
    <col min="2314" max="2314" width="8.85546875" style="59" bestFit="1" customWidth="1"/>
    <col min="2315" max="2315" width="9.140625" style="59"/>
    <col min="2316" max="2316" width="8.85546875" style="59" bestFit="1" customWidth="1"/>
    <col min="2317" max="2317" width="9" style="59" bestFit="1" customWidth="1"/>
    <col min="2318" max="2318" width="9" style="59" customWidth="1"/>
    <col min="2319" max="2319" width="8.85546875" style="59" bestFit="1" customWidth="1"/>
    <col min="2320" max="2322" width="9.140625" style="59"/>
    <col min="2323" max="2323" width="24.140625" style="59" bestFit="1" customWidth="1"/>
    <col min="2324" max="2324" width="10.42578125" style="59" customWidth="1"/>
    <col min="2325" max="2325" width="10.28515625" style="59" customWidth="1"/>
    <col min="2326" max="2560" width="9.140625" style="59"/>
    <col min="2561" max="2561" width="6.140625" style="59" customWidth="1"/>
    <col min="2562" max="2562" width="16.7109375" style="59" customWidth="1"/>
    <col min="2563" max="2564" width="9.85546875" style="59" bestFit="1" customWidth="1"/>
    <col min="2565" max="2565" width="9.140625" style="59" bestFit="1" customWidth="1"/>
    <col min="2566" max="2566" width="9.140625" style="59"/>
    <col min="2567" max="2567" width="9" style="59" customWidth="1"/>
    <col min="2568" max="2568" width="9.140625" style="59" bestFit="1" customWidth="1"/>
    <col min="2569" max="2569" width="9" style="59" customWidth="1"/>
    <col min="2570" max="2570" width="8.85546875" style="59" bestFit="1" customWidth="1"/>
    <col min="2571" max="2571" width="9.140625" style="59"/>
    <col min="2572" max="2572" width="8.85546875" style="59" bestFit="1" customWidth="1"/>
    <col min="2573" max="2573" width="9" style="59" bestFit="1" customWidth="1"/>
    <col min="2574" max="2574" width="9" style="59" customWidth="1"/>
    <col min="2575" max="2575" width="8.85546875" style="59" bestFit="1" customWidth="1"/>
    <col min="2576" max="2578" width="9.140625" style="59"/>
    <col min="2579" max="2579" width="24.140625" style="59" bestFit="1" customWidth="1"/>
    <col min="2580" max="2580" width="10.42578125" style="59" customWidth="1"/>
    <col min="2581" max="2581" width="10.28515625" style="59" customWidth="1"/>
    <col min="2582" max="2816" width="9.140625" style="59"/>
    <col min="2817" max="2817" width="6.140625" style="59" customWidth="1"/>
    <col min="2818" max="2818" width="16.7109375" style="59" customWidth="1"/>
    <col min="2819" max="2820" width="9.85546875" style="59" bestFit="1" customWidth="1"/>
    <col min="2821" max="2821" width="9.140625" style="59" bestFit="1" customWidth="1"/>
    <col min="2822" max="2822" width="9.140625" style="59"/>
    <col min="2823" max="2823" width="9" style="59" customWidth="1"/>
    <col min="2824" max="2824" width="9.140625" style="59" bestFit="1" customWidth="1"/>
    <col min="2825" max="2825" width="9" style="59" customWidth="1"/>
    <col min="2826" max="2826" width="8.85546875" style="59" bestFit="1" customWidth="1"/>
    <col min="2827" max="2827" width="9.140625" style="59"/>
    <col min="2828" max="2828" width="8.85546875" style="59" bestFit="1" customWidth="1"/>
    <col min="2829" max="2829" width="9" style="59" bestFit="1" customWidth="1"/>
    <col min="2830" max="2830" width="9" style="59" customWidth="1"/>
    <col min="2831" max="2831" width="8.85546875" style="59" bestFit="1" customWidth="1"/>
    <col min="2832" max="2834" width="9.140625" style="59"/>
    <col min="2835" max="2835" width="24.140625" style="59" bestFit="1" customWidth="1"/>
    <col min="2836" max="2836" width="10.42578125" style="59" customWidth="1"/>
    <col min="2837" max="2837" width="10.28515625" style="59" customWidth="1"/>
    <col min="2838" max="3072" width="9.140625" style="59"/>
    <col min="3073" max="3073" width="6.140625" style="59" customWidth="1"/>
    <col min="3074" max="3074" width="16.7109375" style="59" customWidth="1"/>
    <col min="3075" max="3076" width="9.85546875" style="59" bestFit="1" customWidth="1"/>
    <col min="3077" max="3077" width="9.140625" style="59" bestFit="1" customWidth="1"/>
    <col min="3078" max="3078" width="9.140625" style="59"/>
    <col min="3079" max="3079" width="9" style="59" customWidth="1"/>
    <col min="3080" max="3080" width="9.140625" style="59" bestFit="1" customWidth="1"/>
    <col min="3081" max="3081" width="9" style="59" customWidth="1"/>
    <col min="3082" max="3082" width="8.85546875" style="59" bestFit="1" customWidth="1"/>
    <col min="3083" max="3083" width="9.140625" style="59"/>
    <col min="3084" max="3084" width="8.85546875" style="59" bestFit="1" customWidth="1"/>
    <col min="3085" max="3085" width="9" style="59" bestFit="1" customWidth="1"/>
    <col min="3086" max="3086" width="9" style="59" customWidth="1"/>
    <col min="3087" max="3087" width="8.85546875" style="59" bestFit="1" customWidth="1"/>
    <col min="3088" max="3090" width="9.140625" style="59"/>
    <col min="3091" max="3091" width="24.140625" style="59" bestFit="1" customWidth="1"/>
    <col min="3092" max="3092" width="10.42578125" style="59" customWidth="1"/>
    <col min="3093" max="3093" width="10.28515625" style="59" customWidth="1"/>
    <col min="3094" max="3328" width="9.140625" style="59"/>
    <col min="3329" max="3329" width="6.140625" style="59" customWidth="1"/>
    <col min="3330" max="3330" width="16.7109375" style="59" customWidth="1"/>
    <col min="3331" max="3332" width="9.85546875" style="59" bestFit="1" customWidth="1"/>
    <col min="3333" max="3333" width="9.140625" style="59" bestFit="1" customWidth="1"/>
    <col min="3334" max="3334" width="9.140625" style="59"/>
    <col min="3335" max="3335" width="9" style="59" customWidth="1"/>
    <col min="3336" max="3336" width="9.140625" style="59" bestFit="1" customWidth="1"/>
    <col min="3337" max="3337" width="9" style="59" customWidth="1"/>
    <col min="3338" max="3338" width="8.85546875" style="59" bestFit="1" customWidth="1"/>
    <col min="3339" max="3339" width="9.140625" style="59"/>
    <col min="3340" max="3340" width="8.85546875" style="59" bestFit="1" customWidth="1"/>
    <col min="3341" max="3341" width="9" style="59" bestFit="1" customWidth="1"/>
    <col min="3342" max="3342" width="9" style="59" customWidth="1"/>
    <col min="3343" max="3343" width="8.85546875" style="59" bestFit="1" customWidth="1"/>
    <col min="3344" max="3346" width="9.140625" style="59"/>
    <col min="3347" max="3347" width="24.140625" style="59" bestFit="1" customWidth="1"/>
    <col min="3348" max="3348" width="10.42578125" style="59" customWidth="1"/>
    <col min="3349" max="3349" width="10.28515625" style="59" customWidth="1"/>
    <col min="3350" max="3584" width="9.140625" style="59"/>
    <col min="3585" max="3585" width="6.140625" style="59" customWidth="1"/>
    <col min="3586" max="3586" width="16.7109375" style="59" customWidth="1"/>
    <col min="3587" max="3588" width="9.85546875" style="59" bestFit="1" customWidth="1"/>
    <col min="3589" max="3589" width="9.140625" style="59" bestFit="1" customWidth="1"/>
    <col min="3590" max="3590" width="9.140625" style="59"/>
    <col min="3591" max="3591" width="9" style="59" customWidth="1"/>
    <col min="3592" max="3592" width="9.140625" style="59" bestFit="1" customWidth="1"/>
    <col min="3593" max="3593" width="9" style="59" customWidth="1"/>
    <col min="3594" max="3594" width="8.85546875" style="59" bestFit="1" customWidth="1"/>
    <col min="3595" max="3595" width="9.140625" style="59"/>
    <col min="3596" max="3596" width="8.85546875" style="59" bestFit="1" customWidth="1"/>
    <col min="3597" max="3597" width="9" style="59" bestFit="1" customWidth="1"/>
    <col min="3598" max="3598" width="9" style="59" customWidth="1"/>
    <col min="3599" max="3599" width="8.85546875" style="59" bestFit="1" customWidth="1"/>
    <col min="3600" max="3602" width="9.140625" style="59"/>
    <col min="3603" max="3603" width="24.140625" style="59" bestFit="1" customWidth="1"/>
    <col min="3604" max="3604" width="10.42578125" style="59" customWidth="1"/>
    <col min="3605" max="3605" width="10.28515625" style="59" customWidth="1"/>
    <col min="3606" max="3840" width="9.140625" style="59"/>
    <col min="3841" max="3841" width="6.140625" style="59" customWidth="1"/>
    <col min="3842" max="3842" width="16.7109375" style="59" customWidth="1"/>
    <col min="3843" max="3844" width="9.85546875" style="59" bestFit="1" customWidth="1"/>
    <col min="3845" max="3845" width="9.140625" style="59" bestFit="1" customWidth="1"/>
    <col min="3846" max="3846" width="9.140625" style="59"/>
    <col min="3847" max="3847" width="9" style="59" customWidth="1"/>
    <col min="3848" max="3848" width="9.140625" style="59" bestFit="1" customWidth="1"/>
    <col min="3849" max="3849" width="9" style="59" customWidth="1"/>
    <col min="3850" max="3850" width="8.85546875" style="59" bestFit="1" customWidth="1"/>
    <col min="3851" max="3851" width="9.140625" style="59"/>
    <col min="3852" max="3852" width="8.85546875" style="59" bestFit="1" customWidth="1"/>
    <col min="3853" max="3853" width="9" style="59" bestFit="1" customWidth="1"/>
    <col min="3854" max="3854" width="9" style="59" customWidth="1"/>
    <col min="3855" max="3855" width="8.85546875" style="59" bestFit="1" customWidth="1"/>
    <col min="3856" max="3858" width="9.140625" style="59"/>
    <col min="3859" max="3859" width="24.140625" style="59" bestFit="1" customWidth="1"/>
    <col min="3860" max="3860" width="10.42578125" style="59" customWidth="1"/>
    <col min="3861" max="3861" width="10.28515625" style="59" customWidth="1"/>
    <col min="3862" max="4096" width="9.140625" style="59"/>
    <col min="4097" max="4097" width="6.140625" style="59" customWidth="1"/>
    <col min="4098" max="4098" width="16.7109375" style="59" customWidth="1"/>
    <col min="4099" max="4100" width="9.85546875" style="59" bestFit="1" customWidth="1"/>
    <col min="4101" max="4101" width="9.140625" style="59" bestFit="1" customWidth="1"/>
    <col min="4102" max="4102" width="9.140625" style="59"/>
    <col min="4103" max="4103" width="9" style="59" customWidth="1"/>
    <col min="4104" max="4104" width="9.140625" style="59" bestFit="1" customWidth="1"/>
    <col min="4105" max="4105" width="9" style="59" customWidth="1"/>
    <col min="4106" max="4106" width="8.85546875" style="59" bestFit="1" customWidth="1"/>
    <col min="4107" max="4107" width="9.140625" style="59"/>
    <col min="4108" max="4108" width="8.85546875" style="59" bestFit="1" customWidth="1"/>
    <col min="4109" max="4109" width="9" style="59" bestFit="1" customWidth="1"/>
    <col min="4110" max="4110" width="9" style="59" customWidth="1"/>
    <col min="4111" max="4111" width="8.85546875" style="59" bestFit="1" customWidth="1"/>
    <col min="4112" max="4114" width="9.140625" style="59"/>
    <col min="4115" max="4115" width="24.140625" style="59" bestFit="1" customWidth="1"/>
    <col min="4116" max="4116" width="10.42578125" style="59" customWidth="1"/>
    <col min="4117" max="4117" width="10.28515625" style="59" customWidth="1"/>
    <col min="4118" max="4352" width="9.140625" style="59"/>
    <col min="4353" max="4353" width="6.140625" style="59" customWidth="1"/>
    <col min="4354" max="4354" width="16.7109375" style="59" customWidth="1"/>
    <col min="4355" max="4356" width="9.85546875" style="59" bestFit="1" customWidth="1"/>
    <col min="4357" max="4357" width="9.140625" style="59" bestFit="1" customWidth="1"/>
    <col min="4358" max="4358" width="9.140625" style="59"/>
    <col min="4359" max="4359" width="9" style="59" customWidth="1"/>
    <col min="4360" max="4360" width="9.140625" style="59" bestFit="1" customWidth="1"/>
    <col min="4361" max="4361" width="9" style="59" customWidth="1"/>
    <col min="4362" max="4362" width="8.85546875" style="59" bestFit="1" customWidth="1"/>
    <col min="4363" max="4363" width="9.140625" style="59"/>
    <col min="4364" max="4364" width="8.85546875" style="59" bestFit="1" customWidth="1"/>
    <col min="4365" max="4365" width="9" style="59" bestFit="1" customWidth="1"/>
    <col min="4366" max="4366" width="9" style="59" customWidth="1"/>
    <col min="4367" max="4367" width="8.85546875" style="59" bestFit="1" customWidth="1"/>
    <col min="4368" max="4370" width="9.140625" style="59"/>
    <col min="4371" max="4371" width="24.140625" style="59" bestFit="1" customWidth="1"/>
    <col min="4372" max="4372" width="10.42578125" style="59" customWidth="1"/>
    <col min="4373" max="4373" width="10.28515625" style="59" customWidth="1"/>
    <col min="4374" max="4608" width="9.140625" style="59"/>
    <col min="4609" max="4609" width="6.140625" style="59" customWidth="1"/>
    <col min="4610" max="4610" width="16.7109375" style="59" customWidth="1"/>
    <col min="4611" max="4612" width="9.85546875" style="59" bestFit="1" customWidth="1"/>
    <col min="4613" max="4613" width="9.140625" style="59" bestFit="1" customWidth="1"/>
    <col min="4614" max="4614" width="9.140625" style="59"/>
    <col min="4615" max="4615" width="9" style="59" customWidth="1"/>
    <col min="4616" max="4616" width="9.140625" style="59" bestFit="1" customWidth="1"/>
    <col min="4617" max="4617" width="9" style="59" customWidth="1"/>
    <col min="4618" max="4618" width="8.85546875" style="59" bestFit="1" customWidth="1"/>
    <col min="4619" max="4619" width="9.140625" style="59"/>
    <col min="4620" max="4620" width="8.85546875" style="59" bestFit="1" customWidth="1"/>
    <col min="4621" max="4621" width="9" style="59" bestFit="1" customWidth="1"/>
    <col min="4622" max="4622" width="9" style="59" customWidth="1"/>
    <col min="4623" max="4623" width="8.85546875" style="59" bestFit="1" customWidth="1"/>
    <col min="4624" max="4626" width="9.140625" style="59"/>
    <col min="4627" max="4627" width="24.140625" style="59" bestFit="1" customWidth="1"/>
    <col min="4628" max="4628" width="10.42578125" style="59" customWidth="1"/>
    <col min="4629" max="4629" width="10.28515625" style="59" customWidth="1"/>
    <col min="4630" max="4864" width="9.140625" style="59"/>
    <col min="4865" max="4865" width="6.140625" style="59" customWidth="1"/>
    <col min="4866" max="4866" width="16.7109375" style="59" customWidth="1"/>
    <col min="4867" max="4868" width="9.85546875" style="59" bestFit="1" customWidth="1"/>
    <col min="4869" max="4869" width="9.140625" style="59" bestFit="1" customWidth="1"/>
    <col min="4870" max="4870" width="9.140625" style="59"/>
    <col min="4871" max="4871" width="9" style="59" customWidth="1"/>
    <col min="4872" max="4872" width="9.140625" style="59" bestFit="1" customWidth="1"/>
    <col min="4873" max="4873" width="9" style="59" customWidth="1"/>
    <col min="4874" max="4874" width="8.85546875" style="59" bestFit="1" customWidth="1"/>
    <col min="4875" max="4875" width="9.140625" style="59"/>
    <col min="4876" max="4876" width="8.85546875" style="59" bestFit="1" customWidth="1"/>
    <col min="4877" max="4877" width="9" style="59" bestFit="1" customWidth="1"/>
    <col min="4878" max="4878" width="9" style="59" customWidth="1"/>
    <col min="4879" max="4879" width="8.85546875" style="59" bestFit="1" customWidth="1"/>
    <col min="4880" max="4882" width="9.140625" style="59"/>
    <col min="4883" max="4883" width="24.140625" style="59" bestFit="1" customWidth="1"/>
    <col min="4884" max="4884" width="10.42578125" style="59" customWidth="1"/>
    <col min="4885" max="4885" width="10.28515625" style="59" customWidth="1"/>
    <col min="4886" max="5120" width="9.140625" style="59"/>
    <col min="5121" max="5121" width="6.140625" style="59" customWidth="1"/>
    <col min="5122" max="5122" width="16.7109375" style="59" customWidth="1"/>
    <col min="5123" max="5124" width="9.85546875" style="59" bestFit="1" customWidth="1"/>
    <col min="5125" max="5125" width="9.140625" style="59" bestFit="1" customWidth="1"/>
    <col min="5126" max="5126" width="9.140625" style="59"/>
    <col min="5127" max="5127" width="9" style="59" customWidth="1"/>
    <col min="5128" max="5128" width="9.140625" style="59" bestFit="1" customWidth="1"/>
    <col min="5129" max="5129" width="9" style="59" customWidth="1"/>
    <col min="5130" max="5130" width="8.85546875" style="59" bestFit="1" customWidth="1"/>
    <col min="5131" max="5131" width="9.140625" style="59"/>
    <col min="5132" max="5132" width="8.85546875" style="59" bestFit="1" customWidth="1"/>
    <col min="5133" max="5133" width="9" style="59" bestFit="1" customWidth="1"/>
    <col min="5134" max="5134" width="9" style="59" customWidth="1"/>
    <col min="5135" max="5135" width="8.85546875" style="59" bestFit="1" customWidth="1"/>
    <col min="5136" max="5138" width="9.140625" style="59"/>
    <col min="5139" max="5139" width="24.140625" style="59" bestFit="1" customWidth="1"/>
    <col min="5140" max="5140" width="10.42578125" style="59" customWidth="1"/>
    <col min="5141" max="5141" width="10.28515625" style="59" customWidth="1"/>
    <col min="5142" max="5376" width="9.140625" style="59"/>
    <col min="5377" max="5377" width="6.140625" style="59" customWidth="1"/>
    <col min="5378" max="5378" width="16.7109375" style="59" customWidth="1"/>
    <col min="5379" max="5380" width="9.85546875" style="59" bestFit="1" customWidth="1"/>
    <col min="5381" max="5381" width="9.140625" style="59" bestFit="1" customWidth="1"/>
    <col min="5382" max="5382" width="9.140625" style="59"/>
    <col min="5383" max="5383" width="9" style="59" customWidth="1"/>
    <col min="5384" max="5384" width="9.140625" style="59" bestFit="1" customWidth="1"/>
    <col min="5385" max="5385" width="9" style="59" customWidth="1"/>
    <col min="5386" max="5386" width="8.85546875" style="59" bestFit="1" customWidth="1"/>
    <col min="5387" max="5387" width="9.140625" style="59"/>
    <col min="5388" max="5388" width="8.85546875" style="59" bestFit="1" customWidth="1"/>
    <col min="5389" max="5389" width="9" style="59" bestFit="1" customWidth="1"/>
    <col min="5390" max="5390" width="9" style="59" customWidth="1"/>
    <col min="5391" max="5391" width="8.85546875" style="59" bestFit="1" customWidth="1"/>
    <col min="5392" max="5394" width="9.140625" style="59"/>
    <col min="5395" max="5395" width="24.140625" style="59" bestFit="1" customWidth="1"/>
    <col min="5396" max="5396" width="10.42578125" style="59" customWidth="1"/>
    <col min="5397" max="5397" width="10.28515625" style="59" customWidth="1"/>
    <col min="5398" max="5632" width="9.140625" style="59"/>
    <col min="5633" max="5633" width="6.140625" style="59" customWidth="1"/>
    <col min="5634" max="5634" width="16.7109375" style="59" customWidth="1"/>
    <col min="5635" max="5636" width="9.85546875" style="59" bestFit="1" customWidth="1"/>
    <col min="5637" max="5637" width="9.140625" style="59" bestFit="1" customWidth="1"/>
    <col min="5638" max="5638" width="9.140625" style="59"/>
    <col min="5639" max="5639" width="9" style="59" customWidth="1"/>
    <col min="5640" max="5640" width="9.140625" style="59" bestFit="1" customWidth="1"/>
    <col min="5641" max="5641" width="9" style="59" customWidth="1"/>
    <col min="5642" max="5642" width="8.85546875" style="59" bestFit="1" customWidth="1"/>
    <col min="5643" max="5643" width="9.140625" style="59"/>
    <col min="5644" max="5644" width="8.85546875" style="59" bestFit="1" customWidth="1"/>
    <col min="5645" max="5645" width="9" style="59" bestFit="1" customWidth="1"/>
    <col min="5646" max="5646" width="9" style="59" customWidth="1"/>
    <col min="5647" max="5647" width="8.85546875" style="59" bestFit="1" customWidth="1"/>
    <col min="5648" max="5650" width="9.140625" style="59"/>
    <col min="5651" max="5651" width="24.140625" style="59" bestFit="1" customWidth="1"/>
    <col min="5652" max="5652" width="10.42578125" style="59" customWidth="1"/>
    <col min="5653" max="5653" width="10.28515625" style="59" customWidth="1"/>
    <col min="5654" max="5888" width="9.140625" style="59"/>
    <col min="5889" max="5889" width="6.140625" style="59" customWidth="1"/>
    <col min="5890" max="5890" width="16.7109375" style="59" customWidth="1"/>
    <col min="5891" max="5892" width="9.85546875" style="59" bestFit="1" customWidth="1"/>
    <col min="5893" max="5893" width="9.140625" style="59" bestFit="1" customWidth="1"/>
    <col min="5894" max="5894" width="9.140625" style="59"/>
    <col min="5895" max="5895" width="9" style="59" customWidth="1"/>
    <col min="5896" max="5896" width="9.140625" style="59" bestFit="1" customWidth="1"/>
    <col min="5897" max="5897" width="9" style="59" customWidth="1"/>
    <col min="5898" max="5898" width="8.85546875" style="59" bestFit="1" customWidth="1"/>
    <col min="5899" max="5899" width="9.140625" style="59"/>
    <col min="5900" max="5900" width="8.85546875" style="59" bestFit="1" customWidth="1"/>
    <col min="5901" max="5901" width="9" style="59" bestFit="1" customWidth="1"/>
    <col min="5902" max="5902" width="9" style="59" customWidth="1"/>
    <col min="5903" max="5903" width="8.85546875" style="59" bestFit="1" customWidth="1"/>
    <col min="5904" max="5906" width="9.140625" style="59"/>
    <col min="5907" max="5907" width="24.140625" style="59" bestFit="1" customWidth="1"/>
    <col min="5908" max="5908" width="10.42578125" style="59" customWidth="1"/>
    <col min="5909" max="5909" width="10.28515625" style="59" customWidth="1"/>
    <col min="5910" max="6144" width="9.140625" style="59"/>
    <col min="6145" max="6145" width="6.140625" style="59" customWidth="1"/>
    <col min="6146" max="6146" width="16.7109375" style="59" customWidth="1"/>
    <col min="6147" max="6148" width="9.85546875" style="59" bestFit="1" customWidth="1"/>
    <col min="6149" max="6149" width="9.140625" style="59" bestFit="1" customWidth="1"/>
    <col min="6150" max="6150" width="9.140625" style="59"/>
    <col min="6151" max="6151" width="9" style="59" customWidth="1"/>
    <col min="6152" max="6152" width="9.140625" style="59" bestFit="1" customWidth="1"/>
    <col min="6153" max="6153" width="9" style="59" customWidth="1"/>
    <col min="6154" max="6154" width="8.85546875" style="59" bestFit="1" customWidth="1"/>
    <col min="6155" max="6155" width="9.140625" style="59"/>
    <col min="6156" max="6156" width="8.85546875" style="59" bestFit="1" customWidth="1"/>
    <col min="6157" max="6157" width="9" style="59" bestFit="1" customWidth="1"/>
    <col min="6158" max="6158" width="9" style="59" customWidth="1"/>
    <col min="6159" max="6159" width="8.85546875" style="59" bestFit="1" customWidth="1"/>
    <col min="6160" max="6162" width="9.140625" style="59"/>
    <col min="6163" max="6163" width="24.140625" style="59" bestFit="1" customWidth="1"/>
    <col min="6164" max="6164" width="10.42578125" style="59" customWidth="1"/>
    <col min="6165" max="6165" width="10.28515625" style="59" customWidth="1"/>
    <col min="6166" max="6400" width="9.140625" style="59"/>
    <col min="6401" max="6401" width="6.140625" style="59" customWidth="1"/>
    <col min="6402" max="6402" width="16.7109375" style="59" customWidth="1"/>
    <col min="6403" max="6404" width="9.85546875" style="59" bestFit="1" customWidth="1"/>
    <col min="6405" max="6405" width="9.140625" style="59" bestFit="1" customWidth="1"/>
    <col min="6406" max="6406" width="9.140625" style="59"/>
    <col min="6407" max="6407" width="9" style="59" customWidth="1"/>
    <col min="6408" max="6408" width="9.140625" style="59" bestFit="1" customWidth="1"/>
    <col min="6409" max="6409" width="9" style="59" customWidth="1"/>
    <col min="6410" max="6410" width="8.85546875" style="59" bestFit="1" customWidth="1"/>
    <col min="6411" max="6411" width="9.140625" style="59"/>
    <col min="6412" max="6412" width="8.85546875" style="59" bestFit="1" customWidth="1"/>
    <col min="6413" max="6413" width="9" style="59" bestFit="1" customWidth="1"/>
    <col min="6414" max="6414" width="9" style="59" customWidth="1"/>
    <col min="6415" max="6415" width="8.85546875" style="59" bestFit="1" customWidth="1"/>
    <col min="6416" max="6418" width="9.140625" style="59"/>
    <col min="6419" max="6419" width="24.140625" style="59" bestFit="1" customWidth="1"/>
    <col min="6420" max="6420" width="10.42578125" style="59" customWidth="1"/>
    <col min="6421" max="6421" width="10.28515625" style="59" customWidth="1"/>
    <col min="6422" max="6656" width="9.140625" style="59"/>
    <col min="6657" max="6657" width="6.140625" style="59" customWidth="1"/>
    <col min="6658" max="6658" width="16.7109375" style="59" customWidth="1"/>
    <col min="6659" max="6660" width="9.85546875" style="59" bestFit="1" customWidth="1"/>
    <col min="6661" max="6661" width="9.140625" style="59" bestFit="1" customWidth="1"/>
    <col min="6662" max="6662" width="9.140625" style="59"/>
    <col min="6663" max="6663" width="9" style="59" customWidth="1"/>
    <col min="6664" max="6664" width="9.140625" style="59" bestFit="1" customWidth="1"/>
    <col min="6665" max="6665" width="9" style="59" customWidth="1"/>
    <col min="6666" max="6666" width="8.85546875" style="59" bestFit="1" customWidth="1"/>
    <col min="6667" max="6667" width="9.140625" style="59"/>
    <col min="6668" max="6668" width="8.85546875" style="59" bestFit="1" customWidth="1"/>
    <col min="6669" max="6669" width="9" style="59" bestFit="1" customWidth="1"/>
    <col min="6670" max="6670" width="9" style="59" customWidth="1"/>
    <col min="6671" max="6671" width="8.85546875" style="59" bestFit="1" customWidth="1"/>
    <col min="6672" max="6674" width="9.140625" style="59"/>
    <col min="6675" max="6675" width="24.140625" style="59" bestFit="1" customWidth="1"/>
    <col min="6676" max="6676" width="10.42578125" style="59" customWidth="1"/>
    <col min="6677" max="6677" width="10.28515625" style="59" customWidth="1"/>
    <col min="6678" max="6912" width="9.140625" style="59"/>
    <col min="6913" max="6913" width="6.140625" style="59" customWidth="1"/>
    <col min="6914" max="6914" width="16.7109375" style="59" customWidth="1"/>
    <col min="6915" max="6916" width="9.85546875" style="59" bestFit="1" customWidth="1"/>
    <col min="6917" max="6917" width="9.140625" style="59" bestFit="1" customWidth="1"/>
    <col min="6918" max="6918" width="9.140625" style="59"/>
    <col min="6919" max="6919" width="9" style="59" customWidth="1"/>
    <col min="6920" max="6920" width="9.140625" style="59" bestFit="1" customWidth="1"/>
    <col min="6921" max="6921" width="9" style="59" customWidth="1"/>
    <col min="6922" max="6922" width="8.85546875" style="59" bestFit="1" customWidth="1"/>
    <col min="6923" max="6923" width="9.140625" style="59"/>
    <col min="6924" max="6924" width="8.85546875" style="59" bestFit="1" customWidth="1"/>
    <col min="6925" max="6925" width="9" style="59" bestFit="1" customWidth="1"/>
    <col min="6926" max="6926" width="9" style="59" customWidth="1"/>
    <col min="6927" max="6927" width="8.85546875" style="59" bestFit="1" customWidth="1"/>
    <col min="6928" max="6930" width="9.140625" style="59"/>
    <col min="6931" max="6931" width="24.140625" style="59" bestFit="1" customWidth="1"/>
    <col min="6932" max="6932" width="10.42578125" style="59" customWidth="1"/>
    <col min="6933" max="6933" width="10.28515625" style="59" customWidth="1"/>
    <col min="6934" max="7168" width="9.140625" style="59"/>
    <col min="7169" max="7169" width="6.140625" style="59" customWidth="1"/>
    <col min="7170" max="7170" width="16.7109375" style="59" customWidth="1"/>
    <col min="7171" max="7172" width="9.85546875" style="59" bestFit="1" customWidth="1"/>
    <col min="7173" max="7173" width="9.140625" style="59" bestFit="1" customWidth="1"/>
    <col min="7174" max="7174" width="9.140625" style="59"/>
    <col min="7175" max="7175" width="9" style="59" customWidth="1"/>
    <col min="7176" max="7176" width="9.140625" style="59" bestFit="1" customWidth="1"/>
    <col min="7177" max="7177" width="9" style="59" customWidth="1"/>
    <col min="7178" max="7178" width="8.85546875" style="59" bestFit="1" customWidth="1"/>
    <col min="7179" max="7179" width="9.140625" style="59"/>
    <col min="7180" max="7180" width="8.85546875" style="59" bestFit="1" customWidth="1"/>
    <col min="7181" max="7181" width="9" style="59" bestFit="1" customWidth="1"/>
    <col min="7182" max="7182" width="9" style="59" customWidth="1"/>
    <col min="7183" max="7183" width="8.85546875" style="59" bestFit="1" customWidth="1"/>
    <col min="7184" max="7186" width="9.140625" style="59"/>
    <col min="7187" max="7187" width="24.140625" style="59" bestFit="1" customWidth="1"/>
    <col min="7188" max="7188" width="10.42578125" style="59" customWidth="1"/>
    <col min="7189" max="7189" width="10.28515625" style="59" customWidth="1"/>
    <col min="7190" max="7424" width="9.140625" style="59"/>
    <col min="7425" max="7425" width="6.140625" style="59" customWidth="1"/>
    <col min="7426" max="7426" width="16.7109375" style="59" customWidth="1"/>
    <col min="7427" max="7428" width="9.85546875" style="59" bestFit="1" customWidth="1"/>
    <col min="7429" max="7429" width="9.140625" style="59" bestFit="1" customWidth="1"/>
    <col min="7430" max="7430" width="9.140625" style="59"/>
    <col min="7431" max="7431" width="9" style="59" customWidth="1"/>
    <col min="7432" max="7432" width="9.140625" style="59" bestFit="1" customWidth="1"/>
    <col min="7433" max="7433" width="9" style="59" customWidth="1"/>
    <col min="7434" max="7434" width="8.85546875" style="59" bestFit="1" customWidth="1"/>
    <col min="7435" max="7435" width="9.140625" style="59"/>
    <col min="7436" max="7436" width="8.85546875" style="59" bestFit="1" customWidth="1"/>
    <col min="7437" max="7437" width="9" style="59" bestFit="1" customWidth="1"/>
    <col min="7438" max="7438" width="9" style="59" customWidth="1"/>
    <col min="7439" max="7439" width="8.85546875" style="59" bestFit="1" customWidth="1"/>
    <col min="7440" max="7442" width="9.140625" style="59"/>
    <col min="7443" max="7443" width="24.140625" style="59" bestFit="1" customWidth="1"/>
    <col min="7444" max="7444" width="10.42578125" style="59" customWidth="1"/>
    <col min="7445" max="7445" width="10.28515625" style="59" customWidth="1"/>
    <col min="7446" max="7680" width="9.140625" style="59"/>
    <col min="7681" max="7681" width="6.140625" style="59" customWidth="1"/>
    <col min="7682" max="7682" width="16.7109375" style="59" customWidth="1"/>
    <col min="7683" max="7684" width="9.85546875" style="59" bestFit="1" customWidth="1"/>
    <col min="7685" max="7685" width="9.140625" style="59" bestFit="1" customWidth="1"/>
    <col min="7686" max="7686" width="9.140625" style="59"/>
    <col min="7687" max="7687" width="9" style="59" customWidth="1"/>
    <col min="7688" max="7688" width="9.140625" style="59" bestFit="1" customWidth="1"/>
    <col min="7689" max="7689" width="9" style="59" customWidth="1"/>
    <col min="7690" max="7690" width="8.85546875" style="59" bestFit="1" customWidth="1"/>
    <col min="7691" max="7691" width="9.140625" style="59"/>
    <col min="7692" max="7692" width="8.85546875" style="59" bestFit="1" customWidth="1"/>
    <col min="7693" max="7693" width="9" style="59" bestFit="1" customWidth="1"/>
    <col min="7694" max="7694" width="9" style="59" customWidth="1"/>
    <col min="7695" max="7695" width="8.85546875" style="59" bestFit="1" customWidth="1"/>
    <col min="7696" max="7698" width="9.140625" style="59"/>
    <col min="7699" max="7699" width="24.140625" style="59" bestFit="1" customWidth="1"/>
    <col min="7700" max="7700" width="10.42578125" style="59" customWidth="1"/>
    <col min="7701" max="7701" width="10.28515625" style="59" customWidth="1"/>
    <col min="7702" max="7936" width="9.140625" style="59"/>
    <col min="7937" max="7937" width="6.140625" style="59" customWidth="1"/>
    <col min="7938" max="7938" width="16.7109375" style="59" customWidth="1"/>
    <col min="7939" max="7940" width="9.85546875" style="59" bestFit="1" customWidth="1"/>
    <col min="7941" max="7941" width="9.140625" style="59" bestFit="1" customWidth="1"/>
    <col min="7942" max="7942" width="9.140625" style="59"/>
    <col min="7943" max="7943" width="9" style="59" customWidth="1"/>
    <col min="7944" max="7944" width="9.140625" style="59" bestFit="1" customWidth="1"/>
    <col min="7945" max="7945" width="9" style="59" customWidth="1"/>
    <col min="7946" max="7946" width="8.85546875" style="59" bestFit="1" customWidth="1"/>
    <col min="7947" max="7947" width="9.140625" style="59"/>
    <col min="7948" max="7948" width="8.85546875" style="59" bestFit="1" customWidth="1"/>
    <col min="7949" max="7949" width="9" style="59" bestFit="1" customWidth="1"/>
    <col min="7950" max="7950" width="9" style="59" customWidth="1"/>
    <col min="7951" max="7951" width="8.85546875" style="59" bestFit="1" customWidth="1"/>
    <col min="7952" max="7954" width="9.140625" style="59"/>
    <col min="7955" max="7955" width="24.140625" style="59" bestFit="1" customWidth="1"/>
    <col min="7956" max="7956" width="10.42578125" style="59" customWidth="1"/>
    <col min="7957" max="7957" width="10.28515625" style="59" customWidth="1"/>
    <col min="7958" max="8192" width="9.140625" style="59"/>
    <col min="8193" max="8193" width="6.140625" style="59" customWidth="1"/>
    <col min="8194" max="8194" width="16.7109375" style="59" customWidth="1"/>
    <col min="8195" max="8196" width="9.85546875" style="59" bestFit="1" customWidth="1"/>
    <col min="8197" max="8197" width="9.140625" style="59" bestFit="1" customWidth="1"/>
    <col min="8198" max="8198" width="9.140625" style="59"/>
    <col min="8199" max="8199" width="9" style="59" customWidth="1"/>
    <col min="8200" max="8200" width="9.140625" style="59" bestFit="1" customWidth="1"/>
    <col min="8201" max="8201" width="9" style="59" customWidth="1"/>
    <col min="8202" max="8202" width="8.85546875" style="59" bestFit="1" customWidth="1"/>
    <col min="8203" max="8203" width="9.140625" style="59"/>
    <col min="8204" max="8204" width="8.85546875" style="59" bestFit="1" customWidth="1"/>
    <col min="8205" max="8205" width="9" style="59" bestFit="1" customWidth="1"/>
    <col min="8206" max="8206" width="9" style="59" customWidth="1"/>
    <col min="8207" max="8207" width="8.85546875" style="59" bestFit="1" customWidth="1"/>
    <col min="8208" max="8210" width="9.140625" style="59"/>
    <col min="8211" max="8211" width="24.140625" style="59" bestFit="1" customWidth="1"/>
    <col min="8212" max="8212" width="10.42578125" style="59" customWidth="1"/>
    <col min="8213" max="8213" width="10.28515625" style="59" customWidth="1"/>
    <col min="8214" max="8448" width="9.140625" style="59"/>
    <col min="8449" max="8449" width="6.140625" style="59" customWidth="1"/>
    <col min="8450" max="8450" width="16.7109375" style="59" customWidth="1"/>
    <col min="8451" max="8452" width="9.85546875" style="59" bestFit="1" customWidth="1"/>
    <col min="8453" max="8453" width="9.140625" style="59" bestFit="1" customWidth="1"/>
    <col min="8454" max="8454" width="9.140625" style="59"/>
    <col min="8455" max="8455" width="9" style="59" customWidth="1"/>
    <col min="8456" max="8456" width="9.140625" style="59" bestFit="1" customWidth="1"/>
    <col min="8457" max="8457" width="9" style="59" customWidth="1"/>
    <col min="8458" max="8458" width="8.85546875" style="59" bestFit="1" customWidth="1"/>
    <col min="8459" max="8459" width="9.140625" style="59"/>
    <col min="8460" max="8460" width="8.85546875" style="59" bestFit="1" customWidth="1"/>
    <col min="8461" max="8461" width="9" style="59" bestFit="1" customWidth="1"/>
    <col min="8462" max="8462" width="9" style="59" customWidth="1"/>
    <col min="8463" max="8463" width="8.85546875" style="59" bestFit="1" customWidth="1"/>
    <col min="8464" max="8466" width="9.140625" style="59"/>
    <col min="8467" max="8467" width="24.140625" style="59" bestFit="1" customWidth="1"/>
    <col min="8468" max="8468" width="10.42578125" style="59" customWidth="1"/>
    <col min="8469" max="8469" width="10.28515625" style="59" customWidth="1"/>
    <col min="8470" max="8704" width="9.140625" style="59"/>
    <col min="8705" max="8705" width="6.140625" style="59" customWidth="1"/>
    <col min="8706" max="8706" width="16.7109375" style="59" customWidth="1"/>
    <col min="8707" max="8708" width="9.85546875" style="59" bestFit="1" customWidth="1"/>
    <col min="8709" max="8709" width="9.140625" style="59" bestFit="1" customWidth="1"/>
    <col min="8710" max="8710" width="9.140625" style="59"/>
    <col min="8711" max="8711" width="9" style="59" customWidth="1"/>
    <col min="8712" max="8712" width="9.140625" style="59" bestFit="1" customWidth="1"/>
    <col min="8713" max="8713" width="9" style="59" customWidth="1"/>
    <col min="8714" max="8714" width="8.85546875" style="59" bestFit="1" customWidth="1"/>
    <col min="8715" max="8715" width="9.140625" style="59"/>
    <col min="8716" max="8716" width="8.85546875" style="59" bestFit="1" customWidth="1"/>
    <col min="8717" max="8717" width="9" style="59" bestFit="1" customWidth="1"/>
    <col min="8718" max="8718" width="9" style="59" customWidth="1"/>
    <col min="8719" max="8719" width="8.85546875" style="59" bestFit="1" customWidth="1"/>
    <col min="8720" max="8722" width="9.140625" style="59"/>
    <col min="8723" max="8723" width="24.140625" style="59" bestFit="1" customWidth="1"/>
    <col min="8724" max="8724" width="10.42578125" style="59" customWidth="1"/>
    <col min="8725" max="8725" width="10.28515625" style="59" customWidth="1"/>
    <col min="8726" max="8960" width="9.140625" style="59"/>
    <col min="8961" max="8961" width="6.140625" style="59" customWidth="1"/>
    <col min="8962" max="8962" width="16.7109375" style="59" customWidth="1"/>
    <col min="8963" max="8964" width="9.85546875" style="59" bestFit="1" customWidth="1"/>
    <col min="8965" max="8965" width="9.140625" style="59" bestFit="1" customWidth="1"/>
    <col min="8966" max="8966" width="9.140625" style="59"/>
    <col min="8967" max="8967" width="9" style="59" customWidth="1"/>
    <col min="8968" max="8968" width="9.140625" style="59" bestFit="1" customWidth="1"/>
    <col min="8969" max="8969" width="9" style="59" customWidth="1"/>
    <col min="8970" max="8970" width="8.85546875" style="59" bestFit="1" customWidth="1"/>
    <col min="8971" max="8971" width="9.140625" style="59"/>
    <col min="8972" max="8972" width="8.85546875" style="59" bestFit="1" customWidth="1"/>
    <col min="8973" max="8973" width="9" style="59" bestFit="1" customWidth="1"/>
    <col min="8974" max="8974" width="9" style="59" customWidth="1"/>
    <col min="8975" max="8975" width="8.85546875" style="59" bestFit="1" customWidth="1"/>
    <col min="8976" max="8978" width="9.140625" style="59"/>
    <col min="8979" max="8979" width="24.140625" style="59" bestFit="1" customWidth="1"/>
    <col min="8980" max="8980" width="10.42578125" style="59" customWidth="1"/>
    <col min="8981" max="8981" width="10.28515625" style="59" customWidth="1"/>
    <col min="8982" max="9216" width="9.140625" style="59"/>
    <col min="9217" max="9217" width="6.140625" style="59" customWidth="1"/>
    <col min="9218" max="9218" width="16.7109375" style="59" customWidth="1"/>
    <col min="9219" max="9220" width="9.85546875" style="59" bestFit="1" customWidth="1"/>
    <col min="9221" max="9221" width="9.140625" style="59" bestFit="1" customWidth="1"/>
    <col min="9222" max="9222" width="9.140625" style="59"/>
    <col min="9223" max="9223" width="9" style="59" customWidth="1"/>
    <col min="9224" max="9224" width="9.140625" style="59" bestFit="1" customWidth="1"/>
    <col min="9225" max="9225" width="9" style="59" customWidth="1"/>
    <col min="9226" max="9226" width="8.85546875" style="59" bestFit="1" customWidth="1"/>
    <col min="9227" max="9227" width="9.140625" style="59"/>
    <col min="9228" max="9228" width="8.85546875" style="59" bestFit="1" customWidth="1"/>
    <col min="9229" max="9229" width="9" style="59" bestFit="1" customWidth="1"/>
    <col min="9230" max="9230" width="9" style="59" customWidth="1"/>
    <col min="9231" max="9231" width="8.85546875" style="59" bestFit="1" customWidth="1"/>
    <col min="9232" max="9234" width="9.140625" style="59"/>
    <col min="9235" max="9235" width="24.140625" style="59" bestFit="1" customWidth="1"/>
    <col min="9236" max="9236" width="10.42578125" style="59" customWidth="1"/>
    <col min="9237" max="9237" width="10.28515625" style="59" customWidth="1"/>
    <col min="9238" max="9472" width="9.140625" style="59"/>
    <col min="9473" max="9473" width="6.140625" style="59" customWidth="1"/>
    <col min="9474" max="9474" width="16.7109375" style="59" customWidth="1"/>
    <col min="9475" max="9476" width="9.85546875" style="59" bestFit="1" customWidth="1"/>
    <col min="9477" max="9477" width="9.140625" style="59" bestFit="1" customWidth="1"/>
    <col min="9478" max="9478" width="9.140625" style="59"/>
    <col min="9479" max="9479" width="9" style="59" customWidth="1"/>
    <col min="9480" max="9480" width="9.140625" style="59" bestFit="1" customWidth="1"/>
    <col min="9481" max="9481" width="9" style="59" customWidth="1"/>
    <col min="9482" max="9482" width="8.85546875" style="59" bestFit="1" customWidth="1"/>
    <col min="9483" max="9483" width="9.140625" style="59"/>
    <col min="9484" max="9484" width="8.85546875" style="59" bestFit="1" customWidth="1"/>
    <col min="9485" max="9485" width="9" style="59" bestFit="1" customWidth="1"/>
    <col min="9486" max="9486" width="9" style="59" customWidth="1"/>
    <col min="9487" max="9487" width="8.85546875" style="59" bestFit="1" customWidth="1"/>
    <col min="9488" max="9490" width="9.140625" style="59"/>
    <col min="9491" max="9491" width="24.140625" style="59" bestFit="1" customWidth="1"/>
    <col min="9492" max="9492" width="10.42578125" style="59" customWidth="1"/>
    <col min="9493" max="9493" width="10.28515625" style="59" customWidth="1"/>
    <col min="9494" max="9728" width="9.140625" style="59"/>
    <col min="9729" max="9729" width="6.140625" style="59" customWidth="1"/>
    <col min="9730" max="9730" width="16.7109375" style="59" customWidth="1"/>
    <col min="9731" max="9732" width="9.85546875" style="59" bestFit="1" customWidth="1"/>
    <col min="9733" max="9733" width="9.140625" style="59" bestFit="1" customWidth="1"/>
    <col min="9734" max="9734" width="9.140625" style="59"/>
    <col min="9735" max="9735" width="9" style="59" customWidth="1"/>
    <col min="9736" max="9736" width="9.140625" style="59" bestFit="1" customWidth="1"/>
    <col min="9737" max="9737" width="9" style="59" customWidth="1"/>
    <col min="9738" max="9738" width="8.85546875" style="59" bestFit="1" customWidth="1"/>
    <col min="9739" max="9739" width="9.140625" style="59"/>
    <col min="9740" max="9740" width="8.85546875" style="59" bestFit="1" customWidth="1"/>
    <col min="9741" max="9741" width="9" style="59" bestFit="1" customWidth="1"/>
    <col min="9742" max="9742" width="9" style="59" customWidth="1"/>
    <col min="9743" max="9743" width="8.85546875" style="59" bestFit="1" customWidth="1"/>
    <col min="9744" max="9746" width="9.140625" style="59"/>
    <col min="9747" max="9747" width="24.140625" style="59" bestFit="1" customWidth="1"/>
    <col min="9748" max="9748" width="10.42578125" style="59" customWidth="1"/>
    <col min="9749" max="9749" width="10.28515625" style="59" customWidth="1"/>
    <col min="9750" max="9984" width="9.140625" style="59"/>
    <col min="9985" max="9985" width="6.140625" style="59" customWidth="1"/>
    <col min="9986" max="9986" width="16.7109375" style="59" customWidth="1"/>
    <col min="9987" max="9988" width="9.85546875" style="59" bestFit="1" customWidth="1"/>
    <col min="9989" max="9989" width="9.140625" style="59" bestFit="1" customWidth="1"/>
    <col min="9990" max="9990" width="9.140625" style="59"/>
    <col min="9991" max="9991" width="9" style="59" customWidth="1"/>
    <col min="9992" max="9992" width="9.140625" style="59" bestFit="1" customWidth="1"/>
    <col min="9993" max="9993" width="9" style="59" customWidth="1"/>
    <col min="9994" max="9994" width="8.85546875" style="59" bestFit="1" customWidth="1"/>
    <col min="9995" max="9995" width="9.140625" style="59"/>
    <col min="9996" max="9996" width="8.85546875" style="59" bestFit="1" customWidth="1"/>
    <col min="9997" max="9997" width="9" style="59" bestFit="1" customWidth="1"/>
    <col min="9998" max="9998" width="9" style="59" customWidth="1"/>
    <col min="9999" max="9999" width="8.85546875" style="59" bestFit="1" customWidth="1"/>
    <col min="10000" max="10002" width="9.140625" style="59"/>
    <col min="10003" max="10003" width="24.140625" style="59" bestFit="1" customWidth="1"/>
    <col min="10004" max="10004" width="10.42578125" style="59" customWidth="1"/>
    <col min="10005" max="10005" width="10.28515625" style="59" customWidth="1"/>
    <col min="10006" max="10240" width="9.140625" style="59"/>
    <col min="10241" max="10241" width="6.140625" style="59" customWidth="1"/>
    <col min="10242" max="10242" width="16.7109375" style="59" customWidth="1"/>
    <col min="10243" max="10244" width="9.85546875" style="59" bestFit="1" customWidth="1"/>
    <col min="10245" max="10245" width="9.140625" style="59" bestFit="1" customWidth="1"/>
    <col min="10246" max="10246" width="9.140625" style="59"/>
    <col min="10247" max="10247" width="9" style="59" customWidth="1"/>
    <col min="10248" max="10248" width="9.140625" style="59" bestFit="1" customWidth="1"/>
    <col min="10249" max="10249" width="9" style="59" customWidth="1"/>
    <col min="10250" max="10250" width="8.85546875" style="59" bestFit="1" customWidth="1"/>
    <col min="10251" max="10251" width="9.140625" style="59"/>
    <col min="10252" max="10252" width="8.85546875" style="59" bestFit="1" customWidth="1"/>
    <col min="10253" max="10253" width="9" style="59" bestFit="1" customWidth="1"/>
    <col min="10254" max="10254" width="9" style="59" customWidth="1"/>
    <col min="10255" max="10255" width="8.85546875" style="59" bestFit="1" customWidth="1"/>
    <col min="10256" max="10258" width="9.140625" style="59"/>
    <col min="10259" max="10259" width="24.140625" style="59" bestFit="1" customWidth="1"/>
    <col min="10260" max="10260" width="10.42578125" style="59" customWidth="1"/>
    <col min="10261" max="10261" width="10.28515625" style="59" customWidth="1"/>
    <col min="10262" max="10496" width="9.140625" style="59"/>
    <col min="10497" max="10497" width="6.140625" style="59" customWidth="1"/>
    <col min="10498" max="10498" width="16.7109375" style="59" customWidth="1"/>
    <col min="10499" max="10500" width="9.85546875" style="59" bestFit="1" customWidth="1"/>
    <col min="10501" max="10501" width="9.140625" style="59" bestFit="1" customWidth="1"/>
    <col min="10502" max="10502" width="9.140625" style="59"/>
    <col min="10503" max="10503" width="9" style="59" customWidth="1"/>
    <col min="10504" max="10504" width="9.140625" style="59" bestFit="1" customWidth="1"/>
    <col min="10505" max="10505" width="9" style="59" customWidth="1"/>
    <col min="10506" max="10506" width="8.85546875" style="59" bestFit="1" customWidth="1"/>
    <col min="10507" max="10507" width="9.140625" style="59"/>
    <col min="10508" max="10508" width="8.85546875" style="59" bestFit="1" customWidth="1"/>
    <col min="10509" max="10509" width="9" style="59" bestFit="1" customWidth="1"/>
    <col min="10510" max="10510" width="9" style="59" customWidth="1"/>
    <col min="10511" max="10511" width="8.85546875" style="59" bestFit="1" customWidth="1"/>
    <col min="10512" max="10514" width="9.140625" style="59"/>
    <col min="10515" max="10515" width="24.140625" style="59" bestFit="1" customWidth="1"/>
    <col min="10516" max="10516" width="10.42578125" style="59" customWidth="1"/>
    <col min="10517" max="10517" width="10.28515625" style="59" customWidth="1"/>
    <col min="10518" max="10752" width="9.140625" style="59"/>
    <col min="10753" max="10753" width="6.140625" style="59" customWidth="1"/>
    <col min="10754" max="10754" width="16.7109375" style="59" customWidth="1"/>
    <col min="10755" max="10756" width="9.85546875" style="59" bestFit="1" customWidth="1"/>
    <col min="10757" max="10757" width="9.140625" style="59" bestFit="1" customWidth="1"/>
    <col min="10758" max="10758" width="9.140625" style="59"/>
    <col min="10759" max="10759" width="9" style="59" customWidth="1"/>
    <col min="10760" max="10760" width="9.140625" style="59" bestFit="1" customWidth="1"/>
    <col min="10761" max="10761" width="9" style="59" customWidth="1"/>
    <col min="10762" max="10762" width="8.85546875" style="59" bestFit="1" customWidth="1"/>
    <col min="10763" max="10763" width="9.140625" style="59"/>
    <col min="10764" max="10764" width="8.85546875" style="59" bestFit="1" customWidth="1"/>
    <col min="10765" max="10765" width="9" style="59" bestFit="1" customWidth="1"/>
    <col min="10766" max="10766" width="9" style="59" customWidth="1"/>
    <col min="10767" max="10767" width="8.85546875" style="59" bestFit="1" customWidth="1"/>
    <col min="10768" max="10770" width="9.140625" style="59"/>
    <col min="10771" max="10771" width="24.140625" style="59" bestFit="1" customWidth="1"/>
    <col min="10772" max="10772" width="10.42578125" style="59" customWidth="1"/>
    <col min="10773" max="10773" width="10.28515625" style="59" customWidth="1"/>
    <col min="10774" max="11008" width="9.140625" style="59"/>
    <col min="11009" max="11009" width="6.140625" style="59" customWidth="1"/>
    <col min="11010" max="11010" width="16.7109375" style="59" customWidth="1"/>
    <col min="11011" max="11012" width="9.85546875" style="59" bestFit="1" customWidth="1"/>
    <col min="11013" max="11013" width="9.140625" style="59" bestFit="1" customWidth="1"/>
    <col min="11014" max="11014" width="9.140625" style="59"/>
    <col min="11015" max="11015" width="9" style="59" customWidth="1"/>
    <col min="11016" max="11016" width="9.140625" style="59" bestFit="1" customWidth="1"/>
    <col min="11017" max="11017" width="9" style="59" customWidth="1"/>
    <col min="11018" max="11018" width="8.85546875" style="59" bestFit="1" customWidth="1"/>
    <col min="11019" max="11019" width="9.140625" style="59"/>
    <col min="11020" max="11020" width="8.85546875" style="59" bestFit="1" customWidth="1"/>
    <col min="11021" max="11021" width="9" style="59" bestFit="1" customWidth="1"/>
    <col min="11022" max="11022" width="9" style="59" customWidth="1"/>
    <col min="11023" max="11023" width="8.85546875" style="59" bestFit="1" customWidth="1"/>
    <col min="11024" max="11026" width="9.140625" style="59"/>
    <col min="11027" max="11027" width="24.140625" style="59" bestFit="1" customWidth="1"/>
    <col min="11028" max="11028" width="10.42578125" style="59" customWidth="1"/>
    <col min="11029" max="11029" width="10.28515625" style="59" customWidth="1"/>
    <col min="11030" max="11264" width="9.140625" style="59"/>
    <col min="11265" max="11265" width="6.140625" style="59" customWidth="1"/>
    <col min="11266" max="11266" width="16.7109375" style="59" customWidth="1"/>
    <col min="11267" max="11268" width="9.85546875" style="59" bestFit="1" customWidth="1"/>
    <col min="11269" max="11269" width="9.140625" style="59" bestFit="1" customWidth="1"/>
    <col min="11270" max="11270" width="9.140625" style="59"/>
    <col min="11271" max="11271" width="9" style="59" customWidth="1"/>
    <col min="11272" max="11272" width="9.140625" style="59" bestFit="1" customWidth="1"/>
    <col min="11273" max="11273" width="9" style="59" customWidth="1"/>
    <col min="11274" max="11274" width="8.85546875" style="59" bestFit="1" customWidth="1"/>
    <col min="11275" max="11275" width="9.140625" style="59"/>
    <col min="11276" max="11276" width="8.85546875" style="59" bestFit="1" customWidth="1"/>
    <col min="11277" max="11277" width="9" style="59" bestFit="1" customWidth="1"/>
    <col min="11278" max="11278" width="9" style="59" customWidth="1"/>
    <col min="11279" max="11279" width="8.85546875" style="59" bestFit="1" customWidth="1"/>
    <col min="11280" max="11282" width="9.140625" style="59"/>
    <col min="11283" max="11283" width="24.140625" style="59" bestFit="1" customWidth="1"/>
    <col min="11284" max="11284" width="10.42578125" style="59" customWidth="1"/>
    <col min="11285" max="11285" width="10.28515625" style="59" customWidth="1"/>
    <col min="11286" max="11520" width="9.140625" style="59"/>
    <col min="11521" max="11521" width="6.140625" style="59" customWidth="1"/>
    <col min="11522" max="11522" width="16.7109375" style="59" customWidth="1"/>
    <col min="11523" max="11524" width="9.85546875" style="59" bestFit="1" customWidth="1"/>
    <col min="11525" max="11525" width="9.140625" style="59" bestFit="1" customWidth="1"/>
    <col min="11526" max="11526" width="9.140625" style="59"/>
    <col min="11527" max="11527" width="9" style="59" customWidth="1"/>
    <col min="11528" max="11528" width="9.140625" style="59" bestFit="1" customWidth="1"/>
    <col min="11529" max="11529" width="9" style="59" customWidth="1"/>
    <col min="11530" max="11530" width="8.85546875" style="59" bestFit="1" customWidth="1"/>
    <col min="11531" max="11531" width="9.140625" style="59"/>
    <col min="11532" max="11532" width="8.85546875" style="59" bestFit="1" customWidth="1"/>
    <col min="11533" max="11533" width="9" style="59" bestFit="1" customWidth="1"/>
    <col min="11534" max="11534" width="9" style="59" customWidth="1"/>
    <col min="11535" max="11535" width="8.85546875" style="59" bestFit="1" customWidth="1"/>
    <col min="11536" max="11538" width="9.140625" style="59"/>
    <col min="11539" max="11539" width="24.140625" style="59" bestFit="1" customWidth="1"/>
    <col min="11540" max="11540" width="10.42578125" style="59" customWidth="1"/>
    <col min="11541" max="11541" width="10.28515625" style="59" customWidth="1"/>
    <col min="11542" max="11776" width="9.140625" style="59"/>
    <col min="11777" max="11777" width="6.140625" style="59" customWidth="1"/>
    <col min="11778" max="11778" width="16.7109375" style="59" customWidth="1"/>
    <col min="11779" max="11780" width="9.85546875" style="59" bestFit="1" customWidth="1"/>
    <col min="11781" max="11781" width="9.140625" style="59" bestFit="1" customWidth="1"/>
    <col min="11782" max="11782" width="9.140625" style="59"/>
    <col min="11783" max="11783" width="9" style="59" customWidth="1"/>
    <col min="11784" max="11784" width="9.140625" style="59" bestFit="1" customWidth="1"/>
    <col min="11785" max="11785" width="9" style="59" customWidth="1"/>
    <col min="11786" max="11786" width="8.85546875" style="59" bestFit="1" customWidth="1"/>
    <col min="11787" max="11787" width="9.140625" style="59"/>
    <col min="11788" max="11788" width="8.85546875" style="59" bestFit="1" customWidth="1"/>
    <col min="11789" max="11789" width="9" style="59" bestFit="1" customWidth="1"/>
    <col min="11790" max="11790" width="9" style="59" customWidth="1"/>
    <col min="11791" max="11791" width="8.85546875" style="59" bestFit="1" customWidth="1"/>
    <col min="11792" max="11794" width="9.140625" style="59"/>
    <col min="11795" max="11795" width="24.140625" style="59" bestFit="1" customWidth="1"/>
    <col min="11796" max="11796" width="10.42578125" style="59" customWidth="1"/>
    <col min="11797" max="11797" width="10.28515625" style="59" customWidth="1"/>
    <col min="11798" max="12032" width="9.140625" style="59"/>
    <col min="12033" max="12033" width="6.140625" style="59" customWidth="1"/>
    <col min="12034" max="12034" width="16.7109375" style="59" customWidth="1"/>
    <col min="12035" max="12036" width="9.85546875" style="59" bestFit="1" customWidth="1"/>
    <col min="12037" max="12037" width="9.140625" style="59" bestFit="1" customWidth="1"/>
    <col min="12038" max="12038" width="9.140625" style="59"/>
    <col min="12039" max="12039" width="9" style="59" customWidth="1"/>
    <col min="12040" max="12040" width="9.140625" style="59" bestFit="1" customWidth="1"/>
    <col min="12041" max="12041" width="9" style="59" customWidth="1"/>
    <col min="12042" max="12042" width="8.85546875" style="59" bestFit="1" customWidth="1"/>
    <col min="12043" max="12043" width="9.140625" style="59"/>
    <col min="12044" max="12044" width="8.85546875" style="59" bestFit="1" customWidth="1"/>
    <col min="12045" max="12045" width="9" style="59" bestFit="1" customWidth="1"/>
    <col min="12046" max="12046" width="9" style="59" customWidth="1"/>
    <col min="12047" max="12047" width="8.85546875" style="59" bestFit="1" customWidth="1"/>
    <col min="12048" max="12050" width="9.140625" style="59"/>
    <col min="12051" max="12051" width="24.140625" style="59" bestFit="1" customWidth="1"/>
    <col min="12052" max="12052" width="10.42578125" style="59" customWidth="1"/>
    <col min="12053" max="12053" width="10.28515625" style="59" customWidth="1"/>
    <col min="12054" max="12288" width="9.140625" style="59"/>
    <col min="12289" max="12289" width="6.140625" style="59" customWidth="1"/>
    <col min="12290" max="12290" width="16.7109375" style="59" customWidth="1"/>
    <col min="12291" max="12292" width="9.85546875" style="59" bestFit="1" customWidth="1"/>
    <col min="12293" max="12293" width="9.140625" style="59" bestFit="1" customWidth="1"/>
    <col min="12294" max="12294" width="9.140625" style="59"/>
    <col min="12295" max="12295" width="9" style="59" customWidth="1"/>
    <col min="12296" max="12296" width="9.140625" style="59" bestFit="1" customWidth="1"/>
    <col min="12297" max="12297" width="9" style="59" customWidth="1"/>
    <col min="12298" max="12298" width="8.85546875" style="59" bestFit="1" customWidth="1"/>
    <col min="12299" max="12299" width="9.140625" style="59"/>
    <col min="12300" max="12300" width="8.85546875" style="59" bestFit="1" customWidth="1"/>
    <col min="12301" max="12301" width="9" style="59" bestFit="1" customWidth="1"/>
    <col min="12302" max="12302" width="9" style="59" customWidth="1"/>
    <col min="12303" max="12303" width="8.85546875" style="59" bestFit="1" customWidth="1"/>
    <col min="12304" max="12306" width="9.140625" style="59"/>
    <col min="12307" max="12307" width="24.140625" style="59" bestFit="1" customWidth="1"/>
    <col min="12308" max="12308" width="10.42578125" style="59" customWidth="1"/>
    <col min="12309" max="12309" width="10.28515625" style="59" customWidth="1"/>
    <col min="12310" max="12544" width="9.140625" style="59"/>
    <col min="12545" max="12545" width="6.140625" style="59" customWidth="1"/>
    <col min="12546" max="12546" width="16.7109375" style="59" customWidth="1"/>
    <col min="12547" max="12548" width="9.85546875" style="59" bestFit="1" customWidth="1"/>
    <col min="12549" max="12549" width="9.140625" style="59" bestFit="1" customWidth="1"/>
    <col min="12550" max="12550" width="9.140625" style="59"/>
    <col min="12551" max="12551" width="9" style="59" customWidth="1"/>
    <col min="12552" max="12552" width="9.140625" style="59" bestFit="1" customWidth="1"/>
    <col min="12553" max="12553" width="9" style="59" customWidth="1"/>
    <col min="12554" max="12554" width="8.85546875" style="59" bestFit="1" customWidth="1"/>
    <col min="12555" max="12555" width="9.140625" style="59"/>
    <col min="12556" max="12556" width="8.85546875" style="59" bestFit="1" customWidth="1"/>
    <col min="12557" max="12557" width="9" style="59" bestFit="1" customWidth="1"/>
    <col min="12558" max="12558" width="9" style="59" customWidth="1"/>
    <col min="12559" max="12559" width="8.85546875" style="59" bestFit="1" customWidth="1"/>
    <col min="12560" max="12562" width="9.140625" style="59"/>
    <col min="12563" max="12563" width="24.140625" style="59" bestFit="1" customWidth="1"/>
    <col min="12564" max="12564" width="10.42578125" style="59" customWidth="1"/>
    <col min="12565" max="12565" width="10.28515625" style="59" customWidth="1"/>
    <col min="12566" max="12800" width="9.140625" style="59"/>
    <col min="12801" max="12801" width="6.140625" style="59" customWidth="1"/>
    <col min="12802" max="12802" width="16.7109375" style="59" customWidth="1"/>
    <col min="12803" max="12804" width="9.85546875" style="59" bestFit="1" customWidth="1"/>
    <col min="12805" max="12805" width="9.140625" style="59" bestFit="1" customWidth="1"/>
    <col min="12806" max="12806" width="9.140625" style="59"/>
    <col min="12807" max="12807" width="9" style="59" customWidth="1"/>
    <col min="12808" max="12808" width="9.140625" style="59" bestFit="1" customWidth="1"/>
    <col min="12809" max="12809" width="9" style="59" customWidth="1"/>
    <col min="12810" max="12810" width="8.85546875" style="59" bestFit="1" customWidth="1"/>
    <col min="12811" max="12811" width="9.140625" style="59"/>
    <col min="12812" max="12812" width="8.85546875" style="59" bestFit="1" customWidth="1"/>
    <col min="12813" max="12813" width="9" style="59" bestFit="1" customWidth="1"/>
    <col min="12814" max="12814" width="9" style="59" customWidth="1"/>
    <col min="12815" max="12815" width="8.85546875" style="59" bestFit="1" customWidth="1"/>
    <col min="12816" max="12818" width="9.140625" style="59"/>
    <col min="12819" max="12819" width="24.140625" style="59" bestFit="1" customWidth="1"/>
    <col min="12820" max="12820" width="10.42578125" style="59" customWidth="1"/>
    <col min="12821" max="12821" width="10.28515625" style="59" customWidth="1"/>
    <col min="12822" max="13056" width="9.140625" style="59"/>
    <col min="13057" max="13057" width="6.140625" style="59" customWidth="1"/>
    <col min="13058" max="13058" width="16.7109375" style="59" customWidth="1"/>
    <col min="13059" max="13060" width="9.85546875" style="59" bestFit="1" customWidth="1"/>
    <col min="13061" max="13061" width="9.140625" style="59" bestFit="1" customWidth="1"/>
    <col min="13062" max="13062" width="9.140625" style="59"/>
    <col min="13063" max="13063" width="9" style="59" customWidth="1"/>
    <col min="13064" max="13064" width="9.140625" style="59" bestFit="1" customWidth="1"/>
    <col min="13065" max="13065" width="9" style="59" customWidth="1"/>
    <col min="13066" max="13066" width="8.85546875" style="59" bestFit="1" customWidth="1"/>
    <col min="13067" max="13067" width="9.140625" style="59"/>
    <col min="13068" max="13068" width="8.85546875" style="59" bestFit="1" customWidth="1"/>
    <col min="13069" max="13069" width="9" style="59" bestFit="1" customWidth="1"/>
    <col min="13070" max="13070" width="9" style="59" customWidth="1"/>
    <col min="13071" max="13071" width="8.85546875" style="59" bestFit="1" customWidth="1"/>
    <col min="13072" max="13074" width="9.140625" style="59"/>
    <col min="13075" max="13075" width="24.140625" style="59" bestFit="1" customWidth="1"/>
    <col min="13076" max="13076" width="10.42578125" style="59" customWidth="1"/>
    <col min="13077" max="13077" width="10.28515625" style="59" customWidth="1"/>
    <col min="13078" max="13312" width="9.140625" style="59"/>
    <col min="13313" max="13313" width="6.140625" style="59" customWidth="1"/>
    <col min="13314" max="13314" width="16.7109375" style="59" customWidth="1"/>
    <col min="13315" max="13316" width="9.85546875" style="59" bestFit="1" customWidth="1"/>
    <col min="13317" max="13317" width="9.140625" style="59" bestFit="1" customWidth="1"/>
    <col min="13318" max="13318" width="9.140625" style="59"/>
    <col min="13319" max="13319" width="9" style="59" customWidth="1"/>
    <col min="13320" max="13320" width="9.140625" style="59" bestFit="1" customWidth="1"/>
    <col min="13321" max="13321" width="9" style="59" customWidth="1"/>
    <col min="13322" max="13322" width="8.85546875" style="59" bestFit="1" customWidth="1"/>
    <col min="13323" max="13323" width="9.140625" style="59"/>
    <col min="13324" max="13324" width="8.85546875" style="59" bestFit="1" customWidth="1"/>
    <col min="13325" max="13325" width="9" style="59" bestFit="1" customWidth="1"/>
    <col min="13326" max="13326" width="9" style="59" customWidth="1"/>
    <col min="13327" max="13327" width="8.85546875" style="59" bestFit="1" customWidth="1"/>
    <col min="13328" max="13330" width="9.140625" style="59"/>
    <col min="13331" max="13331" width="24.140625" style="59" bestFit="1" customWidth="1"/>
    <col min="13332" max="13332" width="10.42578125" style="59" customWidth="1"/>
    <col min="13333" max="13333" width="10.28515625" style="59" customWidth="1"/>
    <col min="13334" max="13568" width="9.140625" style="59"/>
    <col min="13569" max="13569" width="6.140625" style="59" customWidth="1"/>
    <col min="13570" max="13570" width="16.7109375" style="59" customWidth="1"/>
    <col min="13571" max="13572" width="9.85546875" style="59" bestFit="1" customWidth="1"/>
    <col min="13573" max="13573" width="9.140625" style="59" bestFit="1" customWidth="1"/>
    <col min="13574" max="13574" width="9.140625" style="59"/>
    <col min="13575" max="13575" width="9" style="59" customWidth="1"/>
    <col min="13576" max="13576" width="9.140625" style="59" bestFit="1" customWidth="1"/>
    <col min="13577" max="13577" width="9" style="59" customWidth="1"/>
    <col min="13578" max="13578" width="8.85546875" style="59" bestFit="1" customWidth="1"/>
    <col min="13579" max="13579" width="9.140625" style="59"/>
    <col min="13580" max="13580" width="8.85546875" style="59" bestFit="1" customWidth="1"/>
    <col min="13581" max="13581" width="9" style="59" bestFit="1" customWidth="1"/>
    <col min="13582" max="13582" width="9" style="59" customWidth="1"/>
    <col min="13583" max="13583" width="8.85546875" style="59" bestFit="1" customWidth="1"/>
    <col min="13584" max="13586" width="9.140625" style="59"/>
    <col min="13587" max="13587" width="24.140625" style="59" bestFit="1" customWidth="1"/>
    <col min="13588" max="13588" width="10.42578125" style="59" customWidth="1"/>
    <col min="13589" max="13589" width="10.28515625" style="59" customWidth="1"/>
    <col min="13590" max="13824" width="9.140625" style="59"/>
    <col min="13825" max="13825" width="6.140625" style="59" customWidth="1"/>
    <col min="13826" max="13826" width="16.7109375" style="59" customWidth="1"/>
    <col min="13827" max="13828" width="9.85546875" style="59" bestFit="1" customWidth="1"/>
    <col min="13829" max="13829" width="9.140625" style="59" bestFit="1" customWidth="1"/>
    <col min="13830" max="13830" width="9.140625" style="59"/>
    <col min="13831" max="13831" width="9" style="59" customWidth="1"/>
    <col min="13832" max="13832" width="9.140625" style="59" bestFit="1" customWidth="1"/>
    <col min="13833" max="13833" width="9" style="59" customWidth="1"/>
    <col min="13834" max="13834" width="8.85546875" style="59" bestFit="1" customWidth="1"/>
    <col min="13835" max="13835" width="9.140625" style="59"/>
    <col min="13836" max="13836" width="8.85546875" style="59" bestFit="1" customWidth="1"/>
    <col min="13837" max="13837" width="9" style="59" bestFit="1" customWidth="1"/>
    <col min="13838" max="13838" width="9" style="59" customWidth="1"/>
    <col min="13839" max="13839" width="8.85546875" style="59" bestFit="1" customWidth="1"/>
    <col min="13840" max="13842" width="9.140625" style="59"/>
    <col min="13843" max="13843" width="24.140625" style="59" bestFit="1" customWidth="1"/>
    <col min="13844" max="13844" width="10.42578125" style="59" customWidth="1"/>
    <col min="13845" max="13845" width="10.28515625" style="59" customWidth="1"/>
    <col min="13846" max="14080" width="9.140625" style="59"/>
    <col min="14081" max="14081" width="6.140625" style="59" customWidth="1"/>
    <col min="14082" max="14082" width="16.7109375" style="59" customWidth="1"/>
    <col min="14083" max="14084" width="9.85546875" style="59" bestFit="1" customWidth="1"/>
    <col min="14085" max="14085" width="9.140625" style="59" bestFit="1" customWidth="1"/>
    <col min="14086" max="14086" width="9.140625" style="59"/>
    <col min="14087" max="14087" width="9" style="59" customWidth="1"/>
    <col min="14088" max="14088" width="9.140625" style="59" bestFit="1" customWidth="1"/>
    <col min="14089" max="14089" width="9" style="59" customWidth="1"/>
    <col min="14090" max="14090" width="8.85546875" style="59" bestFit="1" customWidth="1"/>
    <col min="14091" max="14091" width="9.140625" style="59"/>
    <col min="14092" max="14092" width="8.85546875" style="59" bestFit="1" customWidth="1"/>
    <col min="14093" max="14093" width="9" style="59" bestFit="1" customWidth="1"/>
    <col min="14094" max="14094" width="9" style="59" customWidth="1"/>
    <col min="14095" max="14095" width="8.85546875" style="59" bestFit="1" customWidth="1"/>
    <col min="14096" max="14098" width="9.140625" style="59"/>
    <col min="14099" max="14099" width="24.140625" style="59" bestFit="1" customWidth="1"/>
    <col min="14100" max="14100" width="10.42578125" style="59" customWidth="1"/>
    <col min="14101" max="14101" width="10.28515625" style="59" customWidth="1"/>
    <col min="14102" max="14336" width="9.140625" style="59"/>
    <col min="14337" max="14337" width="6.140625" style="59" customWidth="1"/>
    <col min="14338" max="14338" width="16.7109375" style="59" customWidth="1"/>
    <col min="14339" max="14340" width="9.85546875" style="59" bestFit="1" customWidth="1"/>
    <col min="14341" max="14341" width="9.140625" style="59" bestFit="1" customWidth="1"/>
    <col min="14342" max="14342" width="9.140625" style="59"/>
    <col min="14343" max="14343" width="9" style="59" customWidth="1"/>
    <col min="14344" max="14344" width="9.140625" style="59" bestFit="1" customWidth="1"/>
    <col min="14345" max="14345" width="9" style="59" customWidth="1"/>
    <col min="14346" max="14346" width="8.85546875" style="59" bestFit="1" customWidth="1"/>
    <col min="14347" max="14347" width="9.140625" style="59"/>
    <col min="14348" max="14348" width="8.85546875" style="59" bestFit="1" customWidth="1"/>
    <col min="14349" max="14349" width="9" style="59" bestFit="1" customWidth="1"/>
    <col min="14350" max="14350" width="9" style="59" customWidth="1"/>
    <col min="14351" max="14351" width="8.85546875" style="59" bestFit="1" customWidth="1"/>
    <col min="14352" max="14354" width="9.140625" style="59"/>
    <col min="14355" max="14355" width="24.140625" style="59" bestFit="1" customWidth="1"/>
    <col min="14356" max="14356" width="10.42578125" style="59" customWidth="1"/>
    <col min="14357" max="14357" width="10.28515625" style="59" customWidth="1"/>
    <col min="14358" max="14592" width="9.140625" style="59"/>
    <col min="14593" max="14593" width="6.140625" style="59" customWidth="1"/>
    <col min="14594" max="14594" width="16.7109375" style="59" customWidth="1"/>
    <col min="14595" max="14596" width="9.85546875" style="59" bestFit="1" customWidth="1"/>
    <col min="14597" max="14597" width="9.140625" style="59" bestFit="1" customWidth="1"/>
    <col min="14598" max="14598" width="9.140625" style="59"/>
    <col min="14599" max="14599" width="9" style="59" customWidth="1"/>
    <col min="14600" max="14600" width="9.140625" style="59" bestFit="1" customWidth="1"/>
    <col min="14601" max="14601" width="9" style="59" customWidth="1"/>
    <col min="14602" max="14602" width="8.85546875" style="59" bestFit="1" customWidth="1"/>
    <col min="14603" max="14603" width="9.140625" style="59"/>
    <col min="14604" max="14604" width="8.85546875" style="59" bestFit="1" customWidth="1"/>
    <col min="14605" max="14605" width="9" style="59" bestFit="1" customWidth="1"/>
    <col min="14606" max="14606" width="9" style="59" customWidth="1"/>
    <col min="14607" max="14607" width="8.85546875" style="59" bestFit="1" customWidth="1"/>
    <col min="14608" max="14610" width="9.140625" style="59"/>
    <col min="14611" max="14611" width="24.140625" style="59" bestFit="1" customWidth="1"/>
    <col min="14612" max="14612" width="10.42578125" style="59" customWidth="1"/>
    <col min="14613" max="14613" width="10.28515625" style="59" customWidth="1"/>
    <col min="14614" max="14848" width="9.140625" style="59"/>
    <col min="14849" max="14849" width="6.140625" style="59" customWidth="1"/>
    <col min="14850" max="14850" width="16.7109375" style="59" customWidth="1"/>
    <col min="14851" max="14852" width="9.85546875" style="59" bestFit="1" customWidth="1"/>
    <col min="14853" max="14853" width="9.140625" style="59" bestFit="1" customWidth="1"/>
    <col min="14854" max="14854" width="9.140625" style="59"/>
    <col min="14855" max="14855" width="9" style="59" customWidth="1"/>
    <col min="14856" max="14856" width="9.140625" style="59" bestFit="1" customWidth="1"/>
    <col min="14857" max="14857" width="9" style="59" customWidth="1"/>
    <col min="14858" max="14858" width="8.85546875" style="59" bestFit="1" customWidth="1"/>
    <col min="14859" max="14859" width="9.140625" style="59"/>
    <col min="14860" max="14860" width="8.85546875" style="59" bestFit="1" customWidth="1"/>
    <col min="14861" max="14861" width="9" style="59" bestFit="1" customWidth="1"/>
    <col min="14862" max="14862" width="9" style="59" customWidth="1"/>
    <col min="14863" max="14863" width="8.85546875" style="59" bestFit="1" customWidth="1"/>
    <col min="14864" max="14866" width="9.140625" style="59"/>
    <col min="14867" max="14867" width="24.140625" style="59" bestFit="1" customWidth="1"/>
    <col min="14868" max="14868" width="10.42578125" style="59" customWidth="1"/>
    <col min="14869" max="14869" width="10.28515625" style="59" customWidth="1"/>
    <col min="14870" max="15104" width="9.140625" style="59"/>
    <col min="15105" max="15105" width="6.140625" style="59" customWidth="1"/>
    <col min="15106" max="15106" width="16.7109375" style="59" customWidth="1"/>
    <col min="15107" max="15108" width="9.85546875" style="59" bestFit="1" customWidth="1"/>
    <col min="15109" max="15109" width="9.140625" style="59" bestFit="1" customWidth="1"/>
    <col min="15110" max="15110" width="9.140625" style="59"/>
    <col min="15111" max="15111" width="9" style="59" customWidth="1"/>
    <col min="15112" max="15112" width="9.140625" style="59" bestFit="1" customWidth="1"/>
    <col min="15113" max="15113" width="9" style="59" customWidth="1"/>
    <col min="15114" max="15114" width="8.85546875" style="59" bestFit="1" customWidth="1"/>
    <col min="15115" max="15115" width="9.140625" style="59"/>
    <col min="15116" max="15116" width="8.85546875" style="59" bestFit="1" customWidth="1"/>
    <col min="15117" max="15117" width="9" style="59" bestFit="1" customWidth="1"/>
    <col min="15118" max="15118" width="9" style="59" customWidth="1"/>
    <col min="15119" max="15119" width="8.85546875" style="59" bestFit="1" customWidth="1"/>
    <col min="15120" max="15122" width="9.140625" style="59"/>
    <col min="15123" max="15123" width="24.140625" style="59" bestFit="1" customWidth="1"/>
    <col min="15124" max="15124" width="10.42578125" style="59" customWidth="1"/>
    <col min="15125" max="15125" width="10.28515625" style="59" customWidth="1"/>
    <col min="15126" max="15360" width="9.140625" style="59"/>
    <col min="15361" max="15361" width="6.140625" style="59" customWidth="1"/>
    <col min="15362" max="15362" width="16.7109375" style="59" customWidth="1"/>
    <col min="15363" max="15364" width="9.85546875" style="59" bestFit="1" customWidth="1"/>
    <col min="15365" max="15365" width="9.140625" style="59" bestFit="1" customWidth="1"/>
    <col min="15366" max="15366" width="9.140625" style="59"/>
    <col min="15367" max="15367" width="9" style="59" customWidth="1"/>
    <col min="15368" max="15368" width="9.140625" style="59" bestFit="1" customWidth="1"/>
    <col min="15369" max="15369" width="9" style="59" customWidth="1"/>
    <col min="15370" max="15370" width="8.85546875" style="59" bestFit="1" customWidth="1"/>
    <col min="15371" max="15371" width="9.140625" style="59"/>
    <col min="15372" max="15372" width="8.85546875" style="59" bestFit="1" customWidth="1"/>
    <col min="15373" max="15373" width="9" style="59" bestFit="1" customWidth="1"/>
    <col min="15374" max="15374" width="9" style="59" customWidth="1"/>
    <col min="15375" max="15375" width="8.85546875" style="59" bestFit="1" customWidth="1"/>
    <col min="15376" max="15378" width="9.140625" style="59"/>
    <col min="15379" max="15379" width="24.140625" style="59" bestFit="1" customWidth="1"/>
    <col min="15380" max="15380" width="10.42578125" style="59" customWidth="1"/>
    <col min="15381" max="15381" width="10.28515625" style="59" customWidth="1"/>
    <col min="15382" max="15616" width="9.140625" style="59"/>
    <col min="15617" max="15617" width="6.140625" style="59" customWidth="1"/>
    <col min="15618" max="15618" width="16.7109375" style="59" customWidth="1"/>
    <col min="15619" max="15620" width="9.85546875" style="59" bestFit="1" customWidth="1"/>
    <col min="15621" max="15621" width="9.140625" style="59" bestFit="1" customWidth="1"/>
    <col min="15622" max="15622" width="9.140625" style="59"/>
    <col min="15623" max="15623" width="9" style="59" customWidth="1"/>
    <col min="15624" max="15624" width="9.140625" style="59" bestFit="1" customWidth="1"/>
    <col min="15625" max="15625" width="9" style="59" customWidth="1"/>
    <col min="15626" max="15626" width="8.85546875" style="59" bestFit="1" customWidth="1"/>
    <col min="15627" max="15627" width="9.140625" style="59"/>
    <col min="15628" max="15628" width="8.85546875" style="59" bestFit="1" customWidth="1"/>
    <col min="15629" max="15629" width="9" style="59" bestFit="1" customWidth="1"/>
    <col min="15630" max="15630" width="9" style="59" customWidth="1"/>
    <col min="15631" max="15631" width="8.85546875" style="59" bestFit="1" customWidth="1"/>
    <col min="15632" max="15634" width="9.140625" style="59"/>
    <col min="15635" max="15635" width="24.140625" style="59" bestFit="1" customWidth="1"/>
    <col min="15636" max="15636" width="10.42578125" style="59" customWidth="1"/>
    <col min="15637" max="15637" width="10.28515625" style="59" customWidth="1"/>
    <col min="15638" max="15872" width="9.140625" style="59"/>
    <col min="15873" max="15873" width="6.140625" style="59" customWidth="1"/>
    <col min="15874" max="15874" width="16.7109375" style="59" customWidth="1"/>
    <col min="15875" max="15876" width="9.85546875" style="59" bestFit="1" customWidth="1"/>
    <col min="15877" max="15877" width="9.140625" style="59" bestFit="1" customWidth="1"/>
    <col min="15878" max="15878" width="9.140625" style="59"/>
    <col min="15879" max="15879" width="9" style="59" customWidth="1"/>
    <col min="15880" max="15880" width="9.140625" style="59" bestFit="1" customWidth="1"/>
    <col min="15881" max="15881" width="9" style="59" customWidth="1"/>
    <col min="15882" max="15882" width="8.85546875" style="59" bestFit="1" customWidth="1"/>
    <col min="15883" max="15883" width="9.140625" style="59"/>
    <col min="15884" max="15884" width="8.85546875" style="59" bestFit="1" customWidth="1"/>
    <col min="15885" max="15885" width="9" style="59" bestFit="1" customWidth="1"/>
    <col min="15886" max="15886" width="9" style="59" customWidth="1"/>
    <col min="15887" max="15887" width="8.85546875" style="59" bestFit="1" customWidth="1"/>
    <col min="15888" max="15890" width="9.140625" style="59"/>
    <col min="15891" max="15891" width="24.140625" style="59" bestFit="1" customWidth="1"/>
    <col min="15892" max="15892" width="10.42578125" style="59" customWidth="1"/>
    <col min="15893" max="15893" width="10.28515625" style="59" customWidth="1"/>
    <col min="15894" max="16128" width="9.140625" style="59"/>
    <col min="16129" max="16129" width="6.140625" style="59" customWidth="1"/>
    <col min="16130" max="16130" width="16.7109375" style="59" customWidth="1"/>
    <col min="16131" max="16132" width="9.85546875" style="59" bestFit="1" customWidth="1"/>
    <col min="16133" max="16133" width="9.140625" style="59" bestFit="1" customWidth="1"/>
    <col min="16134" max="16134" width="9.140625" style="59"/>
    <col min="16135" max="16135" width="9" style="59" customWidth="1"/>
    <col min="16136" max="16136" width="9.140625" style="59" bestFit="1" customWidth="1"/>
    <col min="16137" max="16137" width="9" style="59" customWidth="1"/>
    <col min="16138" max="16138" width="8.85546875" style="59" bestFit="1" customWidth="1"/>
    <col min="16139" max="16139" width="9.140625" style="59"/>
    <col min="16140" max="16140" width="8.85546875" style="59" bestFit="1" customWidth="1"/>
    <col min="16141" max="16141" width="9" style="59" bestFit="1" customWidth="1"/>
    <col min="16142" max="16142" width="9" style="59" customWidth="1"/>
    <col min="16143" max="16143" width="8.85546875" style="59" bestFit="1" customWidth="1"/>
    <col min="16144" max="16146" width="9.140625" style="59"/>
    <col min="16147" max="16147" width="24.140625" style="59" bestFit="1" customWidth="1"/>
    <col min="16148" max="16148" width="10.42578125" style="59" customWidth="1"/>
    <col min="16149" max="16149" width="10.28515625" style="59" customWidth="1"/>
    <col min="16150" max="16384" width="9.140625" style="59"/>
  </cols>
  <sheetData>
    <row r="2" spans="2:18" ht="15.75" thickBot="1">
      <c r="B2" s="178"/>
      <c r="C2" s="319" t="s">
        <v>459</v>
      </c>
      <c r="J2" s="61" t="s">
        <v>633</v>
      </c>
      <c r="K2" s="61"/>
    </row>
    <row r="3" spans="2:18">
      <c r="B3" s="320"/>
      <c r="C3" s="321"/>
      <c r="D3" s="38">
        <f>DCLP!I3</f>
        <v>44835</v>
      </c>
      <c r="E3" s="38">
        <f>DCLP!J3</f>
        <v>44805</v>
      </c>
      <c r="F3" s="38">
        <f>DCLP!K3</f>
        <v>44774</v>
      </c>
      <c r="G3" s="38">
        <f>DCLP!L3</f>
        <v>44743</v>
      </c>
      <c r="H3" s="38">
        <f>DCLP!M3</f>
        <v>44713</v>
      </c>
      <c r="I3" s="38">
        <f>DCLP!N3</f>
        <v>44682</v>
      </c>
      <c r="J3" s="38">
        <f>DCLP!O3</f>
        <v>44652</v>
      </c>
      <c r="K3" s="38">
        <f>DCLP!P3</f>
        <v>44621</v>
      </c>
      <c r="L3" s="38">
        <f>DCLP!Q3</f>
        <v>44593</v>
      </c>
      <c r="M3" s="38">
        <f>DCLP!R3</f>
        <v>44562</v>
      </c>
      <c r="N3" s="38">
        <f>DCLP!S3</f>
        <v>44531</v>
      </c>
      <c r="O3" s="38">
        <f>DCLP!T3</f>
        <v>44501</v>
      </c>
    </row>
    <row r="4" spans="2:18" ht="9" thickBot="1">
      <c r="B4" s="322" t="s">
        <v>460</v>
      </c>
      <c r="C4" s="323"/>
      <c r="D4" s="39" t="s">
        <v>34</v>
      </c>
      <c r="E4" s="4" t="s">
        <v>35</v>
      </c>
      <c r="F4" s="39" t="s">
        <v>36</v>
      </c>
      <c r="G4" s="4" t="s">
        <v>37</v>
      </c>
      <c r="H4" s="39" t="s">
        <v>38</v>
      </c>
      <c r="I4" s="4" t="s">
        <v>39</v>
      </c>
      <c r="J4" s="39" t="s">
        <v>83</v>
      </c>
      <c r="K4" s="4" t="s">
        <v>84</v>
      </c>
      <c r="L4" s="39" t="s">
        <v>85</v>
      </c>
      <c r="M4" s="4" t="s">
        <v>86</v>
      </c>
      <c r="N4" s="39" t="s">
        <v>87</v>
      </c>
      <c r="O4" s="324" t="s">
        <v>88</v>
      </c>
      <c r="Q4" s="196"/>
      <c r="R4" s="380"/>
    </row>
    <row r="5" spans="2:18">
      <c r="B5" s="325" t="s">
        <v>461</v>
      </c>
      <c r="C5" s="326">
        <f>(SUM(D5:O5))</f>
        <v>91348062.88000001</v>
      </c>
      <c r="D5" s="327">
        <f>DCLP!I49</f>
        <v>7573634.5000000009</v>
      </c>
      <c r="E5" s="327">
        <f>DCLP!J49</f>
        <v>7617184.5199999996</v>
      </c>
      <c r="F5" s="327">
        <f>DCLP!K49</f>
        <v>7476732.9700000007</v>
      </c>
      <c r="G5" s="327">
        <f>DCLP!L49</f>
        <v>7344132.2699999996</v>
      </c>
      <c r="H5" s="327">
        <f>DCLP!M49</f>
        <v>9547995.9600000009</v>
      </c>
      <c r="I5" s="327">
        <f>DCLP!N49</f>
        <v>7255143.620000001</v>
      </c>
      <c r="J5" s="327">
        <f>DCLP!O49</f>
        <v>7331869.8799999999</v>
      </c>
      <c r="K5" s="327">
        <f>DCLP!P49</f>
        <v>7078821.0599999996</v>
      </c>
      <c r="L5" s="327">
        <f>DCLP!Q49</f>
        <v>7778596.4300000006</v>
      </c>
      <c r="M5" s="327">
        <f>DCLP!R49</f>
        <v>5784758.46</v>
      </c>
      <c r="N5" s="327">
        <f>DCLP!S49</f>
        <v>11215406.040000001</v>
      </c>
      <c r="O5" s="327">
        <f>DCLP!T49</f>
        <v>5343787.1700000009</v>
      </c>
      <c r="Q5" s="127"/>
      <c r="R5" s="127"/>
    </row>
    <row r="6" spans="2:18">
      <c r="B6" s="59" t="s">
        <v>1233</v>
      </c>
      <c r="C6" s="380">
        <f>SUM(D6:O6)</f>
        <v>15565744.639999999</v>
      </c>
      <c r="D6" s="380">
        <f>1423916.93</f>
        <v>1423916.93</v>
      </c>
      <c r="E6" s="380">
        <f>1417561.47</f>
        <v>1417561.47</v>
      </c>
      <c r="F6" s="380">
        <f>1346516.62</f>
        <v>1346516.62</v>
      </c>
      <c r="G6" s="380">
        <f>1335834.82</f>
        <v>1335834.82</v>
      </c>
      <c r="H6" s="380">
        <f>1336186.24</f>
        <v>1336186.24</v>
      </c>
      <c r="I6" s="380">
        <f>1303174.31</f>
        <v>1303174.31</v>
      </c>
      <c r="J6" s="380">
        <f>1307449.39</f>
        <v>1307449.3899999999</v>
      </c>
      <c r="K6" s="380">
        <f>1304820.38</f>
        <v>1304820.3799999999</v>
      </c>
      <c r="L6" s="380">
        <f>1308506.75</f>
        <v>1308506.75</v>
      </c>
      <c r="M6" s="380">
        <f>1026437.85</f>
        <v>1026437.85</v>
      </c>
      <c r="N6" s="380">
        <f>1642636.93</f>
        <v>1642636.93</v>
      </c>
      <c r="O6" s="380">
        <f>812702.95</f>
        <v>812702.95</v>
      </c>
    </row>
    <row r="7" spans="2:18">
      <c r="B7" s="238" t="s">
        <v>462</v>
      </c>
      <c r="C7" s="175">
        <f>SUM(D7:O7)</f>
        <v>126201239.62</v>
      </c>
      <c r="D7" s="175">
        <f>RCL!D38</f>
        <v>9847039.040000001</v>
      </c>
      <c r="E7" s="175">
        <f>RCL!E38</f>
        <v>9547770.7800000012</v>
      </c>
      <c r="F7" s="175">
        <f>RCL!F38</f>
        <v>9303707.120000001</v>
      </c>
      <c r="G7" s="175">
        <f>RCL!G38</f>
        <v>10650085.18</v>
      </c>
      <c r="H7" s="175">
        <f>RCL!H38</f>
        <v>10069571.040000001</v>
      </c>
      <c r="I7" s="175">
        <f>RCL!I38</f>
        <v>11867572.539999999</v>
      </c>
      <c r="J7" s="175">
        <f>RCL!J38</f>
        <v>9845866.2400000002</v>
      </c>
      <c r="K7" s="175">
        <f>RCL!K38</f>
        <v>10033681.52</v>
      </c>
      <c r="L7" s="175">
        <f>RCL!L38</f>
        <v>10208571.26</v>
      </c>
      <c r="M7" s="175">
        <f>RCL!M38</f>
        <v>10440638.109999999</v>
      </c>
      <c r="N7" s="175">
        <f>RCL!N38</f>
        <v>14431347.08</v>
      </c>
      <c r="O7" s="175">
        <f>RCL!O38</f>
        <v>9955389.7100000009</v>
      </c>
    </row>
    <row r="8" spans="2:18">
      <c r="B8" s="113" t="s">
        <v>463</v>
      </c>
      <c r="C8" s="328">
        <f>C5/C7</f>
        <v>0.72382857058341787</v>
      </c>
      <c r="D8" s="212">
        <f>D5/D7</f>
        <v>0.76912810736657744</v>
      </c>
      <c r="E8" s="212">
        <f t="shared" ref="E8:O8" si="0">E5/E7</f>
        <v>0.79779717124712946</v>
      </c>
      <c r="F8" s="212">
        <f t="shared" si="0"/>
        <v>0.80362944292683192</v>
      </c>
      <c r="G8" s="212">
        <f t="shared" si="0"/>
        <v>0.68958436912708332</v>
      </c>
      <c r="H8" s="212">
        <f t="shared" si="0"/>
        <v>0.94820285015835193</v>
      </c>
      <c r="I8" s="212">
        <f t="shared" si="0"/>
        <v>0.61134183890988048</v>
      </c>
      <c r="J8" s="212">
        <f t="shared" si="0"/>
        <v>0.74466478634590916</v>
      </c>
      <c r="K8" s="212">
        <f t="shared" si="0"/>
        <v>0.70550585504332408</v>
      </c>
      <c r="L8" s="212">
        <f t="shared" si="0"/>
        <v>0.76196719716094741</v>
      </c>
      <c r="M8" s="212">
        <f t="shared" si="0"/>
        <v>0.55406177276266122</v>
      </c>
      <c r="N8" s="212">
        <f t="shared" si="0"/>
        <v>0.77715586617295884</v>
      </c>
      <c r="O8" s="212">
        <f t="shared" si="0"/>
        <v>0.53677327816029818</v>
      </c>
      <c r="Q8" s="60"/>
    </row>
    <row r="9" spans="2:18">
      <c r="B9" s="664" t="s">
        <v>1234</v>
      </c>
      <c r="C9" s="663">
        <f t="shared" ref="C9:N9" si="1">(C5-C6)/C7</f>
        <v>0.6004879069982626</v>
      </c>
      <c r="D9" s="663">
        <f t="shared" si="1"/>
        <v>0.62452454438527349</v>
      </c>
      <c r="E9" s="663">
        <f t="shared" si="1"/>
        <v>0.64932675834515574</v>
      </c>
      <c r="F9" s="663">
        <f t="shared" si="1"/>
        <v>0.65890040076841971</v>
      </c>
      <c r="G9" s="663">
        <f t="shared" si="1"/>
        <v>0.56415487279698917</v>
      </c>
      <c r="H9" s="663">
        <f t="shared" si="1"/>
        <v>0.81550740219019302</v>
      </c>
      <c r="I9" s="663">
        <f t="shared" si="1"/>
        <v>0.5015321616900773</v>
      </c>
      <c r="J9" s="663">
        <f t="shared" si="1"/>
        <v>0.61187307882825759</v>
      </c>
      <c r="K9" s="663">
        <f t="shared" si="1"/>
        <v>0.57546182510285615</v>
      </c>
      <c r="L9" s="663">
        <f t="shared" si="1"/>
        <v>0.63378993154033203</v>
      </c>
      <c r="M9" s="663">
        <f t="shared" si="1"/>
        <v>0.45574998001726552</v>
      </c>
      <c r="N9" s="663">
        <f t="shared" si="1"/>
        <v>0.66333163889229951</v>
      </c>
      <c r="O9" s="663">
        <f>(O5-O6)/O7</f>
        <v>0.45513880942788326</v>
      </c>
      <c r="Q9" s="60"/>
    </row>
    <row r="10" spans="2:18">
      <c r="B10" s="238" t="s">
        <v>464</v>
      </c>
      <c r="C10" s="214">
        <v>0.54</v>
      </c>
      <c r="D10" s="214">
        <v>0.54</v>
      </c>
      <c r="E10" s="214">
        <v>0.54</v>
      </c>
      <c r="F10" s="214">
        <v>0.54</v>
      </c>
      <c r="G10" s="214">
        <v>0.54</v>
      </c>
      <c r="H10" s="214">
        <v>0.54</v>
      </c>
      <c r="I10" s="214">
        <v>0.54</v>
      </c>
      <c r="J10" s="214">
        <v>0.54</v>
      </c>
      <c r="K10" s="214">
        <v>0.54</v>
      </c>
      <c r="L10" s="214">
        <v>0.54</v>
      </c>
      <c r="M10" s="214">
        <v>0.54</v>
      </c>
      <c r="N10" s="214">
        <v>0.54</v>
      </c>
      <c r="O10" s="214">
        <v>0.54</v>
      </c>
    </row>
    <row r="11" spans="2:18">
      <c r="B11" s="84" t="s">
        <v>617</v>
      </c>
      <c r="C11" s="59" t="s">
        <v>751</v>
      </c>
      <c r="D11" s="329"/>
      <c r="E11" s="329"/>
      <c r="F11" s="329"/>
      <c r="G11" s="329"/>
      <c r="H11" s="329"/>
      <c r="I11" s="329"/>
      <c r="J11" s="329"/>
      <c r="K11" s="329"/>
      <c r="L11" s="329"/>
      <c r="M11" s="329"/>
      <c r="N11" s="329"/>
      <c r="O11" s="329"/>
    </row>
    <row r="12" spans="2:18">
      <c r="B12" s="564" t="s">
        <v>1223</v>
      </c>
      <c r="C12" s="223" t="s">
        <v>1232</v>
      </c>
      <c r="D12" s="223"/>
      <c r="E12" s="223"/>
      <c r="F12" s="223"/>
    </row>
    <row r="23" spans="17:17">
      <c r="Q23" s="332"/>
    </row>
    <row r="53" spans="2:11">
      <c r="B53" s="84" t="s">
        <v>465</v>
      </c>
      <c r="C53" s="106" t="s">
        <v>610</v>
      </c>
    </row>
    <row r="57" spans="2:11" s="57" customFormat="1" ht="11.25">
      <c r="B57" s="54"/>
      <c r="C57" s="55" t="s">
        <v>95</v>
      </c>
      <c r="D57" s="54"/>
      <c r="E57" s="54"/>
      <c r="F57" s="56" t="s">
        <v>96</v>
      </c>
      <c r="G57" s="56"/>
      <c r="I57" s="55"/>
      <c r="J57" s="58" t="s">
        <v>97</v>
      </c>
      <c r="K57" s="58"/>
    </row>
    <row r="58" spans="2:11" s="57" customFormat="1" ht="11.25">
      <c r="B58" s="54"/>
      <c r="C58" s="55" t="s">
        <v>98</v>
      </c>
      <c r="D58" s="54"/>
      <c r="E58" s="54"/>
      <c r="F58" s="56" t="s">
        <v>99</v>
      </c>
      <c r="G58" s="56"/>
      <c r="I58" s="55"/>
      <c r="J58" s="58" t="s">
        <v>100</v>
      </c>
      <c r="K58" s="58"/>
    </row>
    <row r="59" spans="2:11">
      <c r="F59" s="60"/>
    </row>
  </sheetData>
  <pageMargins left="0.511811024" right="0.511811024" top="0.78740157499999996" bottom="0.78740157499999996" header="0.31496062000000002" footer="0.31496062000000002"/>
  <pageSetup paperSize="9" orientation="landscape" horizontalDpi="0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dimension ref="A2:R80"/>
  <sheetViews>
    <sheetView topLeftCell="A5" workbookViewId="0">
      <selection activeCell="Q73" sqref="Q73"/>
    </sheetView>
  </sheetViews>
  <sheetFormatPr defaultRowHeight="8.25"/>
  <cols>
    <col min="1" max="1" width="5" style="3" customWidth="1"/>
    <col min="2" max="2" width="9" style="3" customWidth="1"/>
    <col min="3" max="3" width="3.5703125" style="3" customWidth="1"/>
    <col min="4" max="4" width="9.140625" style="3" customWidth="1"/>
    <col min="5" max="5" width="9.28515625" style="3" customWidth="1"/>
    <col min="6" max="8" width="8.5703125" style="3" customWidth="1"/>
    <col min="9" max="9" width="9.140625" style="3" customWidth="1"/>
    <col min="10" max="10" width="9.140625" style="3" bestFit="1" customWidth="1"/>
    <col min="11" max="11" width="9.28515625" style="3" customWidth="1"/>
    <col min="12" max="12" width="10.28515625" style="3" customWidth="1"/>
    <col min="13" max="14" width="9.140625" style="3" customWidth="1"/>
    <col min="15" max="15" width="9" style="3" customWidth="1"/>
    <col min="16" max="16" width="9.5703125" style="3" customWidth="1"/>
    <col min="17" max="17" width="9.42578125" style="3" bestFit="1" customWidth="1"/>
    <col min="18" max="21" width="9.140625" style="3"/>
    <col min="22" max="22" width="13.7109375" style="3" customWidth="1"/>
    <col min="23" max="23" width="15.5703125" style="3" customWidth="1"/>
    <col min="24" max="24" width="18" style="3" customWidth="1"/>
    <col min="25" max="25" width="17.28515625" style="3" customWidth="1"/>
    <col min="26" max="263" width="9.140625" style="3"/>
    <col min="264" max="264" width="2.42578125" style="3" customWidth="1"/>
    <col min="265" max="265" width="10" style="3" customWidth="1"/>
    <col min="266" max="266" width="44.85546875" style="3" customWidth="1"/>
    <col min="267" max="267" width="5.140625" style="3" customWidth="1"/>
    <col min="268" max="268" width="13.7109375" style="3" bestFit="1" customWidth="1"/>
    <col min="269" max="271" width="12.7109375" style="3" bestFit="1" customWidth="1"/>
    <col min="272" max="272" width="13.7109375" style="3" bestFit="1" customWidth="1"/>
    <col min="273" max="273" width="5.5703125" style="3" bestFit="1" customWidth="1"/>
    <col min="274" max="519" width="9.140625" style="3"/>
    <col min="520" max="520" width="2.42578125" style="3" customWidth="1"/>
    <col min="521" max="521" width="10" style="3" customWidth="1"/>
    <col min="522" max="522" width="44.85546875" style="3" customWidth="1"/>
    <col min="523" max="523" width="5.140625" style="3" customWidth="1"/>
    <col min="524" max="524" width="13.7109375" style="3" bestFit="1" customWidth="1"/>
    <col min="525" max="527" width="12.7109375" style="3" bestFit="1" customWidth="1"/>
    <col min="528" max="528" width="13.7109375" style="3" bestFit="1" customWidth="1"/>
    <col min="529" max="529" width="5.5703125" style="3" bestFit="1" customWidth="1"/>
    <col min="530" max="775" width="9.140625" style="3"/>
    <col min="776" max="776" width="2.42578125" style="3" customWidth="1"/>
    <col min="777" max="777" width="10" style="3" customWidth="1"/>
    <col min="778" max="778" width="44.85546875" style="3" customWidth="1"/>
    <col min="779" max="779" width="5.140625" style="3" customWidth="1"/>
    <col min="780" max="780" width="13.7109375" style="3" bestFit="1" customWidth="1"/>
    <col min="781" max="783" width="12.7109375" style="3" bestFit="1" customWidth="1"/>
    <col min="784" max="784" width="13.7109375" style="3" bestFit="1" customWidth="1"/>
    <col min="785" max="785" width="5.5703125" style="3" bestFit="1" customWidth="1"/>
    <col min="786" max="1031" width="9.140625" style="3"/>
    <col min="1032" max="1032" width="2.42578125" style="3" customWidth="1"/>
    <col min="1033" max="1033" width="10" style="3" customWidth="1"/>
    <col min="1034" max="1034" width="44.85546875" style="3" customWidth="1"/>
    <col min="1035" max="1035" width="5.140625" style="3" customWidth="1"/>
    <col min="1036" max="1036" width="13.7109375" style="3" bestFit="1" customWidth="1"/>
    <col min="1037" max="1039" width="12.7109375" style="3" bestFit="1" customWidth="1"/>
    <col min="1040" max="1040" width="13.7109375" style="3" bestFit="1" customWidth="1"/>
    <col min="1041" max="1041" width="5.5703125" style="3" bestFit="1" customWidth="1"/>
    <col min="1042" max="1287" width="9.140625" style="3"/>
    <col min="1288" max="1288" width="2.42578125" style="3" customWidth="1"/>
    <col min="1289" max="1289" width="10" style="3" customWidth="1"/>
    <col min="1290" max="1290" width="44.85546875" style="3" customWidth="1"/>
    <col min="1291" max="1291" width="5.140625" style="3" customWidth="1"/>
    <col min="1292" max="1292" width="13.7109375" style="3" bestFit="1" customWidth="1"/>
    <col min="1293" max="1295" width="12.7109375" style="3" bestFit="1" customWidth="1"/>
    <col min="1296" max="1296" width="13.7109375" style="3" bestFit="1" customWidth="1"/>
    <col min="1297" max="1297" width="5.5703125" style="3" bestFit="1" customWidth="1"/>
    <col min="1298" max="1543" width="9.140625" style="3"/>
    <col min="1544" max="1544" width="2.42578125" style="3" customWidth="1"/>
    <col min="1545" max="1545" width="10" style="3" customWidth="1"/>
    <col min="1546" max="1546" width="44.85546875" style="3" customWidth="1"/>
    <col min="1547" max="1547" width="5.140625" style="3" customWidth="1"/>
    <col min="1548" max="1548" width="13.7109375" style="3" bestFit="1" customWidth="1"/>
    <col min="1549" max="1551" width="12.7109375" style="3" bestFit="1" customWidth="1"/>
    <col min="1552" max="1552" width="13.7109375" style="3" bestFit="1" customWidth="1"/>
    <col min="1553" max="1553" width="5.5703125" style="3" bestFit="1" customWidth="1"/>
    <col min="1554" max="1799" width="9.140625" style="3"/>
    <col min="1800" max="1800" width="2.42578125" style="3" customWidth="1"/>
    <col min="1801" max="1801" width="10" style="3" customWidth="1"/>
    <col min="1802" max="1802" width="44.85546875" style="3" customWidth="1"/>
    <col min="1803" max="1803" width="5.140625" style="3" customWidth="1"/>
    <col min="1804" max="1804" width="13.7109375" style="3" bestFit="1" customWidth="1"/>
    <col min="1805" max="1807" width="12.7109375" style="3" bestFit="1" customWidth="1"/>
    <col min="1808" max="1808" width="13.7109375" style="3" bestFit="1" customWidth="1"/>
    <col min="1809" max="1809" width="5.5703125" style="3" bestFit="1" customWidth="1"/>
    <col min="1810" max="2055" width="9.140625" style="3"/>
    <col min="2056" max="2056" width="2.42578125" style="3" customWidth="1"/>
    <col min="2057" max="2057" width="10" style="3" customWidth="1"/>
    <col min="2058" max="2058" width="44.85546875" style="3" customWidth="1"/>
    <col min="2059" max="2059" width="5.140625" style="3" customWidth="1"/>
    <col min="2060" max="2060" width="13.7109375" style="3" bestFit="1" customWidth="1"/>
    <col min="2061" max="2063" width="12.7109375" style="3" bestFit="1" customWidth="1"/>
    <col min="2064" max="2064" width="13.7109375" style="3" bestFit="1" customWidth="1"/>
    <col min="2065" max="2065" width="5.5703125" style="3" bestFit="1" customWidth="1"/>
    <col min="2066" max="2311" width="9.140625" style="3"/>
    <col min="2312" max="2312" width="2.42578125" style="3" customWidth="1"/>
    <col min="2313" max="2313" width="10" style="3" customWidth="1"/>
    <col min="2314" max="2314" width="44.85546875" style="3" customWidth="1"/>
    <col min="2315" max="2315" width="5.140625" style="3" customWidth="1"/>
    <col min="2316" max="2316" width="13.7109375" style="3" bestFit="1" customWidth="1"/>
    <col min="2317" max="2319" width="12.7109375" style="3" bestFit="1" customWidth="1"/>
    <col min="2320" max="2320" width="13.7109375" style="3" bestFit="1" customWidth="1"/>
    <col min="2321" max="2321" width="5.5703125" style="3" bestFit="1" customWidth="1"/>
    <col min="2322" max="2567" width="9.140625" style="3"/>
    <col min="2568" max="2568" width="2.42578125" style="3" customWidth="1"/>
    <col min="2569" max="2569" width="10" style="3" customWidth="1"/>
    <col min="2570" max="2570" width="44.85546875" style="3" customWidth="1"/>
    <col min="2571" max="2571" width="5.140625" style="3" customWidth="1"/>
    <col min="2572" max="2572" width="13.7109375" style="3" bestFit="1" customWidth="1"/>
    <col min="2573" max="2575" width="12.7109375" style="3" bestFit="1" customWidth="1"/>
    <col min="2576" max="2576" width="13.7109375" style="3" bestFit="1" customWidth="1"/>
    <col min="2577" max="2577" width="5.5703125" style="3" bestFit="1" customWidth="1"/>
    <col min="2578" max="2823" width="9.140625" style="3"/>
    <col min="2824" max="2824" width="2.42578125" style="3" customWidth="1"/>
    <col min="2825" max="2825" width="10" style="3" customWidth="1"/>
    <col min="2826" max="2826" width="44.85546875" style="3" customWidth="1"/>
    <col min="2827" max="2827" width="5.140625" style="3" customWidth="1"/>
    <col min="2828" max="2828" width="13.7109375" style="3" bestFit="1" customWidth="1"/>
    <col min="2829" max="2831" width="12.7109375" style="3" bestFit="1" customWidth="1"/>
    <col min="2832" max="2832" width="13.7109375" style="3" bestFit="1" customWidth="1"/>
    <col min="2833" max="2833" width="5.5703125" style="3" bestFit="1" customWidth="1"/>
    <col min="2834" max="3079" width="9.140625" style="3"/>
    <col min="3080" max="3080" width="2.42578125" style="3" customWidth="1"/>
    <col min="3081" max="3081" width="10" style="3" customWidth="1"/>
    <col min="3082" max="3082" width="44.85546875" style="3" customWidth="1"/>
    <col min="3083" max="3083" width="5.140625" style="3" customWidth="1"/>
    <col min="3084" max="3084" width="13.7109375" style="3" bestFit="1" customWidth="1"/>
    <col min="3085" max="3087" width="12.7109375" style="3" bestFit="1" customWidth="1"/>
    <col min="3088" max="3088" width="13.7109375" style="3" bestFit="1" customWidth="1"/>
    <col min="3089" max="3089" width="5.5703125" style="3" bestFit="1" customWidth="1"/>
    <col min="3090" max="3335" width="9.140625" style="3"/>
    <col min="3336" max="3336" width="2.42578125" style="3" customWidth="1"/>
    <col min="3337" max="3337" width="10" style="3" customWidth="1"/>
    <col min="3338" max="3338" width="44.85546875" style="3" customWidth="1"/>
    <col min="3339" max="3339" width="5.140625" style="3" customWidth="1"/>
    <col min="3340" max="3340" width="13.7109375" style="3" bestFit="1" customWidth="1"/>
    <col min="3341" max="3343" width="12.7109375" style="3" bestFit="1" customWidth="1"/>
    <col min="3344" max="3344" width="13.7109375" style="3" bestFit="1" customWidth="1"/>
    <col min="3345" max="3345" width="5.5703125" style="3" bestFit="1" customWidth="1"/>
    <col min="3346" max="3591" width="9.140625" style="3"/>
    <col min="3592" max="3592" width="2.42578125" style="3" customWidth="1"/>
    <col min="3593" max="3593" width="10" style="3" customWidth="1"/>
    <col min="3594" max="3594" width="44.85546875" style="3" customWidth="1"/>
    <col min="3595" max="3595" width="5.140625" style="3" customWidth="1"/>
    <col min="3596" max="3596" width="13.7109375" style="3" bestFit="1" customWidth="1"/>
    <col min="3597" max="3599" width="12.7109375" style="3" bestFit="1" customWidth="1"/>
    <col min="3600" max="3600" width="13.7109375" style="3" bestFit="1" customWidth="1"/>
    <col min="3601" max="3601" width="5.5703125" style="3" bestFit="1" customWidth="1"/>
    <col min="3602" max="3847" width="9.140625" style="3"/>
    <col min="3848" max="3848" width="2.42578125" style="3" customWidth="1"/>
    <col min="3849" max="3849" width="10" style="3" customWidth="1"/>
    <col min="3850" max="3850" width="44.85546875" style="3" customWidth="1"/>
    <col min="3851" max="3851" width="5.140625" style="3" customWidth="1"/>
    <col min="3852" max="3852" width="13.7109375" style="3" bestFit="1" customWidth="1"/>
    <col min="3853" max="3855" width="12.7109375" style="3" bestFit="1" customWidth="1"/>
    <col min="3856" max="3856" width="13.7109375" style="3" bestFit="1" customWidth="1"/>
    <col min="3857" max="3857" width="5.5703125" style="3" bestFit="1" customWidth="1"/>
    <col min="3858" max="4103" width="9.140625" style="3"/>
    <col min="4104" max="4104" width="2.42578125" style="3" customWidth="1"/>
    <col min="4105" max="4105" width="10" style="3" customWidth="1"/>
    <col min="4106" max="4106" width="44.85546875" style="3" customWidth="1"/>
    <col min="4107" max="4107" width="5.140625" style="3" customWidth="1"/>
    <col min="4108" max="4108" width="13.7109375" style="3" bestFit="1" customWidth="1"/>
    <col min="4109" max="4111" width="12.7109375" style="3" bestFit="1" customWidth="1"/>
    <col min="4112" max="4112" width="13.7109375" style="3" bestFit="1" customWidth="1"/>
    <col min="4113" max="4113" width="5.5703125" style="3" bestFit="1" customWidth="1"/>
    <col min="4114" max="4359" width="9.140625" style="3"/>
    <col min="4360" max="4360" width="2.42578125" style="3" customWidth="1"/>
    <col min="4361" max="4361" width="10" style="3" customWidth="1"/>
    <col min="4362" max="4362" width="44.85546875" style="3" customWidth="1"/>
    <col min="4363" max="4363" width="5.140625" style="3" customWidth="1"/>
    <col min="4364" max="4364" width="13.7109375" style="3" bestFit="1" customWidth="1"/>
    <col min="4365" max="4367" width="12.7109375" style="3" bestFit="1" customWidth="1"/>
    <col min="4368" max="4368" width="13.7109375" style="3" bestFit="1" customWidth="1"/>
    <col min="4369" max="4369" width="5.5703125" style="3" bestFit="1" customWidth="1"/>
    <col min="4370" max="4615" width="9.140625" style="3"/>
    <col min="4616" max="4616" width="2.42578125" style="3" customWidth="1"/>
    <col min="4617" max="4617" width="10" style="3" customWidth="1"/>
    <col min="4618" max="4618" width="44.85546875" style="3" customWidth="1"/>
    <col min="4619" max="4619" width="5.140625" style="3" customWidth="1"/>
    <col min="4620" max="4620" width="13.7109375" style="3" bestFit="1" customWidth="1"/>
    <col min="4621" max="4623" width="12.7109375" style="3" bestFit="1" customWidth="1"/>
    <col min="4624" max="4624" width="13.7109375" style="3" bestFit="1" customWidth="1"/>
    <col min="4625" max="4625" width="5.5703125" style="3" bestFit="1" customWidth="1"/>
    <col min="4626" max="4871" width="9.140625" style="3"/>
    <col min="4872" max="4872" width="2.42578125" style="3" customWidth="1"/>
    <col min="4873" max="4873" width="10" style="3" customWidth="1"/>
    <col min="4874" max="4874" width="44.85546875" style="3" customWidth="1"/>
    <col min="4875" max="4875" width="5.140625" style="3" customWidth="1"/>
    <col min="4876" max="4876" width="13.7109375" style="3" bestFit="1" customWidth="1"/>
    <col min="4877" max="4879" width="12.7109375" style="3" bestFit="1" customWidth="1"/>
    <col min="4880" max="4880" width="13.7109375" style="3" bestFit="1" customWidth="1"/>
    <col min="4881" max="4881" width="5.5703125" style="3" bestFit="1" customWidth="1"/>
    <col min="4882" max="5127" width="9.140625" style="3"/>
    <col min="5128" max="5128" width="2.42578125" style="3" customWidth="1"/>
    <col min="5129" max="5129" width="10" style="3" customWidth="1"/>
    <col min="5130" max="5130" width="44.85546875" style="3" customWidth="1"/>
    <col min="5131" max="5131" width="5.140625" style="3" customWidth="1"/>
    <col min="5132" max="5132" width="13.7109375" style="3" bestFit="1" customWidth="1"/>
    <col min="5133" max="5135" width="12.7109375" style="3" bestFit="1" customWidth="1"/>
    <col min="5136" max="5136" width="13.7109375" style="3" bestFit="1" customWidth="1"/>
    <col min="5137" max="5137" width="5.5703125" style="3" bestFit="1" customWidth="1"/>
    <col min="5138" max="5383" width="9.140625" style="3"/>
    <col min="5384" max="5384" width="2.42578125" style="3" customWidth="1"/>
    <col min="5385" max="5385" width="10" style="3" customWidth="1"/>
    <col min="5386" max="5386" width="44.85546875" style="3" customWidth="1"/>
    <col min="5387" max="5387" width="5.140625" style="3" customWidth="1"/>
    <col min="5388" max="5388" width="13.7109375" style="3" bestFit="1" customWidth="1"/>
    <col min="5389" max="5391" width="12.7109375" style="3" bestFit="1" customWidth="1"/>
    <col min="5392" max="5392" width="13.7109375" style="3" bestFit="1" customWidth="1"/>
    <col min="5393" max="5393" width="5.5703125" style="3" bestFit="1" customWidth="1"/>
    <col min="5394" max="5639" width="9.140625" style="3"/>
    <col min="5640" max="5640" width="2.42578125" style="3" customWidth="1"/>
    <col min="5641" max="5641" width="10" style="3" customWidth="1"/>
    <col min="5642" max="5642" width="44.85546875" style="3" customWidth="1"/>
    <col min="5643" max="5643" width="5.140625" style="3" customWidth="1"/>
    <col min="5644" max="5644" width="13.7109375" style="3" bestFit="1" customWidth="1"/>
    <col min="5645" max="5647" width="12.7109375" style="3" bestFit="1" customWidth="1"/>
    <col min="5648" max="5648" width="13.7109375" style="3" bestFit="1" customWidth="1"/>
    <col min="5649" max="5649" width="5.5703125" style="3" bestFit="1" customWidth="1"/>
    <col min="5650" max="5895" width="9.140625" style="3"/>
    <col min="5896" max="5896" width="2.42578125" style="3" customWidth="1"/>
    <col min="5897" max="5897" width="10" style="3" customWidth="1"/>
    <col min="5898" max="5898" width="44.85546875" style="3" customWidth="1"/>
    <col min="5899" max="5899" width="5.140625" style="3" customWidth="1"/>
    <col min="5900" max="5900" width="13.7109375" style="3" bestFit="1" customWidth="1"/>
    <col min="5901" max="5903" width="12.7109375" style="3" bestFit="1" customWidth="1"/>
    <col min="5904" max="5904" width="13.7109375" style="3" bestFit="1" customWidth="1"/>
    <col min="5905" max="5905" width="5.5703125" style="3" bestFit="1" customWidth="1"/>
    <col min="5906" max="6151" width="9.140625" style="3"/>
    <col min="6152" max="6152" width="2.42578125" style="3" customWidth="1"/>
    <col min="6153" max="6153" width="10" style="3" customWidth="1"/>
    <col min="6154" max="6154" width="44.85546875" style="3" customWidth="1"/>
    <col min="6155" max="6155" width="5.140625" style="3" customWidth="1"/>
    <col min="6156" max="6156" width="13.7109375" style="3" bestFit="1" customWidth="1"/>
    <col min="6157" max="6159" width="12.7109375" style="3" bestFit="1" customWidth="1"/>
    <col min="6160" max="6160" width="13.7109375" style="3" bestFit="1" customWidth="1"/>
    <col min="6161" max="6161" width="5.5703125" style="3" bestFit="1" customWidth="1"/>
    <col min="6162" max="6407" width="9.140625" style="3"/>
    <col min="6408" max="6408" width="2.42578125" style="3" customWidth="1"/>
    <col min="6409" max="6409" width="10" style="3" customWidth="1"/>
    <col min="6410" max="6410" width="44.85546875" style="3" customWidth="1"/>
    <col min="6411" max="6411" width="5.140625" style="3" customWidth="1"/>
    <col min="6412" max="6412" width="13.7109375" style="3" bestFit="1" customWidth="1"/>
    <col min="6413" max="6415" width="12.7109375" style="3" bestFit="1" customWidth="1"/>
    <col min="6416" max="6416" width="13.7109375" style="3" bestFit="1" customWidth="1"/>
    <col min="6417" max="6417" width="5.5703125" style="3" bestFit="1" customWidth="1"/>
    <col min="6418" max="6663" width="9.140625" style="3"/>
    <col min="6664" max="6664" width="2.42578125" style="3" customWidth="1"/>
    <col min="6665" max="6665" width="10" style="3" customWidth="1"/>
    <col min="6666" max="6666" width="44.85546875" style="3" customWidth="1"/>
    <col min="6667" max="6667" width="5.140625" style="3" customWidth="1"/>
    <col min="6668" max="6668" width="13.7109375" style="3" bestFit="1" customWidth="1"/>
    <col min="6669" max="6671" width="12.7109375" style="3" bestFit="1" customWidth="1"/>
    <col min="6672" max="6672" width="13.7109375" style="3" bestFit="1" customWidth="1"/>
    <col min="6673" max="6673" width="5.5703125" style="3" bestFit="1" customWidth="1"/>
    <col min="6674" max="6919" width="9.140625" style="3"/>
    <col min="6920" max="6920" width="2.42578125" style="3" customWidth="1"/>
    <col min="6921" max="6921" width="10" style="3" customWidth="1"/>
    <col min="6922" max="6922" width="44.85546875" style="3" customWidth="1"/>
    <col min="6923" max="6923" width="5.140625" style="3" customWidth="1"/>
    <col min="6924" max="6924" width="13.7109375" style="3" bestFit="1" customWidth="1"/>
    <col min="6925" max="6927" width="12.7109375" style="3" bestFit="1" customWidth="1"/>
    <col min="6928" max="6928" width="13.7109375" style="3" bestFit="1" customWidth="1"/>
    <col min="6929" max="6929" width="5.5703125" style="3" bestFit="1" customWidth="1"/>
    <col min="6930" max="7175" width="9.140625" style="3"/>
    <col min="7176" max="7176" width="2.42578125" style="3" customWidth="1"/>
    <col min="7177" max="7177" width="10" style="3" customWidth="1"/>
    <col min="7178" max="7178" width="44.85546875" style="3" customWidth="1"/>
    <col min="7179" max="7179" width="5.140625" style="3" customWidth="1"/>
    <col min="7180" max="7180" width="13.7109375" style="3" bestFit="1" customWidth="1"/>
    <col min="7181" max="7183" width="12.7109375" style="3" bestFit="1" customWidth="1"/>
    <col min="7184" max="7184" width="13.7109375" style="3" bestFit="1" customWidth="1"/>
    <col min="7185" max="7185" width="5.5703125" style="3" bestFit="1" customWidth="1"/>
    <col min="7186" max="7431" width="9.140625" style="3"/>
    <col min="7432" max="7432" width="2.42578125" style="3" customWidth="1"/>
    <col min="7433" max="7433" width="10" style="3" customWidth="1"/>
    <col min="7434" max="7434" width="44.85546875" style="3" customWidth="1"/>
    <col min="7435" max="7435" width="5.140625" style="3" customWidth="1"/>
    <col min="7436" max="7436" width="13.7109375" style="3" bestFit="1" customWidth="1"/>
    <col min="7437" max="7439" width="12.7109375" style="3" bestFit="1" customWidth="1"/>
    <col min="7440" max="7440" width="13.7109375" style="3" bestFit="1" customWidth="1"/>
    <col min="7441" max="7441" width="5.5703125" style="3" bestFit="1" customWidth="1"/>
    <col min="7442" max="7687" width="9.140625" style="3"/>
    <col min="7688" max="7688" width="2.42578125" style="3" customWidth="1"/>
    <col min="7689" max="7689" width="10" style="3" customWidth="1"/>
    <col min="7690" max="7690" width="44.85546875" style="3" customWidth="1"/>
    <col min="7691" max="7691" width="5.140625" style="3" customWidth="1"/>
    <col min="7692" max="7692" width="13.7109375" style="3" bestFit="1" customWidth="1"/>
    <col min="7693" max="7695" width="12.7109375" style="3" bestFit="1" customWidth="1"/>
    <col min="7696" max="7696" width="13.7109375" style="3" bestFit="1" customWidth="1"/>
    <col min="7697" max="7697" width="5.5703125" style="3" bestFit="1" customWidth="1"/>
    <col min="7698" max="7943" width="9.140625" style="3"/>
    <col min="7944" max="7944" width="2.42578125" style="3" customWidth="1"/>
    <col min="7945" max="7945" width="10" style="3" customWidth="1"/>
    <col min="7946" max="7946" width="44.85546875" style="3" customWidth="1"/>
    <col min="7947" max="7947" width="5.140625" style="3" customWidth="1"/>
    <col min="7948" max="7948" width="13.7109375" style="3" bestFit="1" customWidth="1"/>
    <col min="7949" max="7951" width="12.7109375" style="3" bestFit="1" customWidth="1"/>
    <col min="7952" max="7952" width="13.7109375" style="3" bestFit="1" customWidth="1"/>
    <col min="7953" max="7953" width="5.5703125" style="3" bestFit="1" customWidth="1"/>
    <col min="7954" max="8199" width="9.140625" style="3"/>
    <col min="8200" max="8200" width="2.42578125" style="3" customWidth="1"/>
    <col min="8201" max="8201" width="10" style="3" customWidth="1"/>
    <col min="8202" max="8202" width="44.85546875" style="3" customWidth="1"/>
    <col min="8203" max="8203" width="5.140625" style="3" customWidth="1"/>
    <col min="8204" max="8204" width="13.7109375" style="3" bestFit="1" customWidth="1"/>
    <col min="8205" max="8207" width="12.7109375" style="3" bestFit="1" customWidth="1"/>
    <col min="8208" max="8208" width="13.7109375" style="3" bestFit="1" customWidth="1"/>
    <col min="8209" max="8209" width="5.5703125" style="3" bestFit="1" customWidth="1"/>
    <col min="8210" max="8455" width="9.140625" style="3"/>
    <col min="8456" max="8456" width="2.42578125" style="3" customWidth="1"/>
    <col min="8457" max="8457" width="10" style="3" customWidth="1"/>
    <col min="8458" max="8458" width="44.85546875" style="3" customWidth="1"/>
    <col min="8459" max="8459" width="5.140625" style="3" customWidth="1"/>
    <col min="8460" max="8460" width="13.7109375" style="3" bestFit="1" customWidth="1"/>
    <col min="8461" max="8463" width="12.7109375" style="3" bestFit="1" customWidth="1"/>
    <col min="8464" max="8464" width="13.7109375" style="3" bestFit="1" customWidth="1"/>
    <col min="8465" max="8465" width="5.5703125" style="3" bestFit="1" customWidth="1"/>
    <col min="8466" max="8711" width="9.140625" style="3"/>
    <col min="8712" max="8712" width="2.42578125" style="3" customWidth="1"/>
    <col min="8713" max="8713" width="10" style="3" customWidth="1"/>
    <col min="8714" max="8714" width="44.85546875" style="3" customWidth="1"/>
    <col min="8715" max="8715" width="5.140625" style="3" customWidth="1"/>
    <col min="8716" max="8716" width="13.7109375" style="3" bestFit="1" customWidth="1"/>
    <col min="8717" max="8719" width="12.7109375" style="3" bestFit="1" customWidth="1"/>
    <col min="8720" max="8720" width="13.7109375" style="3" bestFit="1" customWidth="1"/>
    <col min="8721" max="8721" width="5.5703125" style="3" bestFit="1" customWidth="1"/>
    <col min="8722" max="8967" width="9.140625" style="3"/>
    <col min="8968" max="8968" width="2.42578125" style="3" customWidth="1"/>
    <col min="8969" max="8969" width="10" style="3" customWidth="1"/>
    <col min="8970" max="8970" width="44.85546875" style="3" customWidth="1"/>
    <col min="8971" max="8971" width="5.140625" style="3" customWidth="1"/>
    <col min="8972" max="8972" width="13.7109375" style="3" bestFit="1" customWidth="1"/>
    <col min="8973" max="8975" width="12.7109375" style="3" bestFit="1" customWidth="1"/>
    <col min="8976" max="8976" width="13.7109375" style="3" bestFit="1" customWidth="1"/>
    <col min="8977" max="8977" width="5.5703125" style="3" bestFit="1" customWidth="1"/>
    <col min="8978" max="9223" width="9.140625" style="3"/>
    <col min="9224" max="9224" width="2.42578125" style="3" customWidth="1"/>
    <col min="9225" max="9225" width="10" style="3" customWidth="1"/>
    <col min="9226" max="9226" width="44.85546875" style="3" customWidth="1"/>
    <col min="9227" max="9227" width="5.140625" style="3" customWidth="1"/>
    <col min="9228" max="9228" width="13.7109375" style="3" bestFit="1" customWidth="1"/>
    <col min="9229" max="9231" width="12.7109375" style="3" bestFit="1" customWidth="1"/>
    <col min="9232" max="9232" width="13.7109375" style="3" bestFit="1" customWidth="1"/>
    <col min="9233" max="9233" width="5.5703125" style="3" bestFit="1" customWidth="1"/>
    <col min="9234" max="9479" width="9.140625" style="3"/>
    <col min="9480" max="9480" width="2.42578125" style="3" customWidth="1"/>
    <col min="9481" max="9481" width="10" style="3" customWidth="1"/>
    <col min="9482" max="9482" width="44.85546875" style="3" customWidth="1"/>
    <col min="9483" max="9483" width="5.140625" style="3" customWidth="1"/>
    <col min="9484" max="9484" width="13.7109375" style="3" bestFit="1" customWidth="1"/>
    <col min="9485" max="9487" width="12.7109375" style="3" bestFit="1" customWidth="1"/>
    <col min="9488" max="9488" width="13.7109375" style="3" bestFit="1" customWidth="1"/>
    <col min="9489" max="9489" width="5.5703125" style="3" bestFit="1" customWidth="1"/>
    <col min="9490" max="9735" width="9.140625" style="3"/>
    <col min="9736" max="9736" width="2.42578125" style="3" customWidth="1"/>
    <col min="9737" max="9737" width="10" style="3" customWidth="1"/>
    <col min="9738" max="9738" width="44.85546875" style="3" customWidth="1"/>
    <col min="9739" max="9739" width="5.140625" style="3" customWidth="1"/>
    <col min="9740" max="9740" width="13.7109375" style="3" bestFit="1" customWidth="1"/>
    <col min="9741" max="9743" width="12.7109375" style="3" bestFit="1" customWidth="1"/>
    <col min="9744" max="9744" width="13.7109375" style="3" bestFit="1" customWidth="1"/>
    <col min="9745" max="9745" width="5.5703125" style="3" bestFit="1" customWidth="1"/>
    <col min="9746" max="9991" width="9.140625" style="3"/>
    <col min="9992" max="9992" width="2.42578125" style="3" customWidth="1"/>
    <col min="9993" max="9993" width="10" style="3" customWidth="1"/>
    <col min="9994" max="9994" width="44.85546875" style="3" customWidth="1"/>
    <col min="9995" max="9995" width="5.140625" style="3" customWidth="1"/>
    <col min="9996" max="9996" width="13.7109375" style="3" bestFit="1" customWidth="1"/>
    <col min="9997" max="9999" width="12.7109375" style="3" bestFit="1" customWidth="1"/>
    <col min="10000" max="10000" width="13.7109375" style="3" bestFit="1" customWidth="1"/>
    <col min="10001" max="10001" width="5.5703125" style="3" bestFit="1" customWidth="1"/>
    <col min="10002" max="10247" width="9.140625" style="3"/>
    <col min="10248" max="10248" width="2.42578125" style="3" customWidth="1"/>
    <col min="10249" max="10249" width="10" style="3" customWidth="1"/>
    <col min="10250" max="10250" width="44.85546875" style="3" customWidth="1"/>
    <col min="10251" max="10251" width="5.140625" style="3" customWidth="1"/>
    <col min="10252" max="10252" width="13.7109375" style="3" bestFit="1" customWidth="1"/>
    <col min="10253" max="10255" width="12.7109375" style="3" bestFit="1" customWidth="1"/>
    <col min="10256" max="10256" width="13.7109375" style="3" bestFit="1" customWidth="1"/>
    <col min="10257" max="10257" width="5.5703125" style="3" bestFit="1" customWidth="1"/>
    <col min="10258" max="10503" width="9.140625" style="3"/>
    <col min="10504" max="10504" width="2.42578125" style="3" customWidth="1"/>
    <col min="10505" max="10505" width="10" style="3" customWidth="1"/>
    <col min="10506" max="10506" width="44.85546875" style="3" customWidth="1"/>
    <col min="10507" max="10507" width="5.140625" style="3" customWidth="1"/>
    <col min="10508" max="10508" width="13.7109375" style="3" bestFit="1" customWidth="1"/>
    <col min="10509" max="10511" width="12.7109375" style="3" bestFit="1" customWidth="1"/>
    <col min="10512" max="10512" width="13.7109375" style="3" bestFit="1" customWidth="1"/>
    <col min="10513" max="10513" width="5.5703125" style="3" bestFit="1" customWidth="1"/>
    <col min="10514" max="10759" width="9.140625" style="3"/>
    <col min="10760" max="10760" width="2.42578125" style="3" customWidth="1"/>
    <col min="10761" max="10761" width="10" style="3" customWidth="1"/>
    <col min="10762" max="10762" width="44.85546875" style="3" customWidth="1"/>
    <col min="10763" max="10763" width="5.140625" style="3" customWidth="1"/>
    <col min="10764" max="10764" width="13.7109375" style="3" bestFit="1" customWidth="1"/>
    <col min="10765" max="10767" width="12.7109375" style="3" bestFit="1" customWidth="1"/>
    <col min="10768" max="10768" width="13.7109375" style="3" bestFit="1" customWidth="1"/>
    <col min="10769" max="10769" width="5.5703125" style="3" bestFit="1" customWidth="1"/>
    <col min="10770" max="11015" width="9.140625" style="3"/>
    <col min="11016" max="11016" width="2.42578125" style="3" customWidth="1"/>
    <col min="11017" max="11017" width="10" style="3" customWidth="1"/>
    <col min="11018" max="11018" width="44.85546875" style="3" customWidth="1"/>
    <col min="11019" max="11019" width="5.140625" style="3" customWidth="1"/>
    <col min="11020" max="11020" width="13.7109375" style="3" bestFit="1" customWidth="1"/>
    <col min="11021" max="11023" width="12.7109375" style="3" bestFit="1" customWidth="1"/>
    <col min="11024" max="11024" width="13.7109375" style="3" bestFit="1" customWidth="1"/>
    <col min="11025" max="11025" width="5.5703125" style="3" bestFit="1" customWidth="1"/>
    <col min="11026" max="11271" width="9.140625" style="3"/>
    <col min="11272" max="11272" width="2.42578125" style="3" customWidth="1"/>
    <col min="11273" max="11273" width="10" style="3" customWidth="1"/>
    <col min="11274" max="11274" width="44.85546875" style="3" customWidth="1"/>
    <col min="11275" max="11275" width="5.140625" style="3" customWidth="1"/>
    <col min="11276" max="11276" width="13.7109375" style="3" bestFit="1" customWidth="1"/>
    <col min="11277" max="11279" width="12.7109375" style="3" bestFit="1" customWidth="1"/>
    <col min="11280" max="11280" width="13.7109375" style="3" bestFit="1" customWidth="1"/>
    <col min="11281" max="11281" width="5.5703125" style="3" bestFit="1" customWidth="1"/>
    <col min="11282" max="11527" width="9.140625" style="3"/>
    <col min="11528" max="11528" width="2.42578125" style="3" customWidth="1"/>
    <col min="11529" max="11529" width="10" style="3" customWidth="1"/>
    <col min="11530" max="11530" width="44.85546875" style="3" customWidth="1"/>
    <col min="11531" max="11531" width="5.140625" style="3" customWidth="1"/>
    <col min="11532" max="11532" width="13.7109375" style="3" bestFit="1" customWidth="1"/>
    <col min="11533" max="11535" width="12.7109375" style="3" bestFit="1" customWidth="1"/>
    <col min="11536" max="11536" width="13.7109375" style="3" bestFit="1" customWidth="1"/>
    <col min="11537" max="11537" width="5.5703125" style="3" bestFit="1" customWidth="1"/>
    <col min="11538" max="11783" width="9.140625" style="3"/>
    <col min="11784" max="11784" width="2.42578125" style="3" customWidth="1"/>
    <col min="11785" max="11785" width="10" style="3" customWidth="1"/>
    <col min="11786" max="11786" width="44.85546875" style="3" customWidth="1"/>
    <col min="11787" max="11787" width="5.140625" style="3" customWidth="1"/>
    <col min="11788" max="11788" width="13.7109375" style="3" bestFit="1" customWidth="1"/>
    <col min="11789" max="11791" width="12.7109375" style="3" bestFit="1" customWidth="1"/>
    <col min="11792" max="11792" width="13.7109375" style="3" bestFit="1" customWidth="1"/>
    <col min="11793" max="11793" width="5.5703125" style="3" bestFit="1" customWidth="1"/>
    <col min="11794" max="12039" width="9.140625" style="3"/>
    <col min="12040" max="12040" width="2.42578125" style="3" customWidth="1"/>
    <col min="12041" max="12041" width="10" style="3" customWidth="1"/>
    <col min="12042" max="12042" width="44.85546875" style="3" customWidth="1"/>
    <col min="12043" max="12043" width="5.140625" style="3" customWidth="1"/>
    <col min="12044" max="12044" width="13.7109375" style="3" bestFit="1" customWidth="1"/>
    <col min="12045" max="12047" width="12.7109375" style="3" bestFit="1" customWidth="1"/>
    <col min="12048" max="12048" width="13.7109375" style="3" bestFit="1" customWidth="1"/>
    <col min="12049" max="12049" width="5.5703125" style="3" bestFit="1" customWidth="1"/>
    <col min="12050" max="12295" width="9.140625" style="3"/>
    <col min="12296" max="12296" width="2.42578125" style="3" customWidth="1"/>
    <col min="12297" max="12297" width="10" style="3" customWidth="1"/>
    <col min="12298" max="12298" width="44.85546875" style="3" customWidth="1"/>
    <col min="12299" max="12299" width="5.140625" style="3" customWidth="1"/>
    <col min="12300" max="12300" width="13.7109375" style="3" bestFit="1" customWidth="1"/>
    <col min="12301" max="12303" width="12.7109375" style="3" bestFit="1" customWidth="1"/>
    <col min="12304" max="12304" width="13.7109375" style="3" bestFit="1" customWidth="1"/>
    <col min="12305" max="12305" width="5.5703125" style="3" bestFit="1" customWidth="1"/>
    <col min="12306" max="12551" width="9.140625" style="3"/>
    <col min="12552" max="12552" width="2.42578125" style="3" customWidth="1"/>
    <col min="12553" max="12553" width="10" style="3" customWidth="1"/>
    <col min="12554" max="12554" width="44.85546875" style="3" customWidth="1"/>
    <col min="12555" max="12555" width="5.140625" style="3" customWidth="1"/>
    <col min="12556" max="12556" width="13.7109375" style="3" bestFit="1" customWidth="1"/>
    <col min="12557" max="12559" width="12.7109375" style="3" bestFit="1" customWidth="1"/>
    <col min="12560" max="12560" width="13.7109375" style="3" bestFit="1" customWidth="1"/>
    <col min="12561" max="12561" width="5.5703125" style="3" bestFit="1" customWidth="1"/>
    <col min="12562" max="12807" width="9.140625" style="3"/>
    <col min="12808" max="12808" width="2.42578125" style="3" customWidth="1"/>
    <col min="12809" max="12809" width="10" style="3" customWidth="1"/>
    <col min="12810" max="12810" width="44.85546875" style="3" customWidth="1"/>
    <col min="12811" max="12811" width="5.140625" style="3" customWidth="1"/>
    <col min="12812" max="12812" width="13.7109375" style="3" bestFit="1" customWidth="1"/>
    <col min="12813" max="12815" width="12.7109375" style="3" bestFit="1" customWidth="1"/>
    <col min="12816" max="12816" width="13.7109375" style="3" bestFit="1" customWidth="1"/>
    <col min="12817" max="12817" width="5.5703125" style="3" bestFit="1" customWidth="1"/>
    <col min="12818" max="13063" width="9.140625" style="3"/>
    <col min="13064" max="13064" width="2.42578125" style="3" customWidth="1"/>
    <col min="13065" max="13065" width="10" style="3" customWidth="1"/>
    <col min="13066" max="13066" width="44.85546875" style="3" customWidth="1"/>
    <col min="13067" max="13067" width="5.140625" style="3" customWidth="1"/>
    <col min="13068" max="13068" width="13.7109375" style="3" bestFit="1" customWidth="1"/>
    <col min="13069" max="13071" width="12.7109375" style="3" bestFit="1" customWidth="1"/>
    <col min="13072" max="13072" width="13.7109375" style="3" bestFit="1" customWidth="1"/>
    <col min="13073" max="13073" width="5.5703125" style="3" bestFit="1" customWidth="1"/>
    <col min="13074" max="13319" width="9.140625" style="3"/>
    <col min="13320" max="13320" width="2.42578125" style="3" customWidth="1"/>
    <col min="13321" max="13321" width="10" style="3" customWidth="1"/>
    <col min="13322" max="13322" width="44.85546875" style="3" customWidth="1"/>
    <col min="13323" max="13323" width="5.140625" style="3" customWidth="1"/>
    <col min="13324" max="13324" width="13.7109375" style="3" bestFit="1" customWidth="1"/>
    <col min="13325" max="13327" width="12.7109375" style="3" bestFit="1" customWidth="1"/>
    <col min="13328" max="13328" width="13.7109375" style="3" bestFit="1" customWidth="1"/>
    <col min="13329" max="13329" width="5.5703125" style="3" bestFit="1" customWidth="1"/>
    <col min="13330" max="13575" width="9.140625" style="3"/>
    <col min="13576" max="13576" width="2.42578125" style="3" customWidth="1"/>
    <col min="13577" max="13577" width="10" style="3" customWidth="1"/>
    <col min="13578" max="13578" width="44.85546875" style="3" customWidth="1"/>
    <col min="13579" max="13579" width="5.140625" style="3" customWidth="1"/>
    <col min="13580" max="13580" width="13.7109375" style="3" bestFit="1" customWidth="1"/>
    <col min="13581" max="13583" width="12.7109375" style="3" bestFit="1" customWidth="1"/>
    <col min="13584" max="13584" width="13.7109375" style="3" bestFit="1" customWidth="1"/>
    <col min="13585" max="13585" width="5.5703125" style="3" bestFit="1" customWidth="1"/>
    <col min="13586" max="13831" width="9.140625" style="3"/>
    <col min="13832" max="13832" width="2.42578125" style="3" customWidth="1"/>
    <col min="13833" max="13833" width="10" style="3" customWidth="1"/>
    <col min="13834" max="13834" width="44.85546875" style="3" customWidth="1"/>
    <col min="13835" max="13835" width="5.140625" style="3" customWidth="1"/>
    <col min="13836" max="13836" width="13.7109375" style="3" bestFit="1" customWidth="1"/>
    <col min="13837" max="13839" width="12.7109375" style="3" bestFit="1" customWidth="1"/>
    <col min="13840" max="13840" width="13.7109375" style="3" bestFit="1" customWidth="1"/>
    <col min="13841" max="13841" width="5.5703125" style="3" bestFit="1" customWidth="1"/>
    <col min="13842" max="14087" width="9.140625" style="3"/>
    <col min="14088" max="14088" width="2.42578125" style="3" customWidth="1"/>
    <col min="14089" max="14089" width="10" style="3" customWidth="1"/>
    <col min="14090" max="14090" width="44.85546875" style="3" customWidth="1"/>
    <col min="14091" max="14091" width="5.140625" style="3" customWidth="1"/>
    <col min="14092" max="14092" width="13.7109375" style="3" bestFit="1" customWidth="1"/>
    <col min="14093" max="14095" width="12.7109375" style="3" bestFit="1" customWidth="1"/>
    <col min="14096" max="14096" width="13.7109375" style="3" bestFit="1" customWidth="1"/>
    <col min="14097" max="14097" width="5.5703125" style="3" bestFit="1" customWidth="1"/>
    <col min="14098" max="14343" width="9.140625" style="3"/>
    <col min="14344" max="14344" width="2.42578125" style="3" customWidth="1"/>
    <col min="14345" max="14345" width="10" style="3" customWidth="1"/>
    <col min="14346" max="14346" width="44.85546875" style="3" customWidth="1"/>
    <col min="14347" max="14347" width="5.140625" style="3" customWidth="1"/>
    <col min="14348" max="14348" width="13.7109375" style="3" bestFit="1" customWidth="1"/>
    <col min="14349" max="14351" width="12.7109375" style="3" bestFit="1" customWidth="1"/>
    <col min="14352" max="14352" width="13.7109375" style="3" bestFit="1" customWidth="1"/>
    <col min="14353" max="14353" width="5.5703125" style="3" bestFit="1" customWidth="1"/>
    <col min="14354" max="14599" width="9.140625" style="3"/>
    <col min="14600" max="14600" width="2.42578125" style="3" customWidth="1"/>
    <col min="14601" max="14601" width="10" style="3" customWidth="1"/>
    <col min="14602" max="14602" width="44.85546875" style="3" customWidth="1"/>
    <col min="14603" max="14603" width="5.140625" style="3" customWidth="1"/>
    <col min="14604" max="14604" width="13.7109375" style="3" bestFit="1" customWidth="1"/>
    <col min="14605" max="14607" width="12.7109375" style="3" bestFit="1" customWidth="1"/>
    <col min="14608" max="14608" width="13.7109375" style="3" bestFit="1" customWidth="1"/>
    <col min="14609" max="14609" width="5.5703125" style="3" bestFit="1" customWidth="1"/>
    <col min="14610" max="14855" width="9.140625" style="3"/>
    <col min="14856" max="14856" width="2.42578125" style="3" customWidth="1"/>
    <col min="14857" max="14857" width="10" style="3" customWidth="1"/>
    <col min="14858" max="14858" width="44.85546875" style="3" customWidth="1"/>
    <col min="14859" max="14859" width="5.140625" style="3" customWidth="1"/>
    <col min="14860" max="14860" width="13.7109375" style="3" bestFit="1" customWidth="1"/>
    <col min="14861" max="14863" width="12.7109375" style="3" bestFit="1" customWidth="1"/>
    <col min="14864" max="14864" width="13.7109375" style="3" bestFit="1" customWidth="1"/>
    <col min="14865" max="14865" width="5.5703125" style="3" bestFit="1" customWidth="1"/>
    <col min="14866" max="15111" width="9.140625" style="3"/>
    <col min="15112" max="15112" width="2.42578125" style="3" customWidth="1"/>
    <col min="15113" max="15113" width="10" style="3" customWidth="1"/>
    <col min="15114" max="15114" width="44.85546875" style="3" customWidth="1"/>
    <col min="15115" max="15115" width="5.140625" style="3" customWidth="1"/>
    <col min="15116" max="15116" width="13.7109375" style="3" bestFit="1" customWidth="1"/>
    <col min="15117" max="15119" width="12.7109375" style="3" bestFit="1" customWidth="1"/>
    <col min="15120" max="15120" width="13.7109375" style="3" bestFit="1" customWidth="1"/>
    <col min="15121" max="15121" width="5.5703125" style="3" bestFit="1" customWidth="1"/>
    <col min="15122" max="15367" width="9.140625" style="3"/>
    <col min="15368" max="15368" width="2.42578125" style="3" customWidth="1"/>
    <col min="15369" max="15369" width="10" style="3" customWidth="1"/>
    <col min="15370" max="15370" width="44.85546875" style="3" customWidth="1"/>
    <col min="15371" max="15371" width="5.140625" style="3" customWidth="1"/>
    <col min="15372" max="15372" width="13.7109375" style="3" bestFit="1" customWidth="1"/>
    <col min="15373" max="15375" width="12.7109375" style="3" bestFit="1" customWidth="1"/>
    <col min="15376" max="15376" width="13.7109375" style="3" bestFit="1" customWidth="1"/>
    <col min="15377" max="15377" width="5.5703125" style="3" bestFit="1" customWidth="1"/>
    <col min="15378" max="15623" width="9.140625" style="3"/>
    <col min="15624" max="15624" width="2.42578125" style="3" customWidth="1"/>
    <col min="15625" max="15625" width="10" style="3" customWidth="1"/>
    <col min="15626" max="15626" width="44.85546875" style="3" customWidth="1"/>
    <col min="15627" max="15627" width="5.140625" style="3" customWidth="1"/>
    <col min="15628" max="15628" width="13.7109375" style="3" bestFit="1" customWidth="1"/>
    <col min="15629" max="15631" width="12.7109375" style="3" bestFit="1" customWidth="1"/>
    <col min="15632" max="15632" width="13.7109375" style="3" bestFit="1" customWidth="1"/>
    <col min="15633" max="15633" width="5.5703125" style="3" bestFit="1" customWidth="1"/>
    <col min="15634" max="15879" width="9.140625" style="3"/>
    <col min="15880" max="15880" width="2.42578125" style="3" customWidth="1"/>
    <col min="15881" max="15881" width="10" style="3" customWidth="1"/>
    <col min="15882" max="15882" width="44.85546875" style="3" customWidth="1"/>
    <col min="15883" max="15883" width="5.140625" style="3" customWidth="1"/>
    <col min="15884" max="15884" width="13.7109375" style="3" bestFit="1" customWidth="1"/>
    <col min="15885" max="15887" width="12.7109375" style="3" bestFit="1" customWidth="1"/>
    <col min="15888" max="15888" width="13.7109375" style="3" bestFit="1" customWidth="1"/>
    <col min="15889" max="15889" width="5.5703125" style="3" bestFit="1" customWidth="1"/>
    <col min="15890" max="16135" width="9.140625" style="3"/>
    <col min="16136" max="16136" width="2.42578125" style="3" customWidth="1"/>
    <col min="16137" max="16137" width="10" style="3" customWidth="1"/>
    <col min="16138" max="16138" width="44.85546875" style="3" customWidth="1"/>
    <col min="16139" max="16139" width="5.140625" style="3" customWidth="1"/>
    <col min="16140" max="16140" width="13.7109375" style="3" bestFit="1" customWidth="1"/>
    <col min="16141" max="16143" width="12.7109375" style="3" bestFit="1" customWidth="1"/>
    <col min="16144" max="16144" width="13.7109375" style="3" bestFit="1" customWidth="1"/>
    <col min="16145" max="16145" width="5.5703125" style="3" bestFit="1" customWidth="1"/>
    <col min="16146" max="16384" width="9.140625" style="3"/>
  </cols>
  <sheetData>
    <row r="2" spans="1:17">
      <c r="A2" s="106" t="s">
        <v>108</v>
      </c>
      <c r="F2" s="388" t="s">
        <v>109</v>
      </c>
      <c r="G2" s="388" t="s">
        <v>110</v>
      </c>
      <c r="H2" s="24"/>
      <c r="I2" s="447" t="s">
        <v>649</v>
      </c>
      <c r="J2" s="448">
        <v>2021</v>
      </c>
      <c r="K2" s="448">
        <v>2022</v>
      </c>
    </row>
    <row r="3" spans="1:17" s="24" customFormat="1">
      <c r="F3" s="389" t="s">
        <v>111</v>
      </c>
      <c r="G3" s="389" t="s">
        <v>111</v>
      </c>
      <c r="H3" s="3"/>
      <c r="I3" s="340" t="s">
        <v>650</v>
      </c>
      <c r="J3" s="390">
        <v>0.33</v>
      </c>
      <c r="K3" s="449">
        <v>0.4</v>
      </c>
    </row>
    <row r="4" spans="1:17">
      <c r="F4" s="390">
        <v>0.19989999999999999</v>
      </c>
      <c r="G4" s="390">
        <v>0.11840000000000001</v>
      </c>
    </row>
    <row r="5" spans="1:17">
      <c r="G5" s="86" t="s">
        <v>112</v>
      </c>
    </row>
    <row r="6" spans="1:17">
      <c r="A6" s="25"/>
      <c r="B6" s="25"/>
      <c r="C6" s="25"/>
      <c r="D6" s="25"/>
      <c r="E6" s="25"/>
      <c r="F6" s="33" t="s">
        <v>11</v>
      </c>
      <c r="G6" s="391">
        <v>2021</v>
      </c>
      <c r="H6" s="391">
        <v>2021</v>
      </c>
      <c r="I6" s="391">
        <v>2022</v>
      </c>
      <c r="J6" s="391">
        <v>2023</v>
      </c>
      <c r="K6" s="391">
        <v>2024</v>
      </c>
      <c r="L6" s="391">
        <v>2025</v>
      </c>
      <c r="M6" s="391"/>
      <c r="N6" s="391"/>
      <c r="O6" s="391"/>
      <c r="P6" s="391"/>
    </row>
    <row r="7" spans="1:17">
      <c r="F7" s="340" t="s">
        <v>576</v>
      </c>
      <c r="G7" s="392">
        <v>0.33</v>
      </c>
      <c r="H7" s="392">
        <v>0.33500000000000002</v>
      </c>
      <c r="I7" s="393">
        <v>0.4</v>
      </c>
      <c r="J7" s="390">
        <v>0.5</v>
      </c>
      <c r="K7" s="390">
        <v>0.74</v>
      </c>
      <c r="L7" s="393">
        <v>0.72</v>
      </c>
      <c r="M7" s="393"/>
      <c r="N7" s="393"/>
      <c r="O7" s="393"/>
      <c r="P7" s="393"/>
    </row>
    <row r="8" spans="1:17">
      <c r="F8" s="340" t="s">
        <v>575</v>
      </c>
    </row>
    <row r="9" spans="1:17">
      <c r="A9" s="25"/>
      <c r="B9" s="394" t="s">
        <v>473</v>
      </c>
      <c r="C9" s="395"/>
      <c r="D9" s="396" t="s">
        <v>113</v>
      </c>
      <c r="E9" s="396" t="s">
        <v>114</v>
      </c>
      <c r="F9" s="396" t="s">
        <v>115</v>
      </c>
      <c r="G9" s="396" t="s">
        <v>116</v>
      </c>
      <c r="H9" s="396" t="s">
        <v>276</v>
      </c>
      <c r="I9" s="396" t="s">
        <v>277</v>
      </c>
      <c r="J9" s="396" t="s">
        <v>278</v>
      </c>
      <c r="K9" s="396" t="s">
        <v>279</v>
      </c>
      <c r="L9" s="396" t="s">
        <v>280</v>
      </c>
      <c r="M9" s="396" t="s">
        <v>282</v>
      </c>
      <c r="N9" s="396" t="s">
        <v>283</v>
      </c>
      <c r="O9" s="396" t="s">
        <v>284</v>
      </c>
      <c r="P9" s="397" t="s">
        <v>10</v>
      </c>
    </row>
    <row r="10" spans="1:17">
      <c r="B10" s="388" t="s">
        <v>570</v>
      </c>
      <c r="C10" s="389"/>
      <c r="D10" s="386"/>
      <c r="E10" s="386"/>
      <c r="F10" s="386"/>
      <c r="G10" s="386"/>
      <c r="H10" s="386"/>
      <c r="I10" s="386"/>
      <c r="J10" s="386"/>
      <c r="K10" s="386"/>
      <c r="L10" s="386"/>
      <c r="M10" s="386"/>
      <c r="N10" s="386"/>
      <c r="O10" s="386"/>
      <c r="P10" s="398"/>
    </row>
    <row r="11" spans="1:17">
      <c r="A11" s="59" t="s">
        <v>117</v>
      </c>
      <c r="B11" s="3" t="s">
        <v>569</v>
      </c>
      <c r="C11" s="389">
        <v>311</v>
      </c>
      <c r="D11" s="386">
        <v>646851.22</v>
      </c>
      <c r="E11" s="386">
        <v>1584309.78</v>
      </c>
      <c r="F11" s="386">
        <v>1110585.6299999999</v>
      </c>
      <c r="G11" s="386">
        <v>1101862.0900000001</v>
      </c>
      <c r="H11" s="386">
        <f>1041204.38</f>
        <v>1041204.38</v>
      </c>
      <c r="I11" s="386">
        <v>1041463.47</v>
      </c>
      <c r="J11" s="386">
        <v>1038282.04</v>
      </c>
      <c r="K11" s="386">
        <v>1036421.89</v>
      </c>
      <c r="L11" s="386">
        <v>1047813.28</v>
      </c>
      <c r="M11" s="386">
        <v>1031939.72</v>
      </c>
      <c r="N11" s="386">
        <f>1031371.47</f>
        <v>1031371.47</v>
      </c>
      <c r="O11" s="386">
        <f>2257142.6</f>
        <v>2257142.6</v>
      </c>
      <c r="P11" s="398">
        <f>SUM(D11:O11)</f>
        <v>13969247.57</v>
      </c>
      <c r="Q11" s="386">
        <f>13969247.57-P11</f>
        <v>0</v>
      </c>
    </row>
    <row r="12" spans="1:17">
      <c r="A12" s="59" t="s">
        <v>118</v>
      </c>
      <c r="B12" s="3" t="s">
        <v>571</v>
      </c>
      <c r="C12" s="389">
        <v>320</v>
      </c>
      <c r="D12" s="386">
        <v>40013.54</v>
      </c>
      <c r="E12" s="386">
        <v>25467.31</v>
      </c>
      <c r="F12" s="386">
        <f>43738.35</f>
        <v>43738.35</v>
      </c>
      <c r="G12" s="386">
        <v>147124.29</v>
      </c>
      <c r="H12" s="386">
        <f>167667.79</f>
        <v>167667.79</v>
      </c>
      <c r="I12" s="386">
        <v>197063.87</v>
      </c>
      <c r="J12" s="386">
        <v>79480.33</v>
      </c>
      <c r="K12" s="386">
        <v>114330.75</v>
      </c>
      <c r="L12" s="386">
        <v>39881.89</v>
      </c>
      <c r="M12" s="386">
        <v>76483.03</v>
      </c>
      <c r="N12" s="386">
        <f>132426.56</f>
        <v>132426.56</v>
      </c>
      <c r="O12" s="386">
        <f>81964.99</f>
        <v>81964.990000000005</v>
      </c>
      <c r="P12" s="398">
        <f>SUM(D12:O12)</f>
        <v>1145642.7</v>
      </c>
      <c r="Q12" s="386">
        <f>1145642.7-P12</f>
        <v>0</v>
      </c>
    </row>
    <row r="13" spans="1:17">
      <c r="B13" s="388" t="s">
        <v>572</v>
      </c>
      <c r="C13" s="389"/>
      <c r="D13" s="386">
        <v>1821306.69</v>
      </c>
      <c r="E13" s="386">
        <v>3418373.35</v>
      </c>
      <c r="F13" s="386">
        <v>2477691.9500000002</v>
      </c>
      <c r="G13" s="386">
        <v>2713144.41</v>
      </c>
      <c r="H13" s="386">
        <f>2527081.2</f>
        <v>2527081.2000000002</v>
      </c>
      <c r="I13" s="386">
        <v>2358458.2000000002</v>
      </c>
      <c r="J13" s="386">
        <v>2342207.5</v>
      </c>
      <c r="K13" s="386">
        <f>2308046.36</f>
        <v>2308046.36</v>
      </c>
      <c r="L13" s="386">
        <v>2466047.48</v>
      </c>
      <c r="M13" s="386">
        <v>2370360.38</v>
      </c>
      <c r="N13" s="386">
        <f>2878589.87</f>
        <v>2878589.87</v>
      </c>
      <c r="O13" s="386">
        <f>5272665.5</f>
        <v>5272665.5</v>
      </c>
      <c r="P13" s="398">
        <f>SUM(D13:N13)</f>
        <v>27681307.390000001</v>
      </c>
      <c r="Q13" s="338">
        <f>27681307.39-P13</f>
        <v>0</v>
      </c>
    </row>
    <row r="14" spans="1:17">
      <c r="A14" s="25"/>
      <c r="B14" s="25" t="s">
        <v>573</v>
      </c>
      <c r="C14" s="399"/>
      <c r="D14" s="400">
        <v>1774960.27</v>
      </c>
      <c r="E14" s="401">
        <v>1892028.52</v>
      </c>
      <c r="F14" s="401">
        <v>1916270.79</v>
      </c>
      <c r="G14" s="401">
        <v>1847527.88</v>
      </c>
      <c r="H14" s="401">
        <v>1862823.19</v>
      </c>
      <c r="I14" s="401">
        <f>1860508.85</f>
        <v>1860508.85</v>
      </c>
      <c r="J14" s="401">
        <v>1888869.79</v>
      </c>
      <c r="K14" s="401">
        <v>1864374.65</v>
      </c>
      <c r="L14" s="401">
        <f>1864704.24</f>
        <v>1864704.24</v>
      </c>
      <c r="M14" s="401">
        <v>1868149.11</v>
      </c>
      <c r="N14" s="401">
        <f>1866454.01</f>
        <v>1866454.01</v>
      </c>
      <c r="O14" s="401">
        <f>3707726.11</f>
        <v>3707726.11</v>
      </c>
      <c r="P14" s="413">
        <f>SUM(D14:O14)</f>
        <v>24214397.41</v>
      </c>
      <c r="Q14" s="338">
        <f>24214397.41-P14</f>
        <v>0</v>
      </c>
    </row>
    <row r="15" spans="1:17">
      <c r="B15" s="3" t="s">
        <v>574</v>
      </c>
      <c r="C15" s="389" t="s">
        <v>119</v>
      </c>
      <c r="D15" s="386">
        <f t="shared" ref="D15:K15" si="0">D13-D14</f>
        <v>46346.419999999925</v>
      </c>
      <c r="E15" s="386">
        <f t="shared" si="0"/>
        <v>1526344.83</v>
      </c>
      <c r="F15" s="386">
        <f t="shared" si="0"/>
        <v>561421.16000000015</v>
      </c>
      <c r="G15" s="386">
        <f>G13-G14</f>
        <v>865616.53000000026</v>
      </c>
      <c r="H15" s="386">
        <f t="shared" si="0"/>
        <v>664258.01000000024</v>
      </c>
      <c r="I15" s="402">
        <f t="shared" si="0"/>
        <v>497949.35000000009</v>
      </c>
      <c r="J15" s="402">
        <f t="shared" si="0"/>
        <v>453337.70999999996</v>
      </c>
      <c r="K15" s="402">
        <f t="shared" si="0"/>
        <v>443671.70999999996</v>
      </c>
      <c r="L15" s="402">
        <f>L13-L14</f>
        <v>601343.24</v>
      </c>
      <c r="M15" s="402">
        <f>M13-M14</f>
        <v>502211.26999999979</v>
      </c>
      <c r="N15" s="386">
        <f>N13-N14</f>
        <v>1012135.8600000001</v>
      </c>
      <c r="O15" s="386">
        <f>O13-O14</f>
        <v>1564939.3900000001</v>
      </c>
      <c r="P15" s="398">
        <f>SUM(D15:N15)</f>
        <v>7174636.0900000008</v>
      </c>
      <c r="Q15" s="338"/>
    </row>
    <row r="16" spans="1:17">
      <c r="C16" s="389"/>
      <c r="D16" s="386"/>
      <c r="P16" s="29"/>
    </row>
    <row r="17" spans="1:18">
      <c r="A17" s="25"/>
      <c r="B17" s="403" t="s">
        <v>120</v>
      </c>
      <c r="C17" s="399" t="s">
        <v>121</v>
      </c>
      <c r="D17" s="400">
        <f t="shared" ref="D17:J17" si="1">SUM(D11:D12)-D15</f>
        <v>640518.34000000008</v>
      </c>
      <c r="E17" s="400">
        <f t="shared" si="1"/>
        <v>83432.260000000009</v>
      </c>
      <c r="F17" s="400">
        <f t="shared" si="1"/>
        <v>592902.81999999983</v>
      </c>
      <c r="G17" s="400">
        <f t="shared" si="1"/>
        <v>383369.84999999986</v>
      </c>
      <c r="H17" s="400">
        <f t="shared" si="1"/>
        <v>544614.15999999968</v>
      </c>
      <c r="I17" s="400">
        <f t="shared" si="1"/>
        <v>740577.98999999976</v>
      </c>
      <c r="J17" s="400">
        <f t="shared" si="1"/>
        <v>664424.66000000015</v>
      </c>
      <c r="K17" s="400">
        <f>SUM(K11:K12)-K15</f>
        <v>707080.93000000017</v>
      </c>
      <c r="L17" s="400">
        <f>SUM(L11:L12)-L15</f>
        <v>486351.92999999993</v>
      </c>
      <c r="M17" s="400">
        <f>SUM(M11:M12)-M15</f>
        <v>606211.48000000021</v>
      </c>
      <c r="N17" s="400">
        <f>SUM(N11:N12)-N15</f>
        <v>151662.16999999993</v>
      </c>
      <c r="O17" s="400">
        <f>SUM(O11:O12)-O15</f>
        <v>774168.20000000019</v>
      </c>
      <c r="P17" s="413">
        <f>SUM(D17:O17)</f>
        <v>6375314.79</v>
      </c>
    </row>
    <row r="18" spans="1:18">
      <c r="B18" s="3" t="s">
        <v>474</v>
      </c>
      <c r="D18" s="386"/>
      <c r="E18" s="338">
        <f>D17+E17</f>
        <v>723950.60000000009</v>
      </c>
      <c r="F18" s="338">
        <f t="shared" ref="F18:J18" si="2">E18+F17</f>
        <v>1316853.42</v>
      </c>
      <c r="G18" s="338">
        <f t="shared" si="2"/>
        <v>1700223.2699999998</v>
      </c>
      <c r="H18" s="338">
        <f t="shared" si="2"/>
        <v>2244837.4299999997</v>
      </c>
      <c r="I18" s="338">
        <f t="shared" si="2"/>
        <v>2985415.4199999995</v>
      </c>
      <c r="J18" s="338">
        <f t="shared" si="2"/>
        <v>3649840.0799999996</v>
      </c>
      <c r="K18" s="338">
        <f>J18+K17</f>
        <v>4356921.01</v>
      </c>
      <c r="L18" s="338">
        <f>K18+L17</f>
        <v>4843272.9399999995</v>
      </c>
      <c r="M18" s="338">
        <f>L18+M17</f>
        <v>5449484.4199999999</v>
      </c>
      <c r="N18" s="338">
        <f>M18+N17</f>
        <v>5601146.5899999999</v>
      </c>
      <c r="O18" s="338">
        <f>N18+O17</f>
        <v>6375314.79</v>
      </c>
      <c r="P18" s="29"/>
    </row>
    <row r="19" spans="1:18">
      <c r="D19" s="386"/>
      <c r="P19" s="29"/>
    </row>
    <row r="20" spans="1:18">
      <c r="B20" s="340" t="s">
        <v>122</v>
      </c>
      <c r="C20" s="404"/>
      <c r="D20" s="386">
        <f>21390.5-13008.99</f>
        <v>8381.51</v>
      </c>
      <c r="E20" s="405">
        <v>7644.48</v>
      </c>
      <c r="F20" s="405">
        <f>70335.98-81867.41</f>
        <v>-11531.430000000008</v>
      </c>
      <c r="G20" s="405">
        <v>236970.22</v>
      </c>
      <c r="H20" s="405">
        <f>196118.17-25818.29</f>
        <v>170299.88</v>
      </c>
      <c r="I20" s="405">
        <f>48213.11-50509.62</f>
        <v>-2296.510000000002</v>
      </c>
      <c r="J20" s="405">
        <f>73898.94-87402.27</f>
        <v>-13503.330000000002</v>
      </c>
      <c r="K20" s="405">
        <f>93050.89-139895.26</f>
        <v>-46844.37000000001</v>
      </c>
      <c r="L20" s="405">
        <f>207190.52-117856.34</f>
        <v>89334.18</v>
      </c>
      <c r="M20" s="405">
        <f>356724.71-334520.02</f>
        <v>22204.690000000002</v>
      </c>
      <c r="N20" s="405">
        <f>559892.02-(2703.66+30050.01)</f>
        <v>527138.35</v>
      </c>
      <c r="O20" s="405">
        <f>468274.43</f>
        <v>468274.43</v>
      </c>
      <c r="P20" s="398">
        <f>SUM(D20:O20)</f>
        <v>1456072.0999999999</v>
      </c>
      <c r="Q20" s="338">
        <f>(2351279.88-(895207.78))-P20</f>
        <v>0</v>
      </c>
    </row>
    <row r="21" spans="1:18">
      <c r="D21" s="386"/>
      <c r="O21" s="340" t="s">
        <v>639</v>
      </c>
      <c r="P21" s="444">
        <v>-352333.58</v>
      </c>
      <c r="R21" s="338"/>
    </row>
    <row r="22" spans="1:18">
      <c r="A22" s="3" t="s">
        <v>640</v>
      </c>
      <c r="D22" s="386"/>
      <c r="O22" s="338">
        <f>P22-J38</f>
        <v>-205490.1800000004</v>
      </c>
      <c r="P22" s="338">
        <f>P20+P21</f>
        <v>1103738.5199999998</v>
      </c>
    </row>
    <row r="23" spans="1:18">
      <c r="A23" s="25"/>
      <c r="B23" s="403" t="s">
        <v>123</v>
      </c>
      <c r="C23" s="25"/>
      <c r="D23" s="410">
        <v>33033586.629999999</v>
      </c>
      <c r="E23" s="401">
        <v>32875956.559999999</v>
      </c>
      <c r="F23" s="401">
        <v>34457888.159999996</v>
      </c>
      <c r="G23" s="401">
        <v>35776936.130000003</v>
      </c>
      <c r="H23" s="401">
        <v>35898682.270000003</v>
      </c>
      <c r="I23" s="401">
        <f>35480656.82</f>
        <v>35480656.82</v>
      </c>
      <c r="J23" s="401">
        <f>35920808.42</f>
        <v>35920808.420000002</v>
      </c>
      <c r="K23" s="401">
        <v>36369533.189999998</v>
      </c>
      <c r="L23" s="401">
        <f>36874615.14</f>
        <v>36874615.140000001</v>
      </c>
      <c r="M23" s="401">
        <v>37473087.700000003</v>
      </c>
      <c r="N23" s="401">
        <v>38488332.469999999</v>
      </c>
      <c r="O23" s="401">
        <v>40962776.229999997</v>
      </c>
      <c r="P23" s="406" t="s">
        <v>10</v>
      </c>
    </row>
    <row r="24" spans="1:18">
      <c r="D24" s="386"/>
      <c r="E24" s="338">
        <f t="shared" ref="E24:K24" si="3">E23-D23</f>
        <v>-157630.0700000003</v>
      </c>
      <c r="F24" s="338">
        <f t="shared" si="3"/>
        <v>1581931.5999999978</v>
      </c>
      <c r="G24" s="338">
        <f t="shared" si="3"/>
        <v>1319047.9700000063</v>
      </c>
      <c r="H24" s="338">
        <f t="shared" si="3"/>
        <v>121746.1400000006</v>
      </c>
      <c r="I24" s="338">
        <f t="shared" si="3"/>
        <v>-418025.45000000298</v>
      </c>
      <c r="J24" s="338">
        <f t="shared" si="3"/>
        <v>440151.60000000149</v>
      </c>
      <c r="K24" s="338">
        <f t="shared" si="3"/>
        <v>448724.76999999583</v>
      </c>
      <c r="L24" s="338">
        <f>L23-K23</f>
        <v>505081.95000000298</v>
      </c>
      <c r="M24" s="338">
        <f>M23-L23</f>
        <v>598472.56000000238</v>
      </c>
      <c r="N24" s="338">
        <f>N23-M23</f>
        <v>1015244.7699999958</v>
      </c>
      <c r="O24" s="338">
        <f>O23-N23</f>
        <v>2474443.7599999979</v>
      </c>
      <c r="P24" s="407">
        <f>SUM(E24:O24)</f>
        <v>7929189.5999999978</v>
      </c>
      <c r="Q24" s="338">
        <f>O23-D23-P24</f>
        <v>0</v>
      </c>
    </row>
    <row r="25" spans="1:18">
      <c r="D25" s="386"/>
      <c r="P25" s="29"/>
    </row>
    <row r="26" spans="1:18">
      <c r="A26" s="25"/>
      <c r="B26" s="25"/>
      <c r="C26" s="403" t="s">
        <v>124</v>
      </c>
      <c r="D26" s="408">
        <f>D20/D23</f>
        <v>2.5372691418219155E-4</v>
      </c>
      <c r="E26" s="408">
        <f>E20/E23</f>
        <v>2.3252494527569115E-4</v>
      </c>
      <c r="F26" s="408">
        <f t="shared" ref="F26:L26" si="4">F20/F23</f>
        <v>-3.3465283613596847E-4</v>
      </c>
      <c r="G26" s="408">
        <f t="shared" si="4"/>
        <v>6.6235470566551272E-3</v>
      </c>
      <c r="H26" s="408">
        <f t="shared" si="4"/>
        <v>4.7439033755931788E-3</v>
      </c>
      <c r="I26" s="408">
        <f t="shared" si="4"/>
        <v>-6.4725690159870105E-5</v>
      </c>
      <c r="J26" s="408">
        <f t="shared" si="4"/>
        <v>-3.7591943483325426E-4</v>
      </c>
      <c r="K26" s="408">
        <f t="shared" si="4"/>
        <v>-1.288011307576533E-3</v>
      </c>
      <c r="L26" s="408">
        <f t="shared" si="4"/>
        <v>2.4226471153889848E-3</v>
      </c>
      <c r="M26" s="408">
        <f>M20/M23</f>
        <v>5.9255031711731619E-4</v>
      </c>
      <c r="N26" s="408">
        <f>N20/N23</f>
        <v>1.3696055821874893E-2</v>
      </c>
      <c r="O26" s="408">
        <f>O20/O23</f>
        <v>1.1431706370942915E-2</v>
      </c>
      <c r="P26" s="409">
        <f>SUM(D26:O26)</f>
        <v>3.7933352648324675E-2</v>
      </c>
    </row>
    <row r="27" spans="1:18">
      <c r="D27" s="386"/>
    </row>
    <row r="28" spans="1:18">
      <c r="B28" s="340" t="s">
        <v>1218</v>
      </c>
      <c r="D28" s="653">
        <v>1.1590000000000001E-3</v>
      </c>
      <c r="E28" s="653">
        <v>1.1590000000000001E-3</v>
      </c>
      <c r="F28" s="653">
        <v>1.1590000000000001E-3</v>
      </c>
      <c r="G28" s="653">
        <v>1.5900000000000001E-3</v>
      </c>
      <c r="H28" s="653">
        <v>1.5900000000000001E-3</v>
      </c>
      <c r="I28" s="653">
        <v>2.019E-3</v>
      </c>
      <c r="J28" s="653">
        <v>2.4459999999999998E-3</v>
      </c>
      <c r="K28" s="653">
        <v>2.4459999999999998E-3</v>
      </c>
      <c r="L28" s="653">
        <v>3.0119999999999999E-3</v>
      </c>
      <c r="M28" s="653">
        <v>3.5750000000000001E-3</v>
      </c>
      <c r="N28" s="653">
        <v>4.4120000000000001E-3</v>
      </c>
      <c r="O28" s="653">
        <v>4.9020000000000001E-3</v>
      </c>
      <c r="P28" s="654">
        <f>SUM(D28:O28)</f>
        <v>2.9468999999999999E-2</v>
      </c>
    </row>
    <row r="29" spans="1:18">
      <c r="C29" s="340" t="s">
        <v>1219</v>
      </c>
      <c r="D29" s="655">
        <f>D28-D26</f>
        <v>9.0527308581780854E-4</v>
      </c>
      <c r="E29" s="655">
        <f t="shared" ref="E29:O29" si="5">E28-E26</f>
        <v>9.2647505472430892E-4</v>
      </c>
      <c r="F29" s="655">
        <f t="shared" si="5"/>
        <v>1.4936528361359684E-3</v>
      </c>
      <c r="G29" s="655">
        <f t="shared" si="5"/>
        <v>-5.033547056655127E-3</v>
      </c>
      <c r="H29" s="655">
        <f t="shared" si="5"/>
        <v>-3.1539033755931785E-3</v>
      </c>
      <c r="I29" s="655">
        <f t="shared" si="5"/>
        <v>2.08372569015987E-3</v>
      </c>
      <c r="J29" s="655">
        <f t="shared" si="5"/>
        <v>2.821919434833254E-3</v>
      </c>
      <c r="K29" s="655">
        <f t="shared" si="5"/>
        <v>3.7340113075765326E-3</v>
      </c>
      <c r="L29" s="655">
        <f t="shared" si="5"/>
        <v>5.893528846110151E-4</v>
      </c>
      <c r="M29" s="655">
        <f t="shared" si="5"/>
        <v>2.9824496828826839E-3</v>
      </c>
      <c r="N29" s="655">
        <f t="shared" si="5"/>
        <v>-9.2840558218748939E-3</v>
      </c>
      <c r="O29" s="655">
        <f t="shared" si="5"/>
        <v>-6.529706370942915E-3</v>
      </c>
      <c r="P29" s="654">
        <f>SUM(D29:O29)</f>
        <v>-8.4643526483246731E-3</v>
      </c>
    </row>
    <row r="30" spans="1:18">
      <c r="D30" s="386"/>
    </row>
    <row r="31" spans="1:18">
      <c r="D31" s="386"/>
    </row>
    <row r="32" spans="1:18">
      <c r="A32" s="25"/>
      <c r="B32" s="394" t="s">
        <v>648</v>
      </c>
      <c r="C32" s="395"/>
      <c r="D32" s="396" t="s">
        <v>113</v>
      </c>
      <c r="E32" s="396" t="s">
        <v>114</v>
      </c>
      <c r="F32" s="396" t="s">
        <v>115</v>
      </c>
      <c r="G32" s="396" t="s">
        <v>116</v>
      </c>
      <c r="H32" s="396" t="s">
        <v>276</v>
      </c>
      <c r="I32" s="396" t="s">
        <v>277</v>
      </c>
      <c r="J32" s="396" t="s">
        <v>278</v>
      </c>
      <c r="K32" s="396" t="s">
        <v>279</v>
      </c>
      <c r="L32" s="396" t="s">
        <v>280</v>
      </c>
      <c r="M32" s="396" t="s">
        <v>282</v>
      </c>
      <c r="N32" s="396" t="s">
        <v>283</v>
      </c>
      <c r="O32" s="396" t="s">
        <v>284</v>
      </c>
      <c r="P32" s="397" t="s">
        <v>10</v>
      </c>
    </row>
    <row r="33" spans="1:18">
      <c r="B33" s="388" t="s">
        <v>570</v>
      </c>
      <c r="C33" s="389"/>
      <c r="D33" s="386"/>
      <c r="E33" s="386"/>
      <c r="F33" s="386"/>
      <c r="G33" s="386"/>
      <c r="H33" s="386"/>
      <c r="I33" s="386"/>
      <c r="J33" s="386"/>
      <c r="K33" s="386"/>
      <c r="L33" s="386"/>
      <c r="M33" s="386"/>
      <c r="N33" s="386"/>
      <c r="O33" s="386"/>
      <c r="P33" s="398"/>
    </row>
    <row r="34" spans="1:18">
      <c r="A34" s="59" t="s">
        <v>117</v>
      </c>
      <c r="B34" s="3" t="s">
        <v>569</v>
      </c>
      <c r="C34" s="389">
        <v>2</v>
      </c>
      <c r="D34" s="386">
        <f>891787.92</f>
        <v>891787.92</v>
      </c>
      <c r="E34" s="386">
        <f>1297234.15</f>
        <v>1297234.1499999999</v>
      </c>
      <c r="F34" s="386">
        <f>1687898.51</f>
        <v>1687898.51</v>
      </c>
      <c r="G34" s="386">
        <f>1685861.8</f>
        <v>1685861.8</v>
      </c>
      <c r="H34" s="386">
        <v>1689453.12</v>
      </c>
      <c r="I34" s="386">
        <v>1686800.55</v>
      </c>
      <c r="J34" s="386">
        <f>1759027.36</f>
        <v>1759027.36</v>
      </c>
      <c r="K34" s="386">
        <f>1760518.98</f>
        <v>1760518.98</v>
      </c>
      <c r="L34" s="386">
        <f>1773575.36</f>
        <v>1773575.36</v>
      </c>
      <c r="M34" s="386">
        <f>94187.06</f>
        <v>94187.06</v>
      </c>
      <c r="N34" s="386"/>
      <c r="O34" s="386"/>
      <c r="P34" s="398">
        <f>SUM(D34:O34)</f>
        <v>14326344.810000001</v>
      </c>
      <c r="Q34" s="386">
        <f>14326344.81-P34</f>
        <v>0</v>
      </c>
    </row>
    <row r="35" spans="1:18">
      <c r="A35" s="59" t="s">
        <v>118</v>
      </c>
      <c r="B35" s="3" t="s">
        <v>571</v>
      </c>
      <c r="C35" s="389">
        <v>7</v>
      </c>
      <c r="D35" s="386">
        <f>54875.67</f>
        <v>54875.67</v>
      </c>
      <c r="E35" s="386">
        <f>111840.76</f>
        <v>111840.76</v>
      </c>
      <c r="F35" s="386">
        <f>76216.62</f>
        <v>76216.62</v>
      </c>
      <c r="G35" s="386">
        <f>196927.82</f>
        <v>196927.82</v>
      </c>
      <c r="H35" s="386">
        <v>121457.79</v>
      </c>
      <c r="I35" s="386">
        <v>89905.39</v>
      </c>
      <c r="J35" s="386">
        <f>81930.93</f>
        <v>81930.929999999993</v>
      </c>
      <c r="K35" s="386">
        <f>75400.28</f>
        <v>75400.28</v>
      </c>
      <c r="L35" s="386">
        <v>26474.98</v>
      </c>
      <c r="M35" s="386">
        <f>150757.23</f>
        <v>150757.23000000001</v>
      </c>
      <c r="N35" s="386"/>
      <c r="O35" s="386"/>
      <c r="P35" s="398">
        <f>SUM(D35:O35)</f>
        <v>985787.47</v>
      </c>
      <c r="Q35" s="386">
        <f>985787.47-P35</f>
        <v>0</v>
      </c>
    </row>
    <row r="36" spans="1:18">
      <c r="B36" s="388" t="s">
        <v>572</v>
      </c>
      <c r="C36" s="389"/>
      <c r="D36" s="386">
        <f>2095430.84</f>
        <v>2095430.84</v>
      </c>
      <c r="E36" s="386">
        <f>2742554.41</f>
        <v>2742554.41</v>
      </c>
      <c r="F36" s="386">
        <f>3839700.82</f>
        <v>3839700.82</v>
      </c>
      <c r="G36" s="386">
        <f>3771843.75</f>
        <v>3771843.75</v>
      </c>
      <c r="H36" s="386">
        <v>3848650.12</v>
      </c>
      <c r="I36" s="386">
        <f>3752341.12</f>
        <v>3752341.12</v>
      </c>
      <c r="J36" s="386">
        <f>3711368.89</f>
        <v>3711368.89</v>
      </c>
      <c r="K36" s="386">
        <f>3913552.05</f>
        <v>3913552.05</v>
      </c>
      <c r="L36" s="386">
        <f>3896369.6</f>
        <v>3896369.6</v>
      </c>
      <c r="M36" s="386">
        <f>1841352.19</f>
        <v>1841352.19</v>
      </c>
      <c r="N36" s="386"/>
      <c r="O36" s="386"/>
      <c r="P36" s="398">
        <f>SUM(D36:N36)</f>
        <v>33413163.790000007</v>
      </c>
      <c r="Q36" s="338">
        <f>33413163.79-P36</f>
        <v>0</v>
      </c>
    </row>
    <row r="37" spans="1:18">
      <c r="A37" s="25"/>
      <c r="B37" s="25" t="s">
        <v>573</v>
      </c>
      <c r="C37" s="399"/>
      <c r="D37" s="400">
        <f>1954791.97</f>
        <v>1954791.97</v>
      </c>
      <c r="E37" s="401">
        <f>2260829.3</f>
        <v>2260829.2999999998</v>
      </c>
      <c r="F37" s="401">
        <v>2278311.75</v>
      </c>
      <c r="G37" s="401">
        <v>2289318.1</v>
      </c>
      <c r="H37" s="401">
        <v>2296838.04</v>
      </c>
      <c r="I37" s="401">
        <f>3583557.43</f>
        <v>3583557.43</v>
      </c>
      <c r="J37" s="401">
        <f>2402140.19</f>
        <v>2402140.19</v>
      </c>
      <c r="K37" s="401">
        <v>2406151.0499999998</v>
      </c>
      <c r="L37" s="401">
        <f>2503434.53</f>
        <v>2503434.5299999998</v>
      </c>
      <c r="M37" s="401">
        <v>2513863.7400000002</v>
      </c>
      <c r="N37" s="401"/>
      <c r="O37" s="401"/>
      <c r="P37" s="413">
        <f>SUM(D37:O37)</f>
        <v>24489236.100000001</v>
      </c>
      <c r="Q37" s="338">
        <f>24489236.1-P37</f>
        <v>0</v>
      </c>
    </row>
    <row r="38" spans="1:18">
      <c r="B38" s="3" t="s">
        <v>574</v>
      </c>
      <c r="C38" s="389" t="s">
        <v>119</v>
      </c>
      <c r="D38" s="386">
        <f t="shared" ref="D38:F38" si="6">D36-D37</f>
        <v>140638.87000000011</v>
      </c>
      <c r="E38" s="386">
        <f t="shared" si="6"/>
        <v>481725.11000000034</v>
      </c>
      <c r="F38" s="386">
        <f t="shared" si="6"/>
        <v>1561389.0699999998</v>
      </c>
      <c r="G38" s="386">
        <f>G36-G37</f>
        <v>1482525.65</v>
      </c>
      <c r="H38" s="386">
        <f t="shared" ref="H38:K38" si="7">H36-H37</f>
        <v>1551812.08</v>
      </c>
      <c r="I38" s="402">
        <f t="shared" si="7"/>
        <v>168783.68999999994</v>
      </c>
      <c r="J38" s="386">
        <f t="shared" si="7"/>
        <v>1309228.7000000002</v>
      </c>
      <c r="K38" s="386">
        <f t="shared" si="7"/>
        <v>1507401</v>
      </c>
      <c r="L38" s="402">
        <f>L36-L37</f>
        <v>1392935.0700000003</v>
      </c>
      <c r="M38" s="402">
        <f>M36-M37</f>
        <v>-672511.55000000028</v>
      </c>
      <c r="N38" s="386">
        <f>N36-N37</f>
        <v>0</v>
      </c>
      <c r="O38" s="386">
        <f>O36-O37</f>
        <v>0</v>
      </c>
      <c r="P38" s="398">
        <f>SUM(D38:O38)</f>
        <v>8923927.6900000013</v>
      </c>
      <c r="Q38" s="338"/>
    </row>
    <row r="39" spans="1:18">
      <c r="C39" s="389"/>
      <c r="D39" s="386"/>
      <c r="P39" s="29"/>
    </row>
    <row r="40" spans="1:18">
      <c r="A40" s="25"/>
      <c r="B40" s="403" t="s">
        <v>120</v>
      </c>
      <c r="C40" s="399" t="s">
        <v>121</v>
      </c>
      <c r="D40" s="400">
        <f t="shared" ref="D40:J40" si="8">SUM(D34:D35)-D38</f>
        <v>806024.72</v>
      </c>
      <c r="E40" s="400">
        <f t="shared" si="8"/>
        <v>927349.79999999958</v>
      </c>
      <c r="F40" s="400">
        <f t="shared" si="8"/>
        <v>202726.06000000006</v>
      </c>
      <c r="G40" s="400">
        <f t="shared" si="8"/>
        <v>400263.9700000002</v>
      </c>
      <c r="H40" s="400">
        <f t="shared" si="8"/>
        <v>259098.83000000007</v>
      </c>
      <c r="I40" s="400">
        <f t="shared" si="8"/>
        <v>1607922.25</v>
      </c>
      <c r="J40" s="400">
        <f t="shared" si="8"/>
        <v>531729.58999999985</v>
      </c>
      <c r="K40" s="400">
        <f>SUM(K34:K35)-K38</f>
        <v>328518.26</v>
      </c>
      <c r="L40" s="400">
        <f>SUM(L34:L35)-L38</f>
        <v>407115.26999999979</v>
      </c>
      <c r="M40" s="400">
        <f>SUM(M34:M35)-M38</f>
        <v>917455.84000000032</v>
      </c>
      <c r="N40" s="400">
        <f>SUM(N34:N35)-N38</f>
        <v>0</v>
      </c>
      <c r="O40" s="400">
        <f>SUM(O34:O35)-O38</f>
        <v>0</v>
      </c>
      <c r="P40" s="413">
        <f>SUM(D40:O40)</f>
        <v>6388204.5899999999</v>
      </c>
    </row>
    <row r="41" spans="1:18">
      <c r="B41" s="3" t="s">
        <v>474</v>
      </c>
      <c r="D41" s="386"/>
      <c r="E41" s="338">
        <f>D40+E40</f>
        <v>1733374.5199999996</v>
      </c>
      <c r="F41" s="338">
        <f t="shared" ref="F41" si="9">E41+F40</f>
        <v>1936100.5799999996</v>
      </c>
      <c r="G41" s="338">
        <f t="shared" ref="G41" si="10">F41+G40</f>
        <v>2336364.5499999998</v>
      </c>
      <c r="H41" s="338">
        <f t="shared" ref="H41" si="11">G41+H40</f>
        <v>2595463.38</v>
      </c>
      <c r="I41" s="338">
        <f t="shared" ref="I41" si="12">H41+I40</f>
        <v>4203385.63</v>
      </c>
      <c r="J41" s="338">
        <f t="shared" ref="J41" si="13">I41+J40</f>
        <v>4735115.22</v>
      </c>
      <c r="K41" s="338">
        <f>J41+K40</f>
        <v>5063633.4799999995</v>
      </c>
      <c r="L41" s="338">
        <f>K41+L40</f>
        <v>5470748.7499999991</v>
      </c>
      <c r="M41" s="338">
        <f>L41+M40</f>
        <v>6388204.5899999999</v>
      </c>
      <c r="N41" s="338">
        <f>M41+N40</f>
        <v>6388204.5899999999</v>
      </c>
      <c r="O41" s="338">
        <f>N41+O40</f>
        <v>6388204.5899999999</v>
      </c>
      <c r="P41" s="29"/>
    </row>
    <row r="42" spans="1:18">
      <c r="D42" s="386"/>
      <c r="P42" s="29"/>
    </row>
    <row r="43" spans="1:18">
      <c r="B43" s="340" t="s">
        <v>122</v>
      </c>
      <c r="C43" s="404"/>
      <c r="D43" s="386">
        <f>170931.46-130848.46</f>
        <v>40082.999999999985</v>
      </c>
      <c r="E43" s="405">
        <f>346111.52-258485.56</f>
        <v>87625.960000000021</v>
      </c>
      <c r="F43" s="405">
        <f>619278.08-40324.34</f>
        <v>578953.74</v>
      </c>
      <c r="G43" s="405">
        <f>416112.89-137141.35</f>
        <v>278971.54000000004</v>
      </c>
      <c r="H43" s="405">
        <v>443844.93</v>
      </c>
      <c r="I43" s="405">
        <f>389536.32-25254.89</f>
        <v>364281.43</v>
      </c>
      <c r="J43" s="405">
        <f>281732.76-48232.86</f>
        <v>233499.90000000002</v>
      </c>
      <c r="K43" s="405">
        <f>349748.56-6010.28</f>
        <v>343738.27999999997</v>
      </c>
      <c r="L43" s="405">
        <f>437508.32-47945.81</f>
        <v>389562.51</v>
      </c>
      <c r="M43" s="405">
        <f>618359.36</f>
        <v>618359.36</v>
      </c>
      <c r="N43" s="405"/>
      <c r="O43" s="405"/>
      <c r="P43" s="398">
        <f>SUM(D43:O43)</f>
        <v>3378920.65</v>
      </c>
      <c r="Q43" s="338">
        <f>(4073164.2-694243.55)-P43</f>
        <v>0</v>
      </c>
    </row>
    <row r="44" spans="1:18">
      <c r="D44" s="386"/>
      <c r="O44" s="340"/>
      <c r="P44" s="444"/>
      <c r="R44" s="338"/>
    </row>
    <row r="45" spans="1:18">
      <c r="D45" s="386"/>
      <c r="O45" s="338"/>
      <c r="P45" s="338">
        <f>P43+P44</f>
        <v>3378920.65</v>
      </c>
    </row>
    <row r="46" spans="1:18">
      <c r="A46" s="25"/>
      <c r="B46" s="403" t="s">
        <v>123</v>
      </c>
      <c r="C46" s="25"/>
      <c r="D46" s="401">
        <v>40962776.229999997</v>
      </c>
      <c r="E46" s="401">
        <f>41262902.53</f>
        <v>41262902.530000001</v>
      </c>
      <c r="F46" s="401">
        <f>43145513.5</f>
        <v>43145513.5</v>
      </c>
      <c r="G46" s="401">
        <f>44628052.33</f>
        <v>44628052.329999998</v>
      </c>
      <c r="H46" s="401">
        <f>46061864.93</f>
        <v>46061864.93</v>
      </c>
      <c r="I46" s="401">
        <f>46338876.84</f>
        <v>46338876.840000004</v>
      </c>
      <c r="J46" s="401">
        <v>47648105.539999999</v>
      </c>
      <c r="K46" s="401">
        <f>49155506.54</f>
        <v>49155506.539999999</v>
      </c>
      <c r="L46" s="401">
        <f>50548441.61</f>
        <v>50548441.609999999</v>
      </c>
      <c r="M46" s="401">
        <f>49875930.06</f>
        <v>49875930.060000002</v>
      </c>
      <c r="N46" s="401"/>
      <c r="O46" s="401"/>
      <c r="P46" s="406" t="s">
        <v>10</v>
      </c>
    </row>
    <row r="47" spans="1:18">
      <c r="D47" s="386">
        <f>40962776.23-D46</f>
        <v>0</v>
      </c>
      <c r="E47" s="338">
        <f>E46-D46</f>
        <v>300126.30000000447</v>
      </c>
      <c r="F47" s="338">
        <f>F46-E46</f>
        <v>1882610.9699999988</v>
      </c>
      <c r="G47" s="338">
        <f t="shared" ref="G47" si="14">G46-F46</f>
        <v>1482538.8299999982</v>
      </c>
      <c r="H47" s="338">
        <f t="shared" ref="H47:M47" si="15">H46-G46</f>
        <v>1433812.6000000015</v>
      </c>
      <c r="I47" s="338">
        <f t="shared" si="15"/>
        <v>277011.91000000387</v>
      </c>
      <c r="J47" s="338">
        <f t="shared" si="15"/>
        <v>1309228.6999999955</v>
      </c>
      <c r="K47" s="338">
        <f t="shared" si="15"/>
        <v>1507401</v>
      </c>
      <c r="L47" s="338">
        <f t="shared" si="15"/>
        <v>1392935.0700000003</v>
      </c>
      <c r="M47" s="338">
        <f t="shared" si="15"/>
        <v>-672511.54999999702</v>
      </c>
      <c r="N47" s="338"/>
      <c r="O47" s="338">
        <f>O46-N46</f>
        <v>0</v>
      </c>
      <c r="P47" s="407">
        <f>SUM(E47:O47)</f>
        <v>8913153.8300000057</v>
      </c>
      <c r="Q47" s="338">
        <f>M46-D46-P47</f>
        <v>0</v>
      </c>
    </row>
    <row r="48" spans="1:18">
      <c r="D48" s="386"/>
      <c r="P48" s="29"/>
    </row>
    <row r="49" spans="1:16">
      <c r="A49" s="25"/>
      <c r="B49" s="25"/>
      <c r="C49" s="403" t="s">
        <v>124</v>
      </c>
      <c r="D49" s="408">
        <f>D43/D46</f>
        <v>9.7852254385639797E-4</v>
      </c>
      <c r="E49" s="408">
        <f>E43/E46</f>
        <v>2.1236014586296244E-3</v>
      </c>
      <c r="F49" s="408">
        <f t="shared" ref="F49:L49" si="16">F43/F46</f>
        <v>1.3418631348541024E-2</v>
      </c>
      <c r="G49" s="408">
        <f>G43/G46</f>
        <v>6.2510355132049753E-3</v>
      </c>
      <c r="H49" s="408">
        <f t="shared" si="16"/>
        <v>9.6358436783770922E-3</v>
      </c>
      <c r="I49" s="408">
        <f t="shared" si="16"/>
        <v>7.8612485852386921E-3</v>
      </c>
      <c r="J49" s="408">
        <f t="shared" si="16"/>
        <v>4.9005075302307605E-3</v>
      </c>
      <c r="K49" s="408">
        <f>K43/K46</f>
        <v>6.9928743328132523E-3</v>
      </c>
      <c r="L49" s="408">
        <f t="shared" si="16"/>
        <v>7.7067165196826335E-3</v>
      </c>
      <c r="M49" s="408">
        <f>M43/M46</f>
        <v>1.2397951461879966E-2</v>
      </c>
      <c r="N49" s="408" t="e">
        <f>N43/N46</f>
        <v>#DIV/0!</v>
      </c>
      <c r="O49" s="408" t="e">
        <f>O43/O46</f>
        <v>#DIV/0!</v>
      </c>
      <c r="P49" s="409" t="e">
        <f>SUM(D49:O49)</f>
        <v>#DIV/0!</v>
      </c>
    </row>
    <row r="51" spans="1:16">
      <c r="A51" s="22"/>
      <c r="B51" s="403" t="s">
        <v>1218</v>
      </c>
      <c r="C51" s="23"/>
      <c r="D51" s="653">
        <v>5.6080000000000001E-3</v>
      </c>
      <c r="E51" s="653">
        <v>5.0000000000000001E-3</v>
      </c>
      <c r="F51" s="653">
        <v>5.9760000000000004E-3</v>
      </c>
      <c r="G51" s="653">
        <v>5.5579999999999996E-3</v>
      </c>
      <c r="H51" s="653">
        <v>6.6709999999999998E-3</v>
      </c>
      <c r="I51" s="653">
        <v>6.4910000000000002E-3</v>
      </c>
      <c r="J51" s="653">
        <v>6.6389999999999999E-3</v>
      </c>
      <c r="K51" s="653">
        <v>7.4209999999999996E-3</v>
      </c>
      <c r="L51" s="653">
        <v>6.8139999999999997E-3</v>
      </c>
      <c r="M51" s="473"/>
      <c r="N51" s="473"/>
      <c r="O51" s="473"/>
      <c r="P51" s="654">
        <f>SUM(D51:O51)</f>
        <v>5.6177999999999999E-2</v>
      </c>
    </row>
    <row r="52" spans="1:16">
      <c r="A52" s="21"/>
      <c r="B52" s="908"/>
      <c r="C52" s="909" t="s">
        <v>1219</v>
      </c>
      <c r="D52" s="655">
        <f>D51-D49</f>
        <v>4.629477456143602E-3</v>
      </c>
      <c r="E52" s="655">
        <f t="shared" ref="E52" si="17">E51-E49</f>
        <v>2.8763985413703757E-3</v>
      </c>
      <c r="F52" s="655">
        <f t="shared" ref="F52" si="18">F51-F49</f>
        <v>-7.4426313485410241E-3</v>
      </c>
      <c r="G52" s="655">
        <f t="shared" ref="G52" si="19">G51-G49</f>
        <v>-6.9303551320497574E-4</v>
      </c>
      <c r="H52" s="655">
        <f t="shared" ref="H52" si="20">H51-H49</f>
        <v>-2.9648436783770923E-3</v>
      </c>
      <c r="I52" s="655">
        <f t="shared" ref="I52" si="21">I51-I49</f>
        <v>-1.3702485852386918E-3</v>
      </c>
      <c r="J52" s="655">
        <f t="shared" ref="J52" si="22">J51-J49</f>
        <v>1.7384924697692395E-3</v>
      </c>
      <c r="K52" s="655">
        <f t="shared" ref="K52" si="23">K51-K49</f>
        <v>4.2812566718674738E-4</v>
      </c>
      <c r="L52" s="655">
        <f>L51-L49</f>
        <v>-8.9271651968263373E-4</v>
      </c>
      <c r="M52" s="655"/>
      <c r="N52" s="655"/>
      <c r="O52" s="655"/>
      <c r="P52" s="654">
        <f>SUM(D52:O52)</f>
        <v>-3.6909815105744528E-3</v>
      </c>
    </row>
    <row r="56" spans="1:16" ht="11.25">
      <c r="H56" s="55" t="s">
        <v>95</v>
      </c>
      <c r="I56" s="54"/>
      <c r="J56" s="54"/>
      <c r="K56" s="56" t="s">
        <v>96</v>
      </c>
      <c r="L56" s="56"/>
      <c r="M56" s="57"/>
      <c r="N56" s="55"/>
      <c r="O56" s="58" t="s">
        <v>97</v>
      </c>
    </row>
    <row r="57" spans="1:16" ht="11.25">
      <c r="H57" s="55" t="s">
        <v>98</v>
      </c>
      <c r="I57" s="54"/>
      <c r="J57" s="54"/>
      <c r="K57" s="56" t="s">
        <v>99</v>
      </c>
      <c r="L57" s="56"/>
      <c r="M57" s="57"/>
      <c r="N57" s="55"/>
      <c r="O57" s="58" t="s">
        <v>100</v>
      </c>
    </row>
    <row r="60" spans="1:16">
      <c r="D60" s="386"/>
    </row>
    <row r="61" spans="1:16">
      <c r="D61" s="386"/>
    </row>
    <row r="62" spans="1:16">
      <c r="D62" s="386"/>
    </row>
    <row r="63" spans="1:16">
      <c r="D63" s="386"/>
    </row>
    <row r="64" spans="1:16">
      <c r="D64" s="386"/>
    </row>
    <row r="65" spans="4:4">
      <c r="D65" s="386"/>
    </row>
    <row r="66" spans="4:4">
      <c r="D66" s="386"/>
    </row>
    <row r="67" spans="4:4">
      <c r="D67" s="386"/>
    </row>
    <row r="68" spans="4:4">
      <c r="D68" s="386"/>
    </row>
    <row r="69" spans="4:4">
      <c r="D69" s="386"/>
    </row>
    <row r="70" spans="4:4">
      <c r="D70" s="386"/>
    </row>
    <row r="71" spans="4:4">
      <c r="D71" s="386"/>
    </row>
    <row r="72" spans="4:4">
      <c r="D72" s="386"/>
    </row>
    <row r="73" spans="4:4">
      <c r="D73" s="386"/>
    </row>
    <row r="74" spans="4:4">
      <c r="D74" s="386"/>
    </row>
    <row r="75" spans="4:4">
      <c r="D75" s="386"/>
    </row>
    <row r="76" spans="4:4">
      <c r="D76" s="386"/>
    </row>
    <row r="77" spans="4:4">
      <c r="D77" s="386"/>
    </row>
    <row r="78" spans="4:4">
      <c r="D78" s="386"/>
    </row>
    <row r="79" spans="4:4">
      <c r="D79" s="386"/>
    </row>
    <row r="80" spans="4:4">
      <c r="D80" s="386"/>
    </row>
  </sheetData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AI134"/>
  <sheetViews>
    <sheetView workbookViewId="0">
      <selection activeCell="AB4" sqref="AB4"/>
    </sheetView>
  </sheetViews>
  <sheetFormatPr defaultRowHeight="8.25"/>
  <cols>
    <col min="1" max="1" width="8.7109375" style="59" customWidth="1"/>
    <col min="2" max="2" width="9.42578125" style="59" customWidth="1"/>
    <col min="3" max="3" width="6.140625" style="59" customWidth="1"/>
    <col min="4" max="4" width="9.7109375" style="59" customWidth="1"/>
    <col min="5" max="5" width="9.140625" style="59" customWidth="1"/>
    <col min="6" max="6" width="10.28515625" style="59" customWidth="1"/>
    <col min="7" max="7" width="8.7109375" style="59" customWidth="1"/>
    <col min="8" max="8" width="10" style="59" customWidth="1"/>
    <col min="9" max="9" width="5.42578125" style="59" customWidth="1"/>
    <col min="10" max="10" width="11.140625" style="59" customWidth="1"/>
    <col min="11" max="11" width="9.140625" style="59" customWidth="1"/>
    <col min="12" max="12" width="11.28515625" style="59" customWidth="1"/>
    <col min="13" max="13" width="9.140625" style="59" customWidth="1"/>
    <col min="14" max="14" width="11.140625" style="59" customWidth="1"/>
    <col min="15" max="15" width="10.7109375" style="59" customWidth="1"/>
    <col min="16" max="16" width="4.140625" style="59" customWidth="1"/>
    <col min="17" max="17" width="3.28515625" style="59" bestFit="1" customWidth="1"/>
    <col min="18" max="18" width="7" style="59" customWidth="1"/>
    <col min="19" max="19" width="9.7109375" style="59" customWidth="1"/>
    <col min="20" max="20" width="9.5703125" style="59" customWidth="1"/>
    <col min="21" max="21" width="9.42578125" style="59" customWidth="1"/>
    <col min="22" max="22" width="9.5703125" style="59" customWidth="1"/>
    <col min="23" max="23" width="9.28515625" style="59" customWidth="1"/>
    <col min="24" max="24" width="10" style="59" customWidth="1"/>
    <col min="25" max="26" width="9.42578125" style="59" customWidth="1"/>
    <col min="27" max="27" width="9.140625" style="59" customWidth="1"/>
    <col min="28" max="28" width="9.28515625" style="59" customWidth="1"/>
    <col min="29" max="29" width="9.42578125" style="59" customWidth="1"/>
    <col min="30" max="30" width="9.5703125" style="59" customWidth="1"/>
    <col min="31" max="31" width="9.85546875" style="59" customWidth="1"/>
    <col min="32" max="32" width="6" style="59" customWidth="1"/>
    <col min="33" max="33" width="9.7109375" style="59" bestFit="1" customWidth="1"/>
    <col min="34" max="34" width="11" style="59" bestFit="1" customWidth="1"/>
    <col min="35" max="35" width="10.85546875" style="59" bestFit="1" customWidth="1"/>
    <col min="36" max="36" width="9.140625" style="59"/>
    <col min="37" max="37" width="3.85546875" style="59" bestFit="1" customWidth="1"/>
    <col min="38" max="38" width="7.28515625" style="59" bestFit="1" customWidth="1"/>
    <col min="39" max="41" width="9.140625" style="59"/>
    <col min="42" max="42" width="9.28515625" style="59" customWidth="1"/>
    <col min="43" max="43" width="9.28515625" style="59" bestFit="1" customWidth="1"/>
    <col min="44" max="256" width="9.140625" style="59"/>
    <col min="257" max="257" width="7.85546875" style="59" customWidth="1"/>
    <col min="258" max="258" width="12.140625" style="59" customWidth="1"/>
    <col min="259" max="259" width="6.28515625" style="59" customWidth="1"/>
    <col min="260" max="260" width="11.5703125" style="59" customWidth="1"/>
    <col min="261" max="261" width="7.85546875" style="59" customWidth="1"/>
    <col min="262" max="262" width="12.28515625" style="59" customWidth="1"/>
    <col min="263" max="263" width="5.28515625" style="59" customWidth="1"/>
    <col min="264" max="264" width="12.140625" style="59" bestFit="1" customWidth="1"/>
    <col min="265" max="265" width="5.7109375" style="59" customWidth="1"/>
    <col min="266" max="266" width="11.85546875" style="59" bestFit="1" customWidth="1"/>
    <col min="267" max="267" width="8" style="59" customWidth="1"/>
    <col min="268" max="268" width="12.5703125" style="59" customWidth="1"/>
    <col min="269" max="269" width="9" style="59" customWidth="1"/>
    <col min="270" max="270" width="11.7109375" style="59" bestFit="1" customWidth="1"/>
    <col min="271" max="271" width="9.42578125" style="59" customWidth="1"/>
    <col min="272" max="272" width="4.140625" style="59" customWidth="1"/>
    <col min="273" max="273" width="3.28515625" style="59" bestFit="1" customWidth="1"/>
    <col min="274" max="274" width="8.85546875" style="59" customWidth="1"/>
    <col min="275" max="275" width="10" style="59" bestFit="1" customWidth="1"/>
    <col min="276" max="277" width="9.42578125" style="59" customWidth="1"/>
    <col min="278" max="278" width="9.5703125" style="59" customWidth="1"/>
    <col min="279" max="279" width="9.85546875" style="59" customWidth="1"/>
    <col min="280" max="281" width="9.42578125" style="59" customWidth="1"/>
    <col min="282" max="282" width="9.85546875" style="59" customWidth="1"/>
    <col min="283" max="284" width="9.28515625" style="59" customWidth="1"/>
    <col min="285" max="285" width="9.85546875" style="59" customWidth="1"/>
    <col min="286" max="286" width="9.28515625" style="59" customWidth="1"/>
    <col min="287" max="287" width="10.42578125" style="59" customWidth="1"/>
    <col min="288" max="288" width="5.28515625" style="59" bestFit="1" customWidth="1"/>
    <col min="289" max="289" width="9.7109375" style="59" bestFit="1" customWidth="1"/>
    <col min="290" max="290" width="11" style="59" bestFit="1" customWidth="1"/>
    <col min="291" max="291" width="10.85546875" style="59" bestFit="1" customWidth="1"/>
    <col min="292" max="292" width="9.140625" style="59"/>
    <col min="293" max="293" width="3.85546875" style="59" bestFit="1" customWidth="1"/>
    <col min="294" max="294" width="7.28515625" style="59" bestFit="1" customWidth="1"/>
    <col min="295" max="297" width="9.140625" style="59"/>
    <col min="298" max="298" width="9.28515625" style="59" customWidth="1"/>
    <col min="299" max="299" width="9.28515625" style="59" bestFit="1" customWidth="1"/>
    <col min="300" max="512" width="9.140625" style="59"/>
    <col min="513" max="513" width="7.85546875" style="59" customWidth="1"/>
    <col min="514" max="514" width="12.140625" style="59" customWidth="1"/>
    <col min="515" max="515" width="6.28515625" style="59" customWidth="1"/>
    <col min="516" max="516" width="11.5703125" style="59" customWidth="1"/>
    <col min="517" max="517" width="7.85546875" style="59" customWidth="1"/>
    <col min="518" max="518" width="12.28515625" style="59" customWidth="1"/>
    <col min="519" max="519" width="5.28515625" style="59" customWidth="1"/>
    <col min="520" max="520" width="12.140625" style="59" bestFit="1" customWidth="1"/>
    <col min="521" max="521" width="5.7109375" style="59" customWidth="1"/>
    <col min="522" max="522" width="11.85546875" style="59" bestFit="1" customWidth="1"/>
    <col min="523" max="523" width="8" style="59" customWidth="1"/>
    <col min="524" max="524" width="12.5703125" style="59" customWidth="1"/>
    <col min="525" max="525" width="9" style="59" customWidth="1"/>
    <col min="526" max="526" width="11.7109375" style="59" bestFit="1" customWidth="1"/>
    <col min="527" max="527" width="9.42578125" style="59" customWidth="1"/>
    <col min="528" max="528" width="4.140625" style="59" customWidth="1"/>
    <col min="529" max="529" width="3.28515625" style="59" bestFit="1" customWidth="1"/>
    <col min="530" max="530" width="8.85546875" style="59" customWidth="1"/>
    <col min="531" max="531" width="10" style="59" bestFit="1" customWidth="1"/>
    <col min="532" max="533" width="9.42578125" style="59" customWidth="1"/>
    <col min="534" max="534" width="9.5703125" style="59" customWidth="1"/>
    <col min="535" max="535" width="9.85546875" style="59" customWidth="1"/>
    <col min="536" max="537" width="9.42578125" style="59" customWidth="1"/>
    <col min="538" max="538" width="9.85546875" style="59" customWidth="1"/>
    <col min="539" max="540" width="9.28515625" style="59" customWidth="1"/>
    <col min="541" max="541" width="9.85546875" style="59" customWidth="1"/>
    <col min="542" max="542" width="9.28515625" style="59" customWidth="1"/>
    <col min="543" max="543" width="10.42578125" style="59" customWidth="1"/>
    <col min="544" max="544" width="5.28515625" style="59" bestFit="1" customWidth="1"/>
    <col min="545" max="545" width="9.7109375" style="59" bestFit="1" customWidth="1"/>
    <col min="546" max="546" width="11" style="59" bestFit="1" customWidth="1"/>
    <col min="547" max="547" width="10.85546875" style="59" bestFit="1" customWidth="1"/>
    <col min="548" max="548" width="9.140625" style="59"/>
    <col min="549" max="549" width="3.85546875" style="59" bestFit="1" customWidth="1"/>
    <col min="550" max="550" width="7.28515625" style="59" bestFit="1" customWidth="1"/>
    <col min="551" max="553" width="9.140625" style="59"/>
    <col min="554" max="554" width="9.28515625" style="59" customWidth="1"/>
    <col min="555" max="555" width="9.28515625" style="59" bestFit="1" customWidth="1"/>
    <col min="556" max="768" width="9.140625" style="59"/>
    <col min="769" max="769" width="7.85546875" style="59" customWidth="1"/>
    <col min="770" max="770" width="12.140625" style="59" customWidth="1"/>
    <col min="771" max="771" width="6.28515625" style="59" customWidth="1"/>
    <col min="772" max="772" width="11.5703125" style="59" customWidth="1"/>
    <col min="773" max="773" width="7.85546875" style="59" customWidth="1"/>
    <col min="774" max="774" width="12.28515625" style="59" customWidth="1"/>
    <col min="775" max="775" width="5.28515625" style="59" customWidth="1"/>
    <col min="776" max="776" width="12.140625" style="59" bestFit="1" customWidth="1"/>
    <col min="777" max="777" width="5.7109375" style="59" customWidth="1"/>
    <col min="778" max="778" width="11.85546875" style="59" bestFit="1" customWidth="1"/>
    <col min="779" max="779" width="8" style="59" customWidth="1"/>
    <col min="780" max="780" width="12.5703125" style="59" customWidth="1"/>
    <col min="781" max="781" width="9" style="59" customWidth="1"/>
    <col min="782" max="782" width="11.7109375" style="59" bestFit="1" customWidth="1"/>
    <col min="783" max="783" width="9.42578125" style="59" customWidth="1"/>
    <col min="784" max="784" width="4.140625" style="59" customWidth="1"/>
    <col min="785" max="785" width="3.28515625" style="59" bestFit="1" customWidth="1"/>
    <col min="786" max="786" width="8.85546875" style="59" customWidth="1"/>
    <col min="787" max="787" width="10" style="59" bestFit="1" customWidth="1"/>
    <col min="788" max="789" width="9.42578125" style="59" customWidth="1"/>
    <col min="790" max="790" width="9.5703125" style="59" customWidth="1"/>
    <col min="791" max="791" width="9.85546875" style="59" customWidth="1"/>
    <col min="792" max="793" width="9.42578125" style="59" customWidth="1"/>
    <col min="794" max="794" width="9.85546875" style="59" customWidth="1"/>
    <col min="795" max="796" width="9.28515625" style="59" customWidth="1"/>
    <col min="797" max="797" width="9.85546875" style="59" customWidth="1"/>
    <col min="798" max="798" width="9.28515625" style="59" customWidth="1"/>
    <col min="799" max="799" width="10.42578125" style="59" customWidth="1"/>
    <col min="800" max="800" width="5.28515625" style="59" bestFit="1" customWidth="1"/>
    <col min="801" max="801" width="9.7109375" style="59" bestFit="1" customWidth="1"/>
    <col min="802" max="802" width="11" style="59" bestFit="1" customWidth="1"/>
    <col min="803" max="803" width="10.85546875" style="59" bestFit="1" customWidth="1"/>
    <col min="804" max="804" width="9.140625" style="59"/>
    <col min="805" max="805" width="3.85546875" style="59" bestFit="1" customWidth="1"/>
    <col min="806" max="806" width="7.28515625" style="59" bestFit="1" customWidth="1"/>
    <col min="807" max="809" width="9.140625" style="59"/>
    <col min="810" max="810" width="9.28515625" style="59" customWidth="1"/>
    <col min="811" max="811" width="9.28515625" style="59" bestFit="1" customWidth="1"/>
    <col min="812" max="1024" width="9.140625" style="59"/>
    <col min="1025" max="1025" width="7.85546875" style="59" customWidth="1"/>
    <col min="1026" max="1026" width="12.140625" style="59" customWidth="1"/>
    <col min="1027" max="1027" width="6.28515625" style="59" customWidth="1"/>
    <col min="1028" max="1028" width="11.5703125" style="59" customWidth="1"/>
    <col min="1029" max="1029" width="7.85546875" style="59" customWidth="1"/>
    <col min="1030" max="1030" width="12.28515625" style="59" customWidth="1"/>
    <col min="1031" max="1031" width="5.28515625" style="59" customWidth="1"/>
    <col min="1032" max="1032" width="12.140625" style="59" bestFit="1" customWidth="1"/>
    <col min="1033" max="1033" width="5.7109375" style="59" customWidth="1"/>
    <col min="1034" max="1034" width="11.85546875" style="59" bestFit="1" customWidth="1"/>
    <col min="1035" max="1035" width="8" style="59" customWidth="1"/>
    <col min="1036" max="1036" width="12.5703125" style="59" customWidth="1"/>
    <col min="1037" max="1037" width="9" style="59" customWidth="1"/>
    <col min="1038" max="1038" width="11.7109375" style="59" bestFit="1" customWidth="1"/>
    <col min="1039" max="1039" width="9.42578125" style="59" customWidth="1"/>
    <col min="1040" max="1040" width="4.140625" style="59" customWidth="1"/>
    <col min="1041" max="1041" width="3.28515625" style="59" bestFit="1" customWidth="1"/>
    <col min="1042" max="1042" width="8.85546875" style="59" customWidth="1"/>
    <col min="1043" max="1043" width="10" style="59" bestFit="1" customWidth="1"/>
    <col min="1044" max="1045" width="9.42578125" style="59" customWidth="1"/>
    <col min="1046" max="1046" width="9.5703125" style="59" customWidth="1"/>
    <col min="1047" max="1047" width="9.85546875" style="59" customWidth="1"/>
    <col min="1048" max="1049" width="9.42578125" style="59" customWidth="1"/>
    <col min="1050" max="1050" width="9.85546875" style="59" customWidth="1"/>
    <col min="1051" max="1052" width="9.28515625" style="59" customWidth="1"/>
    <col min="1053" max="1053" width="9.85546875" style="59" customWidth="1"/>
    <col min="1054" max="1054" width="9.28515625" style="59" customWidth="1"/>
    <col min="1055" max="1055" width="10.42578125" style="59" customWidth="1"/>
    <col min="1056" max="1056" width="5.28515625" style="59" bestFit="1" customWidth="1"/>
    <col min="1057" max="1057" width="9.7109375" style="59" bestFit="1" customWidth="1"/>
    <col min="1058" max="1058" width="11" style="59" bestFit="1" customWidth="1"/>
    <col min="1059" max="1059" width="10.85546875" style="59" bestFit="1" customWidth="1"/>
    <col min="1060" max="1060" width="9.140625" style="59"/>
    <col min="1061" max="1061" width="3.85546875" style="59" bestFit="1" customWidth="1"/>
    <col min="1062" max="1062" width="7.28515625" style="59" bestFit="1" customWidth="1"/>
    <col min="1063" max="1065" width="9.140625" style="59"/>
    <col min="1066" max="1066" width="9.28515625" style="59" customWidth="1"/>
    <col min="1067" max="1067" width="9.28515625" style="59" bestFit="1" customWidth="1"/>
    <col min="1068" max="1280" width="9.140625" style="59"/>
    <col min="1281" max="1281" width="7.85546875" style="59" customWidth="1"/>
    <col min="1282" max="1282" width="12.140625" style="59" customWidth="1"/>
    <col min="1283" max="1283" width="6.28515625" style="59" customWidth="1"/>
    <col min="1284" max="1284" width="11.5703125" style="59" customWidth="1"/>
    <col min="1285" max="1285" width="7.85546875" style="59" customWidth="1"/>
    <col min="1286" max="1286" width="12.28515625" style="59" customWidth="1"/>
    <col min="1287" max="1287" width="5.28515625" style="59" customWidth="1"/>
    <col min="1288" max="1288" width="12.140625" style="59" bestFit="1" customWidth="1"/>
    <col min="1289" max="1289" width="5.7109375" style="59" customWidth="1"/>
    <col min="1290" max="1290" width="11.85546875" style="59" bestFit="1" customWidth="1"/>
    <col min="1291" max="1291" width="8" style="59" customWidth="1"/>
    <col min="1292" max="1292" width="12.5703125" style="59" customWidth="1"/>
    <col min="1293" max="1293" width="9" style="59" customWidth="1"/>
    <col min="1294" max="1294" width="11.7109375" style="59" bestFit="1" customWidth="1"/>
    <col min="1295" max="1295" width="9.42578125" style="59" customWidth="1"/>
    <col min="1296" max="1296" width="4.140625" style="59" customWidth="1"/>
    <col min="1297" max="1297" width="3.28515625" style="59" bestFit="1" customWidth="1"/>
    <col min="1298" max="1298" width="8.85546875" style="59" customWidth="1"/>
    <col min="1299" max="1299" width="10" style="59" bestFit="1" customWidth="1"/>
    <col min="1300" max="1301" width="9.42578125" style="59" customWidth="1"/>
    <col min="1302" max="1302" width="9.5703125" style="59" customWidth="1"/>
    <col min="1303" max="1303" width="9.85546875" style="59" customWidth="1"/>
    <col min="1304" max="1305" width="9.42578125" style="59" customWidth="1"/>
    <col min="1306" max="1306" width="9.85546875" style="59" customWidth="1"/>
    <col min="1307" max="1308" width="9.28515625" style="59" customWidth="1"/>
    <col min="1309" max="1309" width="9.85546875" style="59" customWidth="1"/>
    <col min="1310" max="1310" width="9.28515625" style="59" customWidth="1"/>
    <col min="1311" max="1311" width="10.42578125" style="59" customWidth="1"/>
    <col min="1312" max="1312" width="5.28515625" style="59" bestFit="1" customWidth="1"/>
    <col min="1313" max="1313" width="9.7109375" style="59" bestFit="1" customWidth="1"/>
    <col min="1314" max="1314" width="11" style="59" bestFit="1" customWidth="1"/>
    <col min="1315" max="1315" width="10.85546875" style="59" bestFit="1" customWidth="1"/>
    <col min="1316" max="1316" width="9.140625" style="59"/>
    <col min="1317" max="1317" width="3.85546875" style="59" bestFit="1" customWidth="1"/>
    <col min="1318" max="1318" width="7.28515625" style="59" bestFit="1" customWidth="1"/>
    <col min="1319" max="1321" width="9.140625" style="59"/>
    <col min="1322" max="1322" width="9.28515625" style="59" customWidth="1"/>
    <col min="1323" max="1323" width="9.28515625" style="59" bestFit="1" customWidth="1"/>
    <col min="1324" max="1536" width="9.140625" style="59"/>
    <col min="1537" max="1537" width="7.85546875" style="59" customWidth="1"/>
    <col min="1538" max="1538" width="12.140625" style="59" customWidth="1"/>
    <col min="1539" max="1539" width="6.28515625" style="59" customWidth="1"/>
    <col min="1540" max="1540" width="11.5703125" style="59" customWidth="1"/>
    <col min="1541" max="1541" width="7.85546875" style="59" customWidth="1"/>
    <col min="1542" max="1542" width="12.28515625" style="59" customWidth="1"/>
    <col min="1543" max="1543" width="5.28515625" style="59" customWidth="1"/>
    <col min="1544" max="1544" width="12.140625" style="59" bestFit="1" customWidth="1"/>
    <col min="1545" max="1545" width="5.7109375" style="59" customWidth="1"/>
    <col min="1546" max="1546" width="11.85546875" style="59" bestFit="1" customWidth="1"/>
    <col min="1547" max="1547" width="8" style="59" customWidth="1"/>
    <col min="1548" max="1548" width="12.5703125" style="59" customWidth="1"/>
    <col min="1549" max="1549" width="9" style="59" customWidth="1"/>
    <col min="1550" max="1550" width="11.7109375" style="59" bestFit="1" customWidth="1"/>
    <col min="1551" max="1551" width="9.42578125" style="59" customWidth="1"/>
    <col min="1552" max="1552" width="4.140625" style="59" customWidth="1"/>
    <col min="1553" max="1553" width="3.28515625" style="59" bestFit="1" customWidth="1"/>
    <col min="1554" max="1554" width="8.85546875" style="59" customWidth="1"/>
    <col min="1555" max="1555" width="10" style="59" bestFit="1" customWidth="1"/>
    <col min="1556" max="1557" width="9.42578125" style="59" customWidth="1"/>
    <col min="1558" max="1558" width="9.5703125" style="59" customWidth="1"/>
    <col min="1559" max="1559" width="9.85546875" style="59" customWidth="1"/>
    <col min="1560" max="1561" width="9.42578125" style="59" customWidth="1"/>
    <col min="1562" max="1562" width="9.85546875" style="59" customWidth="1"/>
    <col min="1563" max="1564" width="9.28515625" style="59" customWidth="1"/>
    <col min="1565" max="1565" width="9.85546875" style="59" customWidth="1"/>
    <col min="1566" max="1566" width="9.28515625" style="59" customWidth="1"/>
    <col min="1567" max="1567" width="10.42578125" style="59" customWidth="1"/>
    <col min="1568" max="1568" width="5.28515625" style="59" bestFit="1" customWidth="1"/>
    <col min="1569" max="1569" width="9.7109375" style="59" bestFit="1" customWidth="1"/>
    <col min="1570" max="1570" width="11" style="59" bestFit="1" customWidth="1"/>
    <col min="1571" max="1571" width="10.85546875" style="59" bestFit="1" customWidth="1"/>
    <col min="1572" max="1572" width="9.140625" style="59"/>
    <col min="1573" max="1573" width="3.85546875" style="59" bestFit="1" customWidth="1"/>
    <col min="1574" max="1574" width="7.28515625" style="59" bestFit="1" customWidth="1"/>
    <col min="1575" max="1577" width="9.140625" style="59"/>
    <col min="1578" max="1578" width="9.28515625" style="59" customWidth="1"/>
    <col min="1579" max="1579" width="9.28515625" style="59" bestFit="1" customWidth="1"/>
    <col min="1580" max="1792" width="9.140625" style="59"/>
    <col min="1793" max="1793" width="7.85546875" style="59" customWidth="1"/>
    <col min="1794" max="1794" width="12.140625" style="59" customWidth="1"/>
    <col min="1795" max="1795" width="6.28515625" style="59" customWidth="1"/>
    <col min="1796" max="1796" width="11.5703125" style="59" customWidth="1"/>
    <col min="1797" max="1797" width="7.85546875" style="59" customWidth="1"/>
    <col min="1798" max="1798" width="12.28515625" style="59" customWidth="1"/>
    <col min="1799" max="1799" width="5.28515625" style="59" customWidth="1"/>
    <col min="1800" max="1800" width="12.140625" style="59" bestFit="1" customWidth="1"/>
    <col min="1801" max="1801" width="5.7109375" style="59" customWidth="1"/>
    <col min="1802" max="1802" width="11.85546875" style="59" bestFit="1" customWidth="1"/>
    <col min="1803" max="1803" width="8" style="59" customWidth="1"/>
    <col min="1804" max="1804" width="12.5703125" style="59" customWidth="1"/>
    <col min="1805" max="1805" width="9" style="59" customWidth="1"/>
    <col min="1806" max="1806" width="11.7109375" style="59" bestFit="1" customWidth="1"/>
    <col min="1807" max="1807" width="9.42578125" style="59" customWidth="1"/>
    <col min="1808" max="1808" width="4.140625" style="59" customWidth="1"/>
    <col min="1809" max="1809" width="3.28515625" style="59" bestFit="1" customWidth="1"/>
    <col min="1810" max="1810" width="8.85546875" style="59" customWidth="1"/>
    <col min="1811" max="1811" width="10" style="59" bestFit="1" customWidth="1"/>
    <col min="1812" max="1813" width="9.42578125" style="59" customWidth="1"/>
    <col min="1814" max="1814" width="9.5703125" style="59" customWidth="1"/>
    <col min="1815" max="1815" width="9.85546875" style="59" customWidth="1"/>
    <col min="1816" max="1817" width="9.42578125" style="59" customWidth="1"/>
    <col min="1818" max="1818" width="9.85546875" style="59" customWidth="1"/>
    <col min="1819" max="1820" width="9.28515625" style="59" customWidth="1"/>
    <col min="1821" max="1821" width="9.85546875" style="59" customWidth="1"/>
    <col min="1822" max="1822" width="9.28515625" style="59" customWidth="1"/>
    <col min="1823" max="1823" width="10.42578125" style="59" customWidth="1"/>
    <col min="1824" max="1824" width="5.28515625" style="59" bestFit="1" customWidth="1"/>
    <col min="1825" max="1825" width="9.7109375" style="59" bestFit="1" customWidth="1"/>
    <col min="1826" max="1826" width="11" style="59" bestFit="1" customWidth="1"/>
    <col min="1827" max="1827" width="10.85546875" style="59" bestFit="1" customWidth="1"/>
    <col min="1828" max="1828" width="9.140625" style="59"/>
    <col min="1829" max="1829" width="3.85546875" style="59" bestFit="1" customWidth="1"/>
    <col min="1830" max="1830" width="7.28515625" style="59" bestFit="1" customWidth="1"/>
    <col min="1831" max="1833" width="9.140625" style="59"/>
    <col min="1834" max="1834" width="9.28515625" style="59" customWidth="1"/>
    <col min="1835" max="1835" width="9.28515625" style="59" bestFit="1" customWidth="1"/>
    <col min="1836" max="2048" width="9.140625" style="59"/>
    <col min="2049" max="2049" width="7.85546875" style="59" customWidth="1"/>
    <col min="2050" max="2050" width="12.140625" style="59" customWidth="1"/>
    <col min="2051" max="2051" width="6.28515625" style="59" customWidth="1"/>
    <col min="2052" max="2052" width="11.5703125" style="59" customWidth="1"/>
    <col min="2053" max="2053" width="7.85546875" style="59" customWidth="1"/>
    <col min="2054" max="2054" width="12.28515625" style="59" customWidth="1"/>
    <col min="2055" max="2055" width="5.28515625" style="59" customWidth="1"/>
    <col min="2056" max="2056" width="12.140625" style="59" bestFit="1" customWidth="1"/>
    <col min="2057" max="2057" width="5.7109375" style="59" customWidth="1"/>
    <col min="2058" max="2058" width="11.85546875" style="59" bestFit="1" customWidth="1"/>
    <col min="2059" max="2059" width="8" style="59" customWidth="1"/>
    <col min="2060" max="2060" width="12.5703125" style="59" customWidth="1"/>
    <col min="2061" max="2061" width="9" style="59" customWidth="1"/>
    <col min="2062" max="2062" width="11.7109375" style="59" bestFit="1" customWidth="1"/>
    <col min="2063" max="2063" width="9.42578125" style="59" customWidth="1"/>
    <col min="2064" max="2064" width="4.140625" style="59" customWidth="1"/>
    <col min="2065" max="2065" width="3.28515625" style="59" bestFit="1" customWidth="1"/>
    <col min="2066" max="2066" width="8.85546875" style="59" customWidth="1"/>
    <col min="2067" max="2067" width="10" style="59" bestFit="1" customWidth="1"/>
    <col min="2068" max="2069" width="9.42578125" style="59" customWidth="1"/>
    <col min="2070" max="2070" width="9.5703125" style="59" customWidth="1"/>
    <col min="2071" max="2071" width="9.85546875" style="59" customWidth="1"/>
    <col min="2072" max="2073" width="9.42578125" style="59" customWidth="1"/>
    <col min="2074" max="2074" width="9.85546875" style="59" customWidth="1"/>
    <col min="2075" max="2076" width="9.28515625" style="59" customWidth="1"/>
    <col min="2077" max="2077" width="9.85546875" style="59" customWidth="1"/>
    <col min="2078" max="2078" width="9.28515625" style="59" customWidth="1"/>
    <col min="2079" max="2079" width="10.42578125" style="59" customWidth="1"/>
    <col min="2080" max="2080" width="5.28515625" style="59" bestFit="1" customWidth="1"/>
    <col min="2081" max="2081" width="9.7109375" style="59" bestFit="1" customWidth="1"/>
    <col min="2082" max="2082" width="11" style="59" bestFit="1" customWidth="1"/>
    <col min="2083" max="2083" width="10.85546875" style="59" bestFit="1" customWidth="1"/>
    <col min="2084" max="2084" width="9.140625" style="59"/>
    <col min="2085" max="2085" width="3.85546875" style="59" bestFit="1" customWidth="1"/>
    <col min="2086" max="2086" width="7.28515625" style="59" bestFit="1" customWidth="1"/>
    <col min="2087" max="2089" width="9.140625" style="59"/>
    <col min="2090" max="2090" width="9.28515625" style="59" customWidth="1"/>
    <col min="2091" max="2091" width="9.28515625" style="59" bestFit="1" customWidth="1"/>
    <col min="2092" max="2304" width="9.140625" style="59"/>
    <col min="2305" max="2305" width="7.85546875" style="59" customWidth="1"/>
    <col min="2306" max="2306" width="12.140625" style="59" customWidth="1"/>
    <col min="2307" max="2307" width="6.28515625" style="59" customWidth="1"/>
    <col min="2308" max="2308" width="11.5703125" style="59" customWidth="1"/>
    <col min="2309" max="2309" width="7.85546875" style="59" customWidth="1"/>
    <col min="2310" max="2310" width="12.28515625" style="59" customWidth="1"/>
    <col min="2311" max="2311" width="5.28515625" style="59" customWidth="1"/>
    <col min="2312" max="2312" width="12.140625" style="59" bestFit="1" customWidth="1"/>
    <col min="2313" max="2313" width="5.7109375" style="59" customWidth="1"/>
    <col min="2314" max="2314" width="11.85546875" style="59" bestFit="1" customWidth="1"/>
    <col min="2315" max="2315" width="8" style="59" customWidth="1"/>
    <col min="2316" max="2316" width="12.5703125" style="59" customWidth="1"/>
    <col min="2317" max="2317" width="9" style="59" customWidth="1"/>
    <col min="2318" max="2318" width="11.7109375" style="59" bestFit="1" customWidth="1"/>
    <col min="2319" max="2319" width="9.42578125" style="59" customWidth="1"/>
    <col min="2320" max="2320" width="4.140625" style="59" customWidth="1"/>
    <col min="2321" max="2321" width="3.28515625" style="59" bestFit="1" customWidth="1"/>
    <col min="2322" max="2322" width="8.85546875" style="59" customWidth="1"/>
    <col min="2323" max="2323" width="10" style="59" bestFit="1" customWidth="1"/>
    <col min="2324" max="2325" width="9.42578125" style="59" customWidth="1"/>
    <col min="2326" max="2326" width="9.5703125" style="59" customWidth="1"/>
    <col min="2327" max="2327" width="9.85546875" style="59" customWidth="1"/>
    <col min="2328" max="2329" width="9.42578125" style="59" customWidth="1"/>
    <col min="2330" max="2330" width="9.85546875" style="59" customWidth="1"/>
    <col min="2331" max="2332" width="9.28515625" style="59" customWidth="1"/>
    <col min="2333" max="2333" width="9.85546875" style="59" customWidth="1"/>
    <col min="2334" max="2334" width="9.28515625" style="59" customWidth="1"/>
    <col min="2335" max="2335" width="10.42578125" style="59" customWidth="1"/>
    <col min="2336" max="2336" width="5.28515625" style="59" bestFit="1" customWidth="1"/>
    <col min="2337" max="2337" width="9.7109375" style="59" bestFit="1" customWidth="1"/>
    <col min="2338" max="2338" width="11" style="59" bestFit="1" customWidth="1"/>
    <col min="2339" max="2339" width="10.85546875" style="59" bestFit="1" customWidth="1"/>
    <col min="2340" max="2340" width="9.140625" style="59"/>
    <col min="2341" max="2341" width="3.85546875" style="59" bestFit="1" customWidth="1"/>
    <col min="2342" max="2342" width="7.28515625" style="59" bestFit="1" customWidth="1"/>
    <col min="2343" max="2345" width="9.140625" style="59"/>
    <col min="2346" max="2346" width="9.28515625" style="59" customWidth="1"/>
    <col min="2347" max="2347" width="9.28515625" style="59" bestFit="1" customWidth="1"/>
    <col min="2348" max="2560" width="9.140625" style="59"/>
    <col min="2561" max="2561" width="7.85546875" style="59" customWidth="1"/>
    <col min="2562" max="2562" width="12.140625" style="59" customWidth="1"/>
    <col min="2563" max="2563" width="6.28515625" style="59" customWidth="1"/>
    <col min="2564" max="2564" width="11.5703125" style="59" customWidth="1"/>
    <col min="2565" max="2565" width="7.85546875" style="59" customWidth="1"/>
    <col min="2566" max="2566" width="12.28515625" style="59" customWidth="1"/>
    <col min="2567" max="2567" width="5.28515625" style="59" customWidth="1"/>
    <col min="2568" max="2568" width="12.140625" style="59" bestFit="1" customWidth="1"/>
    <col min="2569" max="2569" width="5.7109375" style="59" customWidth="1"/>
    <col min="2570" max="2570" width="11.85546875" style="59" bestFit="1" customWidth="1"/>
    <col min="2571" max="2571" width="8" style="59" customWidth="1"/>
    <col min="2572" max="2572" width="12.5703125" style="59" customWidth="1"/>
    <col min="2573" max="2573" width="9" style="59" customWidth="1"/>
    <col min="2574" max="2574" width="11.7109375" style="59" bestFit="1" customWidth="1"/>
    <col min="2575" max="2575" width="9.42578125" style="59" customWidth="1"/>
    <col min="2576" max="2576" width="4.140625" style="59" customWidth="1"/>
    <col min="2577" max="2577" width="3.28515625" style="59" bestFit="1" customWidth="1"/>
    <col min="2578" max="2578" width="8.85546875" style="59" customWidth="1"/>
    <col min="2579" max="2579" width="10" style="59" bestFit="1" customWidth="1"/>
    <col min="2580" max="2581" width="9.42578125" style="59" customWidth="1"/>
    <col min="2582" max="2582" width="9.5703125" style="59" customWidth="1"/>
    <col min="2583" max="2583" width="9.85546875" style="59" customWidth="1"/>
    <col min="2584" max="2585" width="9.42578125" style="59" customWidth="1"/>
    <col min="2586" max="2586" width="9.85546875" style="59" customWidth="1"/>
    <col min="2587" max="2588" width="9.28515625" style="59" customWidth="1"/>
    <col min="2589" max="2589" width="9.85546875" style="59" customWidth="1"/>
    <col min="2590" max="2590" width="9.28515625" style="59" customWidth="1"/>
    <col min="2591" max="2591" width="10.42578125" style="59" customWidth="1"/>
    <col min="2592" max="2592" width="5.28515625" style="59" bestFit="1" customWidth="1"/>
    <col min="2593" max="2593" width="9.7109375" style="59" bestFit="1" customWidth="1"/>
    <col min="2594" max="2594" width="11" style="59" bestFit="1" customWidth="1"/>
    <col min="2595" max="2595" width="10.85546875" style="59" bestFit="1" customWidth="1"/>
    <col min="2596" max="2596" width="9.140625" style="59"/>
    <col min="2597" max="2597" width="3.85546875" style="59" bestFit="1" customWidth="1"/>
    <col min="2598" max="2598" width="7.28515625" style="59" bestFit="1" customWidth="1"/>
    <col min="2599" max="2601" width="9.140625" style="59"/>
    <col min="2602" max="2602" width="9.28515625" style="59" customWidth="1"/>
    <col min="2603" max="2603" width="9.28515625" style="59" bestFit="1" customWidth="1"/>
    <col min="2604" max="2816" width="9.140625" style="59"/>
    <col min="2817" max="2817" width="7.85546875" style="59" customWidth="1"/>
    <col min="2818" max="2818" width="12.140625" style="59" customWidth="1"/>
    <col min="2819" max="2819" width="6.28515625" style="59" customWidth="1"/>
    <col min="2820" max="2820" width="11.5703125" style="59" customWidth="1"/>
    <col min="2821" max="2821" width="7.85546875" style="59" customWidth="1"/>
    <col min="2822" max="2822" width="12.28515625" style="59" customWidth="1"/>
    <col min="2823" max="2823" width="5.28515625" style="59" customWidth="1"/>
    <col min="2824" max="2824" width="12.140625" style="59" bestFit="1" customWidth="1"/>
    <col min="2825" max="2825" width="5.7109375" style="59" customWidth="1"/>
    <col min="2826" max="2826" width="11.85546875" style="59" bestFit="1" customWidth="1"/>
    <col min="2827" max="2827" width="8" style="59" customWidth="1"/>
    <col min="2828" max="2828" width="12.5703125" style="59" customWidth="1"/>
    <col min="2829" max="2829" width="9" style="59" customWidth="1"/>
    <col min="2830" max="2830" width="11.7109375" style="59" bestFit="1" customWidth="1"/>
    <col min="2831" max="2831" width="9.42578125" style="59" customWidth="1"/>
    <col min="2832" max="2832" width="4.140625" style="59" customWidth="1"/>
    <col min="2833" max="2833" width="3.28515625" style="59" bestFit="1" customWidth="1"/>
    <col min="2834" max="2834" width="8.85546875" style="59" customWidth="1"/>
    <col min="2835" max="2835" width="10" style="59" bestFit="1" customWidth="1"/>
    <col min="2836" max="2837" width="9.42578125" style="59" customWidth="1"/>
    <col min="2838" max="2838" width="9.5703125" style="59" customWidth="1"/>
    <col min="2839" max="2839" width="9.85546875" style="59" customWidth="1"/>
    <col min="2840" max="2841" width="9.42578125" style="59" customWidth="1"/>
    <col min="2842" max="2842" width="9.85546875" style="59" customWidth="1"/>
    <col min="2843" max="2844" width="9.28515625" style="59" customWidth="1"/>
    <col min="2845" max="2845" width="9.85546875" style="59" customWidth="1"/>
    <col min="2846" max="2846" width="9.28515625" style="59" customWidth="1"/>
    <col min="2847" max="2847" width="10.42578125" style="59" customWidth="1"/>
    <col min="2848" max="2848" width="5.28515625" style="59" bestFit="1" customWidth="1"/>
    <col min="2849" max="2849" width="9.7109375" style="59" bestFit="1" customWidth="1"/>
    <col min="2850" max="2850" width="11" style="59" bestFit="1" customWidth="1"/>
    <col min="2851" max="2851" width="10.85546875" style="59" bestFit="1" customWidth="1"/>
    <col min="2852" max="2852" width="9.140625" style="59"/>
    <col min="2853" max="2853" width="3.85546875" style="59" bestFit="1" customWidth="1"/>
    <col min="2854" max="2854" width="7.28515625" style="59" bestFit="1" customWidth="1"/>
    <col min="2855" max="2857" width="9.140625" style="59"/>
    <col min="2858" max="2858" width="9.28515625" style="59" customWidth="1"/>
    <col min="2859" max="2859" width="9.28515625" style="59" bestFit="1" customWidth="1"/>
    <col min="2860" max="3072" width="9.140625" style="59"/>
    <col min="3073" max="3073" width="7.85546875" style="59" customWidth="1"/>
    <col min="3074" max="3074" width="12.140625" style="59" customWidth="1"/>
    <col min="3075" max="3075" width="6.28515625" style="59" customWidth="1"/>
    <col min="3076" max="3076" width="11.5703125" style="59" customWidth="1"/>
    <col min="3077" max="3077" width="7.85546875" style="59" customWidth="1"/>
    <col min="3078" max="3078" width="12.28515625" style="59" customWidth="1"/>
    <col min="3079" max="3079" width="5.28515625" style="59" customWidth="1"/>
    <col min="3080" max="3080" width="12.140625" style="59" bestFit="1" customWidth="1"/>
    <col min="3081" max="3081" width="5.7109375" style="59" customWidth="1"/>
    <col min="3082" max="3082" width="11.85546875" style="59" bestFit="1" customWidth="1"/>
    <col min="3083" max="3083" width="8" style="59" customWidth="1"/>
    <col min="3084" max="3084" width="12.5703125" style="59" customWidth="1"/>
    <col min="3085" max="3085" width="9" style="59" customWidth="1"/>
    <col min="3086" max="3086" width="11.7109375" style="59" bestFit="1" customWidth="1"/>
    <col min="3087" max="3087" width="9.42578125" style="59" customWidth="1"/>
    <col min="3088" max="3088" width="4.140625" style="59" customWidth="1"/>
    <col min="3089" max="3089" width="3.28515625" style="59" bestFit="1" customWidth="1"/>
    <col min="3090" max="3090" width="8.85546875" style="59" customWidth="1"/>
    <col min="3091" max="3091" width="10" style="59" bestFit="1" customWidth="1"/>
    <col min="3092" max="3093" width="9.42578125" style="59" customWidth="1"/>
    <col min="3094" max="3094" width="9.5703125" style="59" customWidth="1"/>
    <col min="3095" max="3095" width="9.85546875" style="59" customWidth="1"/>
    <col min="3096" max="3097" width="9.42578125" style="59" customWidth="1"/>
    <col min="3098" max="3098" width="9.85546875" style="59" customWidth="1"/>
    <col min="3099" max="3100" width="9.28515625" style="59" customWidth="1"/>
    <col min="3101" max="3101" width="9.85546875" style="59" customWidth="1"/>
    <col min="3102" max="3102" width="9.28515625" style="59" customWidth="1"/>
    <col min="3103" max="3103" width="10.42578125" style="59" customWidth="1"/>
    <col min="3104" max="3104" width="5.28515625" style="59" bestFit="1" customWidth="1"/>
    <col min="3105" max="3105" width="9.7109375" style="59" bestFit="1" customWidth="1"/>
    <col min="3106" max="3106" width="11" style="59" bestFit="1" customWidth="1"/>
    <col min="3107" max="3107" width="10.85546875" style="59" bestFit="1" customWidth="1"/>
    <col min="3108" max="3108" width="9.140625" style="59"/>
    <col min="3109" max="3109" width="3.85546875" style="59" bestFit="1" customWidth="1"/>
    <col min="3110" max="3110" width="7.28515625" style="59" bestFit="1" customWidth="1"/>
    <col min="3111" max="3113" width="9.140625" style="59"/>
    <col min="3114" max="3114" width="9.28515625" style="59" customWidth="1"/>
    <col min="3115" max="3115" width="9.28515625" style="59" bestFit="1" customWidth="1"/>
    <col min="3116" max="3328" width="9.140625" style="59"/>
    <col min="3329" max="3329" width="7.85546875" style="59" customWidth="1"/>
    <col min="3330" max="3330" width="12.140625" style="59" customWidth="1"/>
    <col min="3331" max="3331" width="6.28515625" style="59" customWidth="1"/>
    <col min="3332" max="3332" width="11.5703125" style="59" customWidth="1"/>
    <col min="3333" max="3333" width="7.85546875" style="59" customWidth="1"/>
    <col min="3334" max="3334" width="12.28515625" style="59" customWidth="1"/>
    <col min="3335" max="3335" width="5.28515625" style="59" customWidth="1"/>
    <col min="3336" max="3336" width="12.140625" style="59" bestFit="1" customWidth="1"/>
    <col min="3337" max="3337" width="5.7109375" style="59" customWidth="1"/>
    <col min="3338" max="3338" width="11.85546875" style="59" bestFit="1" customWidth="1"/>
    <col min="3339" max="3339" width="8" style="59" customWidth="1"/>
    <col min="3340" max="3340" width="12.5703125" style="59" customWidth="1"/>
    <col min="3341" max="3341" width="9" style="59" customWidth="1"/>
    <col min="3342" max="3342" width="11.7109375" style="59" bestFit="1" customWidth="1"/>
    <col min="3343" max="3343" width="9.42578125" style="59" customWidth="1"/>
    <col min="3344" max="3344" width="4.140625" style="59" customWidth="1"/>
    <col min="3345" max="3345" width="3.28515625" style="59" bestFit="1" customWidth="1"/>
    <col min="3346" max="3346" width="8.85546875" style="59" customWidth="1"/>
    <col min="3347" max="3347" width="10" style="59" bestFit="1" customWidth="1"/>
    <col min="3348" max="3349" width="9.42578125" style="59" customWidth="1"/>
    <col min="3350" max="3350" width="9.5703125" style="59" customWidth="1"/>
    <col min="3351" max="3351" width="9.85546875" style="59" customWidth="1"/>
    <col min="3352" max="3353" width="9.42578125" style="59" customWidth="1"/>
    <col min="3354" max="3354" width="9.85546875" style="59" customWidth="1"/>
    <col min="3355" max="3356" width="9.28515625" style="59" customWidth="1"/>
    <col min="3357" max="3357" width="9.85546875" style="59" customWidth="1"/>
    <col min="3358" max="3358" width="9.28515625" style="59" customWidth="1"/>
    <col min="3359" max="3359" width="10.42578125" style="59" customWidth="1"/>
    <col min="3360" max="3360" width="5.28515625" style="59" bestFit="1" customWidth="1"/>
    <col min="3361" max="3361" width="9.7109375" style="59" bestFit="1" customWidth="1"/>
    <col min="3362" max="3362" width="11" style="59" bestFit="1" customWidth="1"/>
    <col min="3363" max="3363" width="10.85546875" style="59" bestFit="1" customWidth="1"/>
    <col min="3364" max="3364" width="9.140625" style="59"/>
    <col min="3365" max="3365" width="3.85546875" style="59" bestFit="1" customWidth="1"/>
    <col min="3366" max="3366" width="7.28515625" style="59" bestFit="1" customWidth="1"/>
    <col min="3367" max="3369" width="9.140625" style="59"/>
    <col min="3370" max="3370" width="9.28515625" style="59" customWidth="1"/>
    <col min="3371" max="3371" width="9.28515625" style="59" bestFit="1" customWidth="1"/>
    <col min="3372" max="3584" width="9.140625" style="59"/>
    <col min="3585" max="3585" width="7.85546875" style="59" customWidth="1"/>
    <col min="3586" max="3586" width="12.140625" style="59" customWidth="1"/>
    <col min="3587" max="3587" width="6.28515625" style="59" customWidth="1"/>
    <col min="3588" max="3588" width="11.5703125" style="59" customWidth="1"/>
    <col min="3589" max="3589" width="7.85546875" style="59" customWidth="1"/>
    <col min="3590" max="3590" width="12.28515625" style="59" customWidth="1"/>
    <col min="3591" max="3591" width="5.28515625" style="59" customWidth="1"/>
    <col min="3592" max="3592" width="12.140625" style="59" bestFit="1" customWidth="1"/>
    <col min="3593" max="3593" width="5.7109375" style="59" customWidth="1"/>
    <col min="3594" max="3594" width="11.85546875" style="59" bestFit="1" customWidth="1"/>
    <col min="3595" max="3595" width="8" style="59" customWidth="1"/>
    <col min="3596" max="3596" width="12.5703125" style="59" customWidth="1"/>
    <col min="3597" max="3597" width="9" style="59" customWidth="1"/>
    <col min="3598" max="3598" width="11.7109375" style="59" bestFit="1" customWidth="1"/>
    <col min="3599" max="3599" width="9.42578125" style="59" customWidth="1"/>
    <col min="3600" max="3600" width="4.140625" style="59" customWidth="1"/>
    <col min="3601" max="3601" width="3.28515625" style="59" bestFit="1" customWidth="1"/>
    <col min="3602" max="3602" width="8.85546875" style="59" customWidth="1"/>
    <col min="3603" max="3603" width="10" style="59" bestFit="1" customWidth="1"/>
    <col min="3604" max="3605" width="9.42578125" style="59" customWidth="1"/>
    <col min="3606" max="3606" width="9.5703125" style="59" customWidth="1"/>
    <col min="3607" max="3607" width="9.85546875" style="59" customWidth="1"/>
    <col min="3608" max="3609" width="9.42578125" style="59" customWidth="1"/>
    <col min="3610" max="3610" width="9.85546875" style="59" customWidth="1"/>
    <col min="3611" max="3612" width="9.28515625" style="59" customWidth="1"/>
    <col min="3613" max="3613" width="9.85546875" style="59" customWidth="1"/>
    <col min="3614" max="3614" width="9.28515625" style="59" customWidth="1"/>
    <col min="3615" max="3615" width="10.42578125" style="59" customWidth="1"/>
    <col min="3616" max="3616" width="5.28515625" style="59" bestFit="1" customWidth="1"/>
    <col min="3617" max="3617" width="9.7109375" style="59" bestFit="1" customWidth="1"/>
    <col min="3618" max="3618" width="11" style="59" bestFit="1" customWidth="1"/>
    <col min="3619" max="3619" width="10.85546875" style="59" bestFit="1" customWidth="1"/>
    <col min="3620" max="3620" width="9.140625" style="59"/>
    <col min="3621" max="3621" width="3.85546875" style="59" bestFit="1" customWidth="1"/>
    <col min="3622" max="3622" width="7.28515625" style="59" bestFit="1" customWidth="1"/>
    <col min="3623" max="3625" width="9.140625" style="59"/>
    <col min="3626" max="3626" width="9.28515625" style="59" customWidth="1"/>
    <col min="3627" max="3627" width="9.28515625" style="59" bestFit="1" customWidth="1"/>
    <col min="3628" max="3840" width="9.140625" style="59"/>
    <col min="3841" max="3841" width="7.85546875" style="59" customWidth="1"/>
    <col min="3842" max="3842" width="12.140625" style="59" customWidth="1"/>
    <col min="3843" max="3843" width="6.28515625" style="59" customWidth="1"/>
    <col min="3844" max="3844" width="11.5703125" style="59" customWidth="1"/>
    <col min="3845" max="3845" width="7.85546875" style="59" customWidth="1"/>
    <col min="3846" max="3846" width="12.28515625" style="59" customWidth="1"/>
    <col min="3847" max="3847" width="5.28515625" style="59" customWidth="1"/>
    <col min="3848" max="3848" width="12.140625" style="59" bestFit="1" customWidth="1"/>
    <col min="3849" max="3849" width="5.7109375" style="59" customWidth="1"/>
    <col min="3850" max="3850" width="11.85546875" style="59" bestFit="1" customWidth="1"/>
    <col min="3851" max="3851" width="8" style="59" customWidth="1"/>
    <col min="3852" max="3852" width="12.5703125" style="59" customWidth="1"/>
    <col min="3853" max="3853" width="9" style="59" customWidth="1"/>
    <col min="3854" max="3854" width="11.7109375" style="59" bestFit="1" customWidth="1"/>
    <col min="3855" max="3855" width="9.42578125" style="59" customWidth="1"/>
    <col min="3856" max="3856" width="4.140625" style="59" customWidth="1"/>
    <col min="3857" max="3857" width="3.28515625" style="59" bestFit="1" customWidth="1"/>
    <col min="3858" max="3858" width="8.85546875" style="59" customWidth="1"/>
    <col min="3859" max="3859" width="10" style="59" bestFit="1" customWidth="1"/>
    <col min="3860" max="3861" width="9.42578125" style="59" customWidth="1"/>
    <col min="3862" max="3862" width="9.5703125" style="59" customWidth="1"/>
    <col min="3863" max="3863" width="9.85546875" style="59" customWidth="1"/>
    <col min="3864" max="3865" width="9.42578125" style="59" customWidth="1"/>
    <col min="3866" max="3866" width="9.85546875" style="59" customWidth="1"/>
    <col min="3867" max="3868" width="9.28515625" style="59" customWidth="1"/>
    <col min="3869" max="3869" width="9.85546875" style="59" customWidth="1"/>
    <col min="3870" max="3870" width="9.28515625" style="59" customWidth="1"/>
    <col min="3871" max="3871" width="10.42578125" style="59" customWidth="1"/>
    <col min="3872" max="3872" width="5.28515625" style="59" bestFit="1" customWidth="1"/>
    <col min="3873" max="3873" width="9.7109375" style="59" bestFit="1" customWidth="1"/>
    <col min="3874" max="3874" width="11" style="59" bestFit="1" customWidth="1"/>
    <col min="3875" max="3875" width="10.85546875" style="59" bestFit="1" customWidth="1"/>
    <col min="3876" max="3876" width="9.140625" style="59"/>
    <col min="3877" max="3877" width="3.85546875" style="59" bestFit="1" customWidth="1"/>
    <col min="3878" max="3878" width="7.28515625" style="59" bestFit="1" customWidth="1"/>
    <col min="3879" max="3881" width="9.140625" style="59"/>
    <col min="3882" max="3882" width="9.28515625" style="59" customWidth="1"/>
    <col min="3883" max="3883" width="9.28515625" style="59" bestFit="1" customWidth="1"/>
    <col min="3884" max="4096" width="9.140625" style="59"/>
    <col min="4097" max="4097" width="7.85546875" style="59" customWidth="1"/>
    <col min="4098" max="4098" width="12.140625" style="59" customWidth="1"/>
    <col min="4099" max="4099" width="6.28515625" style="59" customWidth="1"/>
    <col min="4100" max="4100" width="11.5703125" style="59" customWidth="1"/>
    <col min="4101" max="4101" width="7.85546875" style="59" customWidth="1"/>
    <col min="4102" max="4102" width="12.28515625" style="59" customWidth="1"/>
    <col min="4103" max="4103" width="5.28515625" style="59" customWidth="1"/>
    <col min="4104" max="4104" width="12.140625" style="59" bestFit="1" customWidth="1"/>
    <col min="4105" max="4105" width="5.7109375" style="59" customWidth="1"/>
    <col min="4106" max="4106" width="11.85546875" style="59" bestFit="1" customWidth="1"/>
    <col min="4107" max="4107" width="8" style="59" customWidth="1"/>
    <col min="4108" max="4108" width="12.5703125" style="59" customWidth="1"/>
    <col min="4109" max="4109" width="9" style="59" customWidth="1"/>
    <col min="4110" max="4110" width="11.7109375" style="59" bestFit="1" customWidth="1"/>
    <col min="4111" max="4111" width="9.42578125" style="59" customWidth="1"/>
    <col min="4112" max="4112" width="4.140625" style="59" customWidth="1"/>
    <col min="4113" max="4113" width="3.28515625" style="59" bestFit="1" customWidth="1"/>
    <col min="4114" max="4114" width="8.85546875" style="59" customWidth="1"/>
    <col min="4115" max="4115" width="10" style="59" bestFit="1" customWidth="1"/>
    <col min="4116" max="4117" width="9.42578125" style="59" customWidth="1"/>
    <col min="4118" max="4118" width="9.5703125" style="59" customWidth="1"/>
    <col min="4119" max="4119" width="9.85546875" style="59" customWidth="1"/>
    <col min="4120" max="4121" width="9.42578125" style="59" customWidth="1"/>
    <col min="4122" max="4122" width="9.85546875" style="59" customWidth="1"/>
    <col min="4123" max="4124" width="9.28515625" style="59" customWidth="1"/>
    <col min="4125" max="4125" width="9.85546875" style="59" customWidth="1"/>
    <col min="4126" max="4126" width="9.28515625" style="59" customWidth="1"/>
    <col min="4127" max="4127" width="10.42578125" style="59" customWidth="1"/>
    <col min="4128" max="4128" width="5.28515625" style="59" bestFit="1" customWidth="1"/>
    <col min="4129" max="4129" width="9.7109375" style="59" bestFit="1" customWidth="1"/>
    <col min="4130" max="4130" width="11" style="59" bestFit="1" customWidth="1"/>
    <col min="4131" max="4131" width="10.85546875" style="59" bestFit="1" customWidth="1"/>
    <col min="4132" max="4132" width="9.140625" style="59"/>
    <col min="4133" max="4133" width="3.85546875" style="59" bestFit="1" customWidth="1"/>
    <col min="4134" max="4134" width="7.28515625" style="59" bestFit="1" customWidth="1"/>
    <col min="4135" max="4137" width="9.140625" style="59"/>
    <col min="4138" max="4138" width="9.28515625" style="59" customWidth="1"/>
    <col min="4139" max="4139" width="9.28515625" style="59" bestFit="1" customWidth="1"/>
    <col min="4140" max="4352" width="9.140625" style="59"/>
    <col min="4353" max="4353" width="7.85546875" style="59" customWidth="1"/>
    <col min="4354" max="4354" width="12.140625" style="59" customWidth="1"/>
    <col min="4355" max="4355" width="6.28515625" style="59" customWidth="1"/>
    <col min="4356" max="4356" width="11.5703125" style="59" customWidth="1"/>
    <col min="4357" max="4357" width="7.85546875" style="59" customWidth="1"/>
    <col min="4358" max="4358" width="12.28515625" style="59" customWidth="1"/>
    <col min="4359" max="4359" width="5.28515625" style="59" customWidth="1"/>
    <col min="4360" max="4360" width="12.140625" style="59" bestFit="1" customWidth="1"/>
    <col min="4361" max="4361" width="5.7109375" style="59" customWidth="1"/>
    <col min="4362" max="4362" width="11.85546875" style="59" bestFit="1" customWidth="1"/>
    <col min="4363" max="4363" width="8" style="59" customWidth="1"/>
    <col min="4364" max="4364" width="12.5703125" style="59" customWidth="1"/>
    <col min="4365" max="4365" width="9" style="59" customWidth="1"/>
    <col min="4366" max="4366" width="11.7109375" style="59" bestFit="1" customWidth="1"/>
    <col min="4367" max="4367" width="9.42578125" style="59" customWidth="1"/>
    <col min="4368" max="4368" width="4.140625" style="59" customWidth="1"/>
    <col min="4369" max="4369" width="3.28515625" style="59" bestFit="1" customWidth="1"/>
    <col min="4370" max="4370" width="8.85546875" style="59" customWidth="1"/>
    <col min="4371" max="4371" width="10" style="59" bestFit="1" customWidth="1"/>
    <col min="4372" max="4373" width="9.42578125" style="59" customWidth="1"/>
    <col min="4374" max="4374" width="9.5703125" style="59" customWidth="1"/>
    <col min="4375" max="4375" width="9.85546875" style="59" customWidth="1"/>
    <col min="4376" max="4377" width="9.42578125" style="59" customWidth="1"/>
    <col min="4378" max="4378" width="9.85546875" style="59" customWidth="1"/>
    <col min="4379" max="4380" width="9.28515625" style="59" customWidth="1"/>
    <col min="4381" max="4381" width="9.85546875" style="59" customWidth="1"/>
    <col min="4382" max="4382" width="9.28515625" style="59" customWidth="1"/>
    <col min="4383" max="4383" width="10.42578125" style="59" customWidth="1"/>
    <col min="4384" max="4384" width="5.28515625" style="59" bestFit="1" customWidth="1"/>
    <col min="4385" max="4385" width="9.7109375" style="59" bestFit="1" customWidth="1"/>
    <col min="4386" max="4386" width="11" style="59" bestFit="1" customWidth="1"/>
    <col min="4387" max="4387" width="10.85546875" style="59" bestFit="1" customWidth="1"/>
    <col min="4388" max="4388" width="9.140625" style="59"/>
    <col min="4389" max="4389" width="3.85546875" style="59" bestFit="1" customWidth="1"/>
    <col min="4390" max="4390" width="7.28515625" style="59" bestFit="1" customWidth="1"/>
    <col min="4391" max="4393" width="9.140625" style="59"/>
    <col min="4394" max="4394" width="9.28515625" style="59" customWidth="1"/>
    <col min="4395" max="4395" width="9.28515625" style="59" bestFit="1" customWidth="1"/>
    <col min="4396" max="4608" width="9.140625" style="59"/>
    <col min="4609" max="4609" width="7.85546875" style="59" customWidth="1"/>
    <col min="4610" max="4610" width="12.140625" style="59" customWidth="1"/>
    <col min="4611" max="4611" width="6.28515625" style="59" customWidth="1"/>
    <col min="4612" max="4612" width="11.5703125" style="59" customWidth="1"/>
    <col min="4613" max="4613" width="7.85546875" style="59" customWidth="1"/>
    <col min="4614" max="4614" width="12.28515625" style="59" customWidth="1"/>
    <col min="4615" max="4615" width="5.28515625" style="59" customWidth="1"/>
    <col min="4616" max="4616" width="12.140625" style="59" bestFit="1" customWidth="1"/>
    <col min="4617" max="4617" width="5.7109375" style="59" customWidth="1"/>
    <col min="4618" max="4618" width="11.85546875" style="59" bestFit="1" customWidth="1"/>
    <col min="4619" max="4619" width="8" style="59" customWidth="1"/>
    <col min="4620" max="4620" width="12.5703125" style="59" customWidth="1"/>
    <col min="4621" max="4621" width="9" style="59" customWidth="1"/>
    <col min="4622" max="4622" width="11.7109375" style="59" bestFit="1" customWidth="1"/>
    <col min="4623" max="4623" width="9.42578125" style="59" customWidth="1"/>
    <col min="4624" max="4624" width="4.140625" style="59" customWidth="1"/>
    <col min="4625" max="4625" width="3.28515625" style="59" bestFit="1" customWidth="1"/>
    <col min="4626" max="4626" width="8.85546875" style="59" customWidth="1"/>
    <col min="4627" max="4627" width="10" style="59" bestFit="1" customWidth="1"/>
    <col min="4628" max="4629" width="9.42578125" style="59" customWidth="1"/>
    <col min="4630" max="4630" width="9.5703125" style="59" customWidth="1"/>
    <col min="4631" max="4631" width="9.85546875" style="59" customWidth="1"/>
    <col min="4632" max="4633" width="9.42578125" style="59" customWidth="1"/>
    <col min="4634" max="4634" width="9.85546875" style="59" customWidth="1"/>
    <col min="4635" max="4636" width="9.28515625" style="59" customWidth="1"/>
    <col min="4637" max="4637" width="9.85546875" style="59" customWidth="1"/>
    <col min="4638" max="4638" width="9.28515625" style="59" customWidth="1"/>
    <col min="4639" max="4639" width="10.42578125" style="59" customWidth="1"/>
    <col min="4640" max="4640" width="5.28515625" style="59" bestFit="1" customWidth="1"/>
    <col min="4641" max="4641" width="9.7109375" style="59" bestFit="1" customWidth="1"/>
    <col min="4642" max="4642" width="11" style="59" bestFit="1" customWidth="1"/>
    <col min="4643" max="4643" width="10.85546875" style="59" bestFit="1" customWidth="1"/>
    <col min="4644" max="4644" width="9.140625" style="59"/>
    <col min="4645" max="4645" width="3.85546875" style="59" bestFit="1" customWidth="1"/>
    <col min="4646" max="4646" width="7.28515625" style="59" bestFit="1" customWidth="1"/>
    <col min="4647" max="4649" width="9.140625" style="59"/>
    <col min="4650" max="4650" width="9.28515625" style="59" customWidth="1"/>
    <col min="4651" max="4651" width="9.28515625" style="59" bestFit="1" customWidth="1"/>
    <col min="4652" max="4864" width="9.140625" style="59"/>
    <col min="4865" max="4865" width="7.85546875" style="59" customWidth="1"/>
    <col min="4866" max="4866" width="12.140625" style="59" customWidth="1"/>
    <col min="4867" max="4867" width="6.28515625" style="59" customWidth="1"/>
    <col min="4868" max="4868" width="11.5703125" style="59" customWidth="1"/>
    <col min="4869" max="4869" width="7.85546875" style="59" customWidth="1"/>
    <col min="4870" max="4870" width="12.28515625" style="59" customWidth="1"/>
    <col min="4871" max="4871" width="5.28515625" style="59" customWidth="1"/>
    <col min="4872" max="4872" width="12.140625" style="59" bestFit="1" customWidth="1"/>
    <col min="4873" max="4873" width="5.7109375" style="59" customWidth="1"/>
    <col min="4874" max="4874" width="11.85546875" style="59" bestFit="1" customWidth="1"/>
    <col min="4875" max="4875" width="8" style="59" customWidth="1"/>
    <col min="4876" max="4876" width="12.5703125" style="59" customWidth="1"/>
    <col min="4877" max="4877" width="9" style="59" customWidth="1"/>
    <col min="4878" max="4878" width="11.7109375" style="59" bestFit="1" customWidth="1"/>
    <col min="4879" max="4879" width="9.42578125" style="59" customWidth="1"/>
    <col min="4880" max="4880" width="4.140625" style="59" customWidth="1"/>
    <col min="4881" max="4881" width="3.28515625" style="59" bestFit="1" customWidth="1"/>
    <col min="4882" max="4882" width="8.85546875" style="59" customWidth="1"/>
    <col min="4883" max="4883" width="10" style="59" bestFit="1" customWidth="1"/>
    <col min="4884" max="4885" width="9.42578125" style="59" customWidth="1"/>
    <col min="4886" max="4886" width="9.5703125" style="59" customWidth="1"/>
    <col min="4887" max="4887" width="9.85546875" style="59" customWidth="1"/>
    <col min="4888" max="4889" width="9.42578125" style="59" customWidth="1"/>
    <col min="4890" max="4890" width="9.85546875" style="59" customWidth="1"/>
    <col min="4891" max="4892" width="9.28515625" style="59" customWidth="1"/>
    <col min="4893" max="4893" width="9.85546875" style="59" customWidth="1"/>
    <col min="4894" max="4894" width="9.28515625" style="59" customWidth="1"/>
    <col min="4895" max="4895" width="10.42578125" style="59" customWidth="1"/>
    <col min="4896" max="4896" width="5.28515625" style="59" bestFit="1" customWidth="1"/>
    <col min="4897" max="4897" width="9.7109375" style="59" bestFit="1" customWidth="1"/>
    <col min="4898" max="4898" width="11" style="59" bestFit="1" customWidth="1"/>
    <col min="4899" max="4899" width="10.85546875" style="59" bestFit="1" customWidth="1"/>
    <col min="4900" max="4900" width="9.140625" style="59"/>
    <col min="4901" max="4901" width="3.85546875" style="59" bestFit="1" customWidth="1"/>
    <col min="4902" max="4902" width="7.28515625" style="59" bestFit="1" customWidth="1"/>
    <col min="4903" max="4905" width="9.140625" style="59"/>
    <col min="4906" max="4906" width="9.28515625" style="59" customWidth="1"/>
    <col min="4907" max="4907" width="9.28515625" style="59" bestFit="1" customWidth="1"/>
    <col min="4908" max="5120" width="9.140625" style="59"/>
    <col min="5121" max="5121" width="7.85546875" style="59" customWidth="1"/>
    <col min="5122" max="5122" width="12.140625" style="59" customWidth="1"/>
    <col min="5123" max="5123" width="6.28515625" style="59" customWidth="1"/>
    <col min="5124" max="5124" width="11.5703125" style="59" customWidth="1"/>
    <col min="5125" max="5125" width="7.85546875" style="59" customWidth="1"/>
    <col min="5126" max="5126" width="12.28515625" style="59" customWidth="1"/>
    <col min="5127" max="5127" width="5.28515625" style="59" customWidth="1"/>
    <col min="5128" max="5128" width="12.140625" style="59" bestFit="1" customWidth="1"/>
    <col min="5129" max="5129" width="5.7109375" style="59" customWidth="1"/>
    <col min="5130" max="5130" width="11.85546875" style="59" bestFit="1" customWidth="1"/>
    <col min="5131" max="5131" width="8" style="59" customWidth="1"/>
    <col min="5132" max="5132" width="12.5703125" style="59" customWidth="1"/>
    <col min="5133" max="5133" width="9" style="59" customWidth="1"/>
    <col min="5134" max="5134" width="11.7109375" style="59" bestFit="1" customWidth="1"/>
    <col min="5135" max="5135" width="9.42578125" style="59" customWidth="1"/>
    <col min="5136" max="5136" width="4.140625" style="59" customWidth="1"/>
    <col min="5137" max="5137" width="3.28515625" style="59" bestFit="1" customWidth="1"/>
    <col min="5138" max="5138" width="8.85546875" style="59" customWidth="1"/>
    <col min="5139" max="5139" width="10" style="59" bestFit="1" customWidth="1"/>
    <col min="5140" max="5141" width="9.42578125" style="59" customWidth="1"/>
    <col min="5142" max="5142" width="9.5703125" style="59" customWidth="1"/>
    <col min="5143" max="5143" width="9.85546875" style="59" customWidth="1"/>
    <col min="5144" max="5145" width="9.42578125" style="59" customWidth="1"/>
    <col min="5146" max="5146" width="9.85546875" style="59" customWidth="1"/>
    <col min="5147" max="5148" width="9.28515625" style="59" customWidth="1"/>
    <col min="5149" max="5149" width="9.85546875" style="59" customWidth="1"/>
    <col min="5150" max="5150" width="9.28515625" style="59" customWidth="1"/>
    <col min="5151" max="5151" width="10.42578125" style="59" customWidth="1"/>
    <col min="5152" max="5152" width="5.28515625" style="59" bestFit="1" customWidth="1"/>
    <col min="5153" max="5153" width="9.7109375" style="59" bestFit="1" customWidth="1"/>
    <col min="5154" max="5154" width="11" style="59" bestFit="1" customWidth="1"/>
    <col min="5155" max="5155" width="10.85546875" style="59" bestFit="1" customWidth="1"/>
    <col min="5156" max="5156" width="9.140625" style="59"/>
    <col min="5157" max="5157" width="3.85546875" style="59" bestFit="1" customWidth="1"/>
    <col min="5158" max="5158" width="7.28515625" style="59" bestFit="1" customWidth="1"/>
    <col min="5159" max="5161" width="9.140625" style="59"/>
    <col min="5162" max="5162" width="9.28515625" style="59" customWidth="1"/>
    <col min="5163" max="5163" width="9.28515625" style="59" bestFit="1" customWidth="1"/>
    <col min="5164" max="5376" width="9.140625" style="59"/>
    <col min="5377" max="5377" width="7.85546875" style="59" customWidth="1"/>
    <col min="5378" max="5378" width="12.140625" style="59" customWidth="1"/>
    <col min="5379" max="5379" width="6.28515625" style="59" customWidth="1"/>
    <col min="5380" max="5380" width="11.5703125" style="59" customWidth="1"/>
    <col min="5381" max="5381" width="7.85546875" style="59" customWidth="1"/>
    <col min="5382" max="5382" width="12.28515625" style="59" customWidth="1"/>
    <col min="5383" max="5383" width="5.28515625" style="59" customWidth="1"/>
    <col min="5384" max="5384" width="12.140625" style="59" bestFit="1" customWidth="1"/>
    <col min="5385" max="5385" width="5.7109375" style="59" customWidth="1"/>
    <col min="5386" max="5386" width="11.85546875" style="59" bestFit="1" customWidth="1"/>
    <col min="5387" max="5387" width="8" style="59" customWidth="1"/>
    <col min="5388" max="5388" width="12.5703125" style="59" customWidth="1"/>
    <col min="5389" max="5389" width="9" style="59" customWidth="1"/>
    <col min="5390" max="5390" width="11.7109375" style="59" bestFit="1" customWidth="1"/>
    <col min="5391" max="5391" width="9.42578125" style="59" customWidth="1"/>
    <col min="5392" max="5392" width="4.140625" style="59" customWidth="1"/>
    <col min="5393" max="5393" width="3.28515625" style="59" bestFit="1" customWidth="1"/>
    <col min="5394" max="5394" width="8.85546875" style="59" customWidth="1"/>
    <col min="5395" max="5395" width="10" style="59" bestFit="1" customWidth="1"/>
    <col min="5396" max="5397" width="9.42578125" style="59" customWidth="1"/>
    <col min="5398" max="5398" width="9.5703125" style="59" customWidth="1"/>
    <col min="5399" max="5399" width="9.85546875" style="59" customWidth="1"/>
    <col min="5400" max="5401" width="9.42578125" style="59" customWidth="1"/>
    <col min="5402" max="5402" width="9.85546875" style="59" customWidth="1"/>
    <col min="5403" max="5404" width="9.28515625" style="59" customWidth="1"/>
    <col min="5405" max="5405" width="9.85546875" style="59" customWidth="1"/>
    <col min="5406" max="5406" width="9.28515625" style="59" customWidth="1"/>
    <col min="5407" max="5407" width="10.42578125" style="59" customWidth="1"/>
    <col min="5408" max="5408" width="5.28515625" style="59" bestFit="1" customWidth="1"/>
    <col min="5409" max="5409" width="9.7109375" style="59" bestFit="1" customWidth="1"/>
    <col min="5410" max="5410" width="11" style="59" bestFit="1" customWidth="1"/>
    <col min="5411" max="5411" width="10.85546875" style="59" bestFit="1" customWidth="1"/>
    <col min="5412" max="5412" width="9.140625" style="59"/>
    <col min="5413" max="5413" width="3.85546875" style="59" bestFit="1" customWidth="1"/>
    <col min="5414" max="5414" width="7.28515625" style="59" bestFit="1" customWidth="1"/>
    <col min="5415" max="5417" width="9.140625" style="59"/>
    <col min="5418" max="5418" width="9.28515625" style="59" customWidth="1"/>
    <col min="5419" max="5419" width="9.28515625" style="59" bestFit="1" customWidth="1"/>
    <col min="5420" max="5632" width="9.140625" style="59"/>
    <col min="5633" max="5633" width="7.85546875" style="59" customWidth="1"/>
    <col min="5634" max="5634" width="12.140625" style="59" customWidth="1"/>
    <col min="5635" max="5635" width="6.28515625" style="59" customWidth="1"/>
    <col min="5636" max="5636" width="11.5703125" style="59" customWidth="1"/>
    <col min="5637" max="5637" width="7.85546875" style="59" customWidth="1"/>
    <col min="5638" max="5638" width="12.28515625" style="59" customWidth="1"/>
    <col min="5639" max="5639" width="5.28515625" style="59" customWidth="1"/>
    <col min="5640" max="5640" width="12.140625" style="59" bestFit="1" customWidth="1"/>
    <col min="5641" max="5641" width="5.7109375" style="59" customWidth="1"/>
    <col min="5642" max="5642" width="11.85546875" style="59" bestFit="1" customWidth="1"/>
    <col min="5643" max="5643" width="8" style="59" customWidth="1"/>
    <col min="5644" max="5644" width="12.5703125" style="59" customWidth="1"/>
    <col min="5645" max="5645" width="9" style="59" customWidth="1"/>
    <col min="5646" max="5646" width="11.7109375" style="59" bestFit="1" customWidth="1"/>
    <col min="5647" max="5647" width="9.42578125" style="59" customWidth="1"/>
    <col min="5648" max="5648" width="4.140625" style="59" customWidth="1"/>
    <col min="5649" max="5649" width="3.28515625" style="59" bestFit="1" customWidth="1"/>
    <col min="5650" max="5650" width="8.85546875" style="59" customWidth="1"/>
    <col min="5651" max="5651" width="10" style="59" bestFit="1" customWidth="1"/>
    <col min="5652" max="5653" width="9.42578125" style="59" customWidth="1"/>
    <col min="5654" max="5654" width="9.5703125" style="59" customWidth="1"/>
    <col min="5655" max="5655" width="9.85546875" style="59" customWidth="1"/>
    <col min="5656" max="5657" width="9.42578125" style="59" customWidth="1"/>
    <col min="5658" max="5658" width="9.85546875" style="59" customWidth="1"/>
    <col min="5659" max="5660" width="9.28515625" style="59" customWidth="1"/>
    <col min="5661" max="5661" width="9.85546875" style="59" customWidth="1"/>
    <col min="5662" max="5662" width="9.28515625" style="59" customWidth="1"/>
    <col min="5663" max="5663" width="10.42578125" style="59" customWidth="1"/>
    <col min="5664" max="5664" width="5.28515625" style="59" bestFit="1" customWidth="1"/>
    <col min="5665" max="5665" width="9.7109375" style="59" bestFit="1" customWidth="1"/>
    <col min="5666" max="5666" width="11" style="59" bestFit="1" customWidth="1"/>
    <col min="5667" max="5667" width="10.85546875" style="59" bestFit="1" customWidth="1"/>
    <col min="5668" max="5668" width="9.140625" style="59"/>
    <col min="5669" max="5669" width="3.85546875" style="59" bestFit="1" customWidth="1"/>
    <col min="5670" max="5670" width="7.28515625" style="59" bestFit="1" customWidth="1"/>
    <col min="5671" max="5673" width="9.140625" style="59"/>
    <col min="5674" max="5674" width="9.28515625" style="59" customWidth="1"/>
    <col min="5675" max="5675" width="9.28515625" style="59" bestFit="1" customWidth="1"/>
    <col min="5676" max="5888" width="9.140625" style="59"/>
    <col min="5889" max="5889" width="7.85546875" style="59" customWidth="1"/>
    <col min="5890" max="5890" width="12.140625" style="59" customWidth="1"/>
    <col min="5891" max="5891" width="6.28515625" style="59" customWidth="1"/>
    <col min="5892" max="5892" width="11.5703125" style="59" customWidth="1"/>
    <col min="5893" max="5893" width="7.85546875" style="59" customWidth="1"/>
    <col min="5894" max="5894" width="12.28515625" style="59" customWidth="1"/>
    <col min="5895" max="5895" width="5.28515625" style="59" customWidth="1"/>
    <col min="5896" max="5896" width="12.140625" style="59" bestFit="1" customWidth="1"/>
    <col min="5897" max="5897" width="5.7109375" style="59" customWidth="1"/>
    <col min="5898" max="5898" width="11.85546875" style="59" bestFit="1" customWidth="1"/>
    <col min="5899" max="5899" width="8" style="59" customWidth="1"/>
    <col min="5900" max="5900" width="12.5703125" style="59" customWidth="1"/>
    <col min="5901" max="5901" width="9" style="59" customWidth="1"/>
    <col min="5902" max="5902" width="11.7109375" style="59" bestFit="1" customWidth="1"/>
    <col min="5903" max="5903" width="9.42578125" style="59" customWidth="1"/>
    <col min="5904" max="5904" width="4.140625" style="59" customWidth="1"/>
    <col min="5905" max="5905" width="3.28515625" style="59" bestFit="1" customWidth="1"/>
    <col min="5906" max="5906" width="8.85546875" style="59" customWidth="1"/>
    <col min="5907" max="5907" width="10" style="59" bestFit="1" customWidth="1"/>
    <col min="5908" max="5909" width="9.42578125" style="59" customWidth="1"/>
    <col min="5910" max="5910" width="9.5703125" style="59" customWidth="1"/>
    <col min="5911" max="5911" width="9.85546875" style="59" customWidth="1"/>
    <col min="5912" max="5913" width="9.42578125" style="59" customWidth="1"/>
    <col min="5914" max="5914" width="9.85546875" style="59" customWidth="1"/>
    <col min="5915" max="5916" width="9.28515625" style="59" customWidth="1"/>
    <col min="5917" max="5917" width="9.85546875" style="59" customWidth="1"/>
    <col min="5918" max="5918" width="9.28515625" style="59" customWidth="1"/>
    <col min="5919" max="5919" width="10.42578125" style="59" customWidth="1"/>
    <col min="5920" max="5920" width="5.28515625" style="59" bestFit="1" customWidth="1"/>
    <col min="5921" max="5921" width="9.7109375" style="59" bestFit="1" customWidth="1"/>
    <col min="5922" max="5922" width="11" style="59" bestFit="1" customWidth="1"/>
    <col min="5923" max="5923" width="10.85546875" style="59" bestFit="1" customWidth="1"/>
    <col min="5924" max="5924" width="9.140625" style="59"/>
    <col min="5925" max="5925" width="3.85546875" style="59" bestFit="1" customWidth="1"/>
    <col min="5926" max="5926" width="7.28515625" style="59" bestFit="1" customWidth="1"/>
    <col min="5927" max="5929" width="9.140625" style="59"/>
    <col min="5930" max="5930" width="9.28515625" style="59" customWidth="1"/>
    <col min="5931" max="5931" width="9.28515625" style="59" bestFit="1" customWidth="1"/>
    <col min="5932" max="6144" width="9.140625" style="59"/>
    <col min="6145" max="6145" width="7.85546875" style="59" customWidth="1"/>
    <col min="6146" max="6146" width="12.140625" style="59" customWidth="1"/>
    <col min="6147" max="6147" width="6.28515625" style="59" customWidth="1"/>
    <col min="6148" max="6148" width="11.5703125" style="59" customWidth="1"/>
    <col min="6149" max="6149" width="7.85546875" style="59" customWidth="1"/>
    <col min="6150" max="6150" width="12.28515625" style="59" customWidth="1"/>
    <col min="6151" max="6151" width="5.28515625" style="59" customWidth="1"/>
    <col min="6152" max="6152" width="12.140625" style="59" bestFit="1" customWidth="1"/>
    <col min="6153" max="6153" width="5.7109375" style="59" customWidth="1"/>
    <col min="6154" max="6154" width="11.85546875" style="59" bestFit="1" customWidth="1"/>
    <col min="6155" max="6155" width="8" style="59" customWidth="1"/>
    <col min="6156" max="6156" width="12.5703125" style="59" customWidth="1"/>
    <col min="6157" max="6157" width="9" style="59" customWidth="1"/>
    <col min="6158" max="6158" width="11.7109375" style="59" bestFit="1" customWidth="1"/>
    <col min="6159" max="6159" width="9.42578125" style="59" customWidth="1"/>
    <col min="6160" max="6160" width="4.140625" style="59" customWidth="1"/>
    <col min="6161" max="6161" width="3.28515625" style="59" bestFit="1" customWidth="1"/>
    <col min="6162" max="6162" width="8.85546875" style="59" customWidth="1"/>
    <col min="6163" max="6163" width="10" style="59" bestFit="1" customWidth="1"/>
    <col min="6164" max="6165" width="9.42578125" style="59" customWidth="1"/>
    <col min="6166" max="6166" width="9.5703125" style="59" customWidth="1"/>
    <col min="6167" max="6167" width="9.85546875" style="59" customWidth="1"/>
    <col min="6168" max="6169" width="9.42578125" style="59" customWidth="1"/>
    <col min="6170" max="6170" width="9.85546875" style="59" customWidth="1"/>
    <col min="6171" max="6172" width="9.28515625" style="59" customWidth="1"/>
    <col min="6173" max="6173" width="9.85546875" style="59" customWidth="1"/>
    <col min="6174" max="6174" width="9.28515625" style="59" customWidth="1"/>
    <col min="6175" max="6175" width="10.42578125" style="59" customWidth="1"/>
    <col min="6176" max="6176" width="5.28515625" style="59" bestFit="1" customWidth="1"/>
    <col min="6177" max="6177" width="9.7109375" style="59" bestFit="1" customWidth="1"/>
    <col min="6178" max="6178" width="11" style="59" bestFit="1" customWidth="1"/>
    <col min="6179" max="6179" width="10.85546875" style="59" bestFit="1" customWidth="1"/>
    <col min="6180" max="6180" width="9.140625" style="59"/>
    <col min="6181" max="6181" width="3.85546875" style="59" bestFit="1" customWidth="1"/>
    <col min="6182" max="6182" width="7.28515625" style="59" bestFit="1" customWidth="1"/>
    <col min="6183" max="6185" width="9.140625" style="59"/>
    <col min="6186" max="6186" width="9.28515625" style="59" customWidth="1"/>
    <col min="6187" max="6187" width="9.28515625" style="59" bestFit="1" customWidth="1"/>
    <col min="6188" max="6400" width="9.140625" style="59"/>
    <col min="6401" max="6401" width="7.85546875" style="59" customWidth="1"/>
    <col min="6402" max="6402" width="12.140625" style="59" customWidth="1"/>
    <col min="6403" max="6403" width="6.28515625" style="59" customWidth="1"/>
    <col min="6404" max="6404" width="11.5703125" style="59" customWidth="1"/>
    <col min="6405" max="6405" width="7.85546875" style="59" customWidth="1"/>
    <col min="6406" max="6406" width="12.28515625" style="59" customWidth="1"/>
    <col min="6407" max="6407" width="5.28515625" style="59" customWidth="1"/>
    <col min="6408" max="6408" width="12.140625" style="59" bestFit="1" customWidth="1"/>
    <col min="6409" max="6409" width="5.7109375" style="59" customWidth="1"/>
    <col min="6410" max="6410" width="11.85546875" style="59" bestFit="1" customWidth="1"/>
    <col min="6411" max="6411" width="8" style="59" customWidth="1"/>
    <col min="6412" max="6412" width="12.5703125" style="59" customWidth="1"/>
    <col min="6413" max="6413" width="9" style="59" customWidth="1"/>
    <col min="6414" max="6414" width="11.7109375" style="59" bestFit="1" customWidth="1"/>
    <col min="6415" max="6415" width="9.42578125" style="59" customWidth="1"/>
    <col min="6416" max="6416" width="4.140625" style="59" customWidth="1"/>
    <col min="6417" max="6417" width="3.28515625" style="59" bestFit="1" customWidth="1"/>
    <col min="6418" max="6418" width="8.85546875" style="59" customWidth="1"/>
    <col min="6419" max="6419" width="10" style="59" bestFit="1" customWidth="1"/>
    <col min="6420" max="6421" width="9.42578125" style="59" customWidth="1"/>
    <col min="6422" max="6422" width="9.5703125" style="59" customWidth="1"/>
    <col min="6423" max="6423" width="9.85546875" style="59" customWidth="1"/>
    <col min="6424" max="6425" width="9.42578125" style="59" customWidth="1"/>
    <col min="6426" max="6426" width="9.85546875" style="59" customWidth="1"/>
    <col min="6427" max="6428" width="9.28515625" style="59" customWidth="1"/>
    <col min="6429" max="6429" width="9.85546875" style="59" customWidth="1"/>
    <col min="6430" max="6430" width="9.28515625" style="59" customWidth="1"/>
    <col min="6431" max="6431" width="10.42578125" style="59" customWidth="1"/>
    <col min="6432" max="6432" width="5.28515625" style="59" bestFit="1" customWidth="1"/>
    <col min="6433" max="6433" width="9.7109375" style="59" bestFit="1" customWidth="1"/>
    <col min="6434" max="6434" width="11" style="59" bestFit="1" customWidth="1"/>
    <col min="6435" max="6435" width="10.85546875" style="59" bestFit="1" customWidth="1"/>
    <col min="6436" max="6436" width="9.140625" style="59"/>
    <col min="6437" max="6437" width="3.85546875" style="59" bestFit="1" customWidth="1"/>
    <col min="6438" max="6438" width="7.28515625" style="59" bestFit="1" customWidth="1"/>
    <col min="6439" max="6441" width="9.140625" style="59"/>
    <col min="6442" max="6442" width="9.28515625" style="59" customWidth="1"/>
    <col min="6443" max="6443" width="9.28515625" style="59" bestFit="1" customWidth="1"/>
    <col min="6444" max="6656" width="9.140625" style="59"/>
    <col min="6657" max="6657" width="7.85546875" style="59" customWidth="1"/>
    <col min="6658" max="6658" width="12.140625" style="59" customWidth="1"/>
    <col min="6659" max="6659" width="6.28515625" style="59" customWidth="1"/>
    <col min="6660" max="6660" width="11.5703125" style="59" customWidth="1"/>
    <col min="6661" max="6661" width="7.85546875" style="59" customWidth="1"/>
    <col min="6662" max="6662" width="12.28515625" style="59" customWidth="1"/>
    <col min="6663" max="6663" width="5.28515625" style="59" customWidth="1"/>
    <col min="6664" max="6664" width="12.140625" style="59" bestFit="1" customWidth="1"/>
    <col min="6665" max="6665" width="5.7109375" style="59" customWidth="1"/>
    <col min="6666" max="6666" width="11.85546875" style="59" bestFit="1" customWidth="1"/>
    <col min="6667" max="6667" width="8" style="59" customWidth="1"/>
    <col min="6668" max="6668" width="12.5703125" style="59" customWidth="1"/>
    <col min="6669" max="6669" width="9" style="59" customWidth="1"/>
    <col min="6670" max="6670" width="11.7109375" style="59" bestFit="1" customWidth="1"/>
    <col min="6671" max="6671" width="9.42578125" style="59" customWidth="1"/>
    <col min="6672" max="6672" width="4.140625" style="59" customWidth="1"/>
    <col min="6673" max="6673" width="3.28515625" style="59" bestFit="1" customWidth="1"/>
    <col min="6674" max="6674" width="8.85546875" style="59" customWidth="1"/>
    <col min="6675" max="6675" width="10" style="59" bestFit="1" customWidth="1"/>
    <col min="6676" max="6677" width="9.42578125" style="59" customWidth="1"/>
    <col min="6678" max="6678" width="9.5703125" style="59" customWidth="1"/>
    <col min="6679" max="6679" width="9.85546875" style="59" customWidth="1"/>
    <col min="6680" max="6681" width="9.42578125" style="59" customWidth="1"/>
    <col min="6682" max="6682" width="9.85546875" style="59" customWidth="1"/>
    <col min="6683" max="6684" width="9.28515625" style="59" customWidth="1"/>
    <col min="6685" max="6685" width="9.85546875" style="59" customWidth="1"/>
    <col min="6686" max="6686" width="9.28515625" style="59" customWidth="1"/>
    <col min="6687" max="6687" width="10.42578125" style="59" customWidth="1"/>
    <col min="6688" max="6688" width="5.28515625" style="59" bestFit="1" customWidth="1"/>
    <col min="6689" max="6689" width="9.7109375" style="59" bestFit="1" customWidth="1"/>
    <col min="6690" max="6690" width="11" style="59" bestFit="1" customWidth="1"/>
    <col min="6691" max="6691" width="10.85546875" style="59" bestFit="1" customWidth="1"/>
    <col min="6692" max="6692" width="9.140625" style="59"/>
    <col min="6693" max="6693" width="3.85546875" style="59" bestFit="1" customWidth="1"/>
    <col min="6694" max="6694" width="7.28515625" style="59" bestFit="1" customWidth="1"/>
    <col min="6695" max="6697" width="9.140625" style="59"/>
    <col min="6698" max="6698" width="9.28515625" style="59" customWidth="1"/>
    <col min="6699" max="6699" width="9.28515625" style="59" bestFit="1" customWidth="1"/>
    <col min="6700" max="6912" width="9.140625" style="59"/>
    <col min="6913" max="6913" width="7.85546875" style="59" customWidth="1"/>
    <col min="6914" max="6914" width="12.140625" style="59" customWidth="1"/>
    <col min="6915" max="6915" width="6.28515625" style="59" customWidth="1"/>
    <col min="6916" max="6916" width="11.5703125" style="59" customWidth="1"/>
    <col min="6917" max="6917" width="7.85546875" style="59" customWidth="1"/>
    <col min="6918" max="6918" width="12.28515625" style="59" customWidth="1"/>
    <col min="6919" max="6919" width="5.28515625" style="59" customWidth="1"/>
    <col min="6920" max="6920" width="12.140625" style="59" bestFit="1" customWidth="1"/>
    <col min="6921" max="6921" width="5.7109375" style="59" customWidth="1"/>
    <col min="6922" max="6922" width="11.85546875" style="59" bestFit="1" customWidth="1"/>
    <col min="6923" max="6923" width="8" style="59" customWidth="1"/>
    <col min="6924" max="6924" width="12.5703125" style="59" customWidth="1"/>
    <col min="6925" max="6925" width="9" style="59" customWidth="1"/>
    <col min="6926" max="6926" width="11.7109375" style="59" bestFit="1" customWidth="1"/>
    <col min="6927" max="6927" width="9.42578125" style="59" customWidth="1"/>
    <col min="6928" max="6928" width="4.140625" style="59" customWidth="1"/>
    <col min="6929" max="6929" width="3.28515625" style="59" bestFit="1" customWidth="1"/>
    <col min="6930" max="6930" width="8.85546875" style="59" customWidth="1"/>
    <col min="6931" max="6931" width="10" style="59" bestFit="1" customWidth="1"/>
    <col min="6932" max="6933" width="9.42578125" style="59" customWidth="1"/>
    <col min="6934" max="6934" width="9.5703125" style="59" customWidth="1"/>
    <col min="6935" max="6935" width="9.85546875" style="59" customWidth="1"/>
    <col min="6936" max="6937" width="9.42578125" style="59" customWidth="1"/>
    <col min="6938" max="6938" width="9.85546875" style="59" customWidth="1"/>
    <col min="6939" max="6940" width="9.28515625" style="59" customWidth="1"/>
    <col min="6941" max="6941" width="9.85546875" style="59" customWidth="1"/>
    <col min="6942" max="6942" width="9.28515625" style="59" customWidth="1"/>
    <col min="6943" max="6943" width="10.42578125" style="59" customWidth="1"/>
    <col min="6944" max="6944" width="5.28515625" style="59" bestFit="1" customWidth="1"/>
    <col min="6945" max="6945" width="9.7109375" style="59" bestFit="1" customWidth="1"/>
    <col min="6946" max="6946" width="11" style="59" bestFit="1" customWidth="1"/>
    <col min="6947" max="6947" width="10.85546875" style="59" bestFit="1" customWidth="1"/>
    <col min="6948" max="6948" width="9.140625" style="59"/>
    <col min="6949" max="6949" width="3.85546875" style="59" bestFit="1" customWidth="1"/>
    <col min="6950" max="6950" width="7.28515625" style="59" bestFit="1" customWidth="1"/>
    <col min="6951" max="6953" width="9.140625" style="59"/>
    <col min="6954" max="6954" width="9.28515625" style="59" customWidth="1"/>
    <col min="6955" max="6955" width="9.28515625" style="59" bestFit="1" customWidth="1"/>
    <col min="6956" max="7168" width="9.140625" style="59"/>
    <col min="7169" max="7169" width="7.85546875" style="59" customWidth="1"/>
    <col min="7170" max="7170" width="12.140625" style="59" customWidth="1"/>
    <col min="7171" max="7171" width="6.28515625" style="59" customWidth="1"/>
    <col min="7172" max="7172" width="11.5703125" style="59" customWidth="1"/>
    <col min="7173" max="7173" width="7.85546875" style="59" customWidth="1"/>
    <col min="7174" max="7174" width="12.28515625" style="59" customWidth="1"/>
    <col min="7175" max="7175" width="5.28515625" style="59" customWidth="1"/>
    <col min="7176" max="7176" width="12.140625" style="59" bestFit="1" customWidth="1"/>
    <col min="7177" max="7177" width="5.7109375" style="59" customWidth="1"/>
    <col min="7178" max="7178" width="11.85546875" style="59" bestFit="1" customWidth="1"/>
    <col min="7179" max="7179" width="8" style="59" customWidth="1"/>
    <col min="7180" max="7180" width="12.5703125" style="59" customWidth="1"/>
    <col min="7181" max="7181" width="9" style="59" customWidth="1"/>
    <col min="7182" max="7182" width="11.7109375" style="59" bestFit="1" customWidth="1"/>
    <col min="7183" max="7183" width="9.42578125" style="59" customWidth="1"/>
    <col min="7184" max="7184" width="4.140625" style="59" customWidth="1"/>
    <col min="7185" max="7185" width="3.28515625" style="59" bestFit="1" customWidth="1"/>
    <col min="7186" max="7186" width="8.85546875" style="59" customWidth="1"/>
    <col min="7187" max="7187" width="10" style="59" bestFit="1" customWidth="1"/>
    <col min="7188" max="7189" width="9.42578125" style="59" customWidth="1"/>
    <col min="7190" max="7190" width="9.5703125" style="59" customWidth="1"/>
    <col min="7191" max="7191" width="9.85546875" style="59" customWidth="1"/>
    <col min="7192" max="7193" width="9.42578125" style="59" customWidth="1"/>
    <col min="7194" max="7194" width="9.85546875" style="59" customWidth="1"/>
    <col min="7195" max="7196" width="9.28515625" style="59" customWidth="1"/>
    <col min="7197" max="7197" width="9.85546875" style="59" customWidth="1"/>
    <col min="7198" max="7198" width="9.28515625" style="59" customWidth="1"/>
    <col min="7199" max="7199" width="10.42578125" style="59" customWidth="1"/>
    <col min="7200" max="7200" width="5.28515625" style="59" bestFit="1" customWidth="1"/>
    <col min="7201" max="7201" width="9.7109375" style="59" bestFit="1" customWidth="1"/>
    <col min="7202" max="7202" width="11" style="59" bestFit="1" customWidth="1"/>
    <col min="7203" max="7203" width="10.85546875" style="59" bestFit="1" customWidth="1"/>
    <col min="7204" max="7204" width="9.140625" style="59"/>
    <col min="7205" max="7205" width="3.85546875" style="59" bestFit="1" customWidth="1"/>
    <col min="7206" max="7206" width="7.28515625" style="59" bestFit="1" customWidth="1"/>
    <col min="7207" max="7209" width="9.140625" style="59"/>
    <col min="7210" max="7210" width="9.28515625" style="59" customWidth="1"/>
    <col min="7211" max="7211" width="9.28515625" style="59" bestFit="1" customWidth="1"/>
    <col min="7212" max="7424" width="9.140625" style="59"/>
    <col min="7425" max="7425" width="7.85546875" style="59" customWidth="1"/>
    <col min="7426" max="7426" width="12.140625" style="59" customWidth="1"/>
    <col min="7427" max="7427" width="6.28515625" style="59" customWidth="1"/>
    <col min="7428" max="7428" width="11.5703125" style="59" customWidth="1"/>
    <col min="7429" max="7429" width="7.85546875" style="59" customWidth="1"/>
    <col min="7430" max="7430" width="12.28515625" style="59" customWidth="1"/>
    <col min="7431" max="7431" width="5.28515625" style="59" customWidth="1"/>
    <col min="7432" max="7432" width="12.140625" style="59" bestFit="1" customWidth="1"/>
    <col min="7433" max="7433" width="5.7109375" style="59" customWidth="1"/>
    <col min="7434" max="7434" width="11.85546875" style="59" bestFit="1" customWidth="1"/>
    <col min="7435" max="7435" width="8" style="59" customWidth="1"/>
    <col min="7436" max="7436" width="12.5703125" style="59" customWidth="1"/>
    <col min="7437" max="7437" width="9" style="59" customWidth="1"/>
    <col min="7438" max="7438" width="11.7109375" style="59" bestFit="1" customWidth="1"/>
    <col min="7439" max="7439" width="9.42578125" style="59" customWidth="1"/>
    <col min="7440" max="7440" width="4.140625" style="59" customWidth="1"/>
    <col min="7441" max="7441" width="3.28515625" style="59" bestFit="1" customWidth="1"/>
    <col min="7442" max="7442" width="8.85546875" style="59" customWidth="1"/>
    <col min="7443" max="7443" width="10" style="59" bestFit="1" customWidth="1"/>
    <col min="7444" max="7445" width="9.42578125" style="59" customWidth="1"/>
    <col min="7446" max="7446" width="9.5703125" style="59" customWidth="1"/>
    <col min="7447" max="7447" width="9.85546875" style="59" customWidth="1"/>
    <col min="7448" max="7449" width="9.42578125" style="59" customWidth="1"/>
    <col min="7450" max="7450" width="9.85546875" style="59" customWidth="1"/>
    <col min="7451" max="7452" width="9.28515625" style="59" customWidth="1"/>
    <col min="7453" max="7453" width="9.85546875" style="59" customWidth="1"/>
    <col min="7454" max="7454" width="9.28515625" style="59" customWidth="1"/>
    <col min="7455" max="7455" width="10.42578125" style="59" customWidth="1"/>
    <col min="7456" max="7456" width="5.28515625" style="59" bestFit="1" customWidth="1"/>
    <col min="7457" max="7457" width="9.7109375" style="59" bestFit="1" customWidth="1"/>
    <col min="7458" max="7458" width="11" style="59" bestFit="1" customWidth="1"/>
    <col min="7459" max="7459" width="10.85546875" style="59" bestFit="1" customWidth="1"/>
    <col min="7460" max="7460" width="9.140625" style="59"/>
    <col min="7461" max="7461" width="3.85546875" style="59" bestFit="1" customWidth="1"/>
    <col min="7462" max="7462" width="7.28515625" style="59" bestFit="1" customWidth="1"/>
    <col min="7463" max="7465" width="9.140625" style="59"/>
    <col min="7466" max="7466" width="9.28515625" style="59" customWidth="1"/>
    <col min="7467" max="7467" width="9.28515625" style="59" bestFit="1" customWidth="1"/>
    <col min="7468" max="7680" width="9.140625" style="59"/>
    <col min="7681" max="7681" width="7.85546875" style="59" customWidth="1"/>
    <col min="7682" max="7682" width="12.140625" style="59" customWidth="1"/>
    <col min="7683" max="7683" width="6.28515625" style="59" customWidth="1"/>
    <col min="7684" max="7684" width="11.5703125" style="59" customWidth="1"/>
    <col min="7685" max="7685" width="7.85546875" style="59" customWidth="1"/>
    <col min="7686" max="7686" width="12.28515625" style="59" customWidth="1"/>
    <col min="7687" max="7687" width="5.28515625" style="59" customWidth="1"/>
    <col min="7688" max="7688" width="12.140625" style="59" bestFit="1" customWidth="1"/>
    <col min="7689" max="7689" width="5.7109375" style="59" customWidth="1"/>
    <col min="7690" max="7690" width="11.85546875" style="59" bestFit="1" customWidth="1"/>
    <col min="7691" max="7691" width="8" style="59" customWidth="1"/>
    <col min="7692" max="7692" width="12.5703125" style="59" customWidth="1"/>
    <col min="7693" max="7693" width="9" style="59" customWidth="1"/>
    <col min="7694" max="7694" width="11.7109375" style="59" bestFit="1" customWidth="1"/>
    <col min="7695" max="7695" width="9.42578125" style="59" customWidth="1"/>
    <col min="7696" max="7696" width="4.140625" style="59" customWidth="1"/>
    <col min="7697" max="7697" width="3.28515625" style="59" bestFit="1" customWidth="1"/>
    <col min="7698" max="7698" width="8.85546875" style="59" customWidth="1"/>
    <col min="7699" max="7699" width="10" style="59" bestFit="1" customWidth="1"/>
    <col min="7700" max="7701" width="9.42578125" style="59" customWidth="1"/>
    <col min="7702" max="7702" width="9.5703125" style="59" customWidth="1"/>
    <col min="7703" max="7703" width="9.85546875" style="59" customWidth="1"/>
    <col min="7704" max="7705" width="9.42578125" style="59" customWidth="1"/>
    <col min="7706" max="7706" width="9.85546875" style="59" customWidth="1"/>
    <col min="7707" max="7708" width="9.28515625" style="59" customWidth="1"/>
    <col min="7709" max="7709" width="9.85546875" style="59" customWidth="1"/>
    <col min="7710" max="7710" width="9.28515625" style="59" customWidth="1"/>
    <col min="7711" max="7711" width="10.42578125" style="59" customWidth="1"/>
    <col min="7712" max="7712" width="5.28515625" style="59" bestFit="1" customWidth="1"/>
    <col min="7713" max="7713" width="9.7109375" style="59" bestFit="1" customWidth="1"/>
    <col min="7714" max="7714" width="11" style="59" bestFit="1" customWidth="1"/>
    <col min="7715" max="7715" width="10.85546875" style="59" bestFit="1" customWidth="1"/>
    <col min="7716" max="7716" width="9.140625" style="59"/>
    <col min="7717" max="7717" width="3.85546875" style="59" bestFit="1" customWidth="1"/>
    <col min="7718" max="7718" width="7.28515625" style="59" bestFit="1" customWidth="1"/>
    <col min="7719" max="7721" width="9.140625" style="59"/>
    <col min="7722" max="7722" width="9.28515625" style="59" customWidth="1"/>
    <col min="7723" max="7723" width="9.28515625" style="59" bestFit="1" customWidth="1"/>
    <col min="7724" max="7936" width="9.140625" style="59"/>
    <col min="7937" max="7937" width="7.85546875" style="59" customWidth="1"/>
    <col min="7938" max="7938" width="12.140625" style="59" customWidth="1"/>
    <col min="7939" max="7939" width="6.28515625" style="59" customWidth="1"/>
    <col min="7940" max="7940" width="11.5703125" style="59" customWidth="1"/>
    <col min="7941" max="7941" width="7.85546875" style="59" customWidth="1"/>
    <col min="7942" max="7942" width="12.28515625" style="59" customWidth="1"/>
    <col min="7943" max="7943" width="5.28515625" style="59" customWidth="1"/>
    <col min="7944" max="7944" width="12.140625" style="59" bestFit="1" customWidth="1"/>
    <col min="7945" max="7945" width="5.7109375" style="59" customWidth="1"/>
    <col min="7946" max="7946" width="11.85546875" style="59" bestFit="1" customWidth="1"/>
    <col min="7947" max="7947" width="8" style="59" customWidth="1"/>
    <col min="7948" max="7948" width="12.5703125" style="59" customWidth="1"/>
    <col min="7949" max="7949" width="9" style="59" customWidth="1"/>
    <col min="7950" max="7950" width="11.7109375" style="59" bestFit="1" customWidth="1"/>
    <col min="7951" max="7951" width="9.42578125" style="59" customWidth="1"/>
    <col min="7952" max="7952" width="4.140625" style="59" customWidth="1"/>
    <col min="7953" max="7953" width="3.28515625" style="59" bestFit="1" customWidth="1"/>
    <col min="7954" max="7954" width="8.85546875" style="59" customWidth="1"/>
    <col min="7955" max="7955" width="10" style="59" bestFit="1" customWidth="1"/>
    <col min="7956" max="7957" width="9.42578125" style="59" customWidth="1"/>
    <col min="7958" max="7958" width="9.5703125" style="59" customWidth="1"/>
    <col min="7959" max="7959" width="9.85546875" style="59" customWidth="1"/>
    <col min="7960" max="7961" width="9.42578125" style="59" customWidth="1"/>
    <col min="7962" max="7962" width="9.85546875" style="59" customWidth="1"/>
    <col min="7963" max="7964" width="9.28515625" style="59" customWidth="1"/>
    <col min="7965" max="7965" width="9.85546875" style="59" customWidth="1"/>
    <col min="7966" max="7966" width="9.28515625" style="59" customWidth="1"/>
    <col min="7967" max="7967" width="10.42578125" style="59" customWidth="1"/>
    <col min="7968" max="7968" width="5.28515625" style="59" bestFit="1" customWidth="1"/>
    <col min="7969" max="7969" width="9.7109375" style="59" bestFit="1" customWidth="1"/>
    <col min="7970" max="7970" width="11" style="59" bestFit="1" customWidth="1"/>
    <col min="7971" max="7971" width="10.85546875" style="59" bestFit="1" customWidth="1"/>
    <col min="7972" max="7972" width="9.140625" style="59"/>
    <col min="7973" max="7973" width="3.85546875" style="59" bestFit="1" customWidth="1"/>
    <col min="7974" max="7974" width="7.28515625" style="59" bestFit="1" customWidth="1"/>
    <col min="7975" max="7977" width="9.140625" style="59"/>
    <col min="7978" max="7978" width="9.28515625" style="59" customWidth="1"/>
    <col min="7979" max="7979" width="9.28515625" style="59" bestFit="1" customWidth="1"/>
    <col min="7980" max="8192" width="9.140625" style="59"/>
    <col min="8193" max="8193" width="7.85546875" style="59" customWidth="1"/>
    <col min="8194" max="8194" width="12.140625" style="59" customWidth="1"/>
    <col min="8195" max="8195" width="6.28515625" style="59" customWidth="1"/>
    <col min="8196" max="8196" width="11.5703125" style="59" customWidth="1"/>
    <col min="8197" max="8197" width="7.85546875" style="59" customWidth="1"/>
    <col min="8198" max="8198" width="12.28515625" style="59" customWidth="1"/>
    <col min="8199" max="8199" width="5.28515625" style="59" customWidth="1"/>
    <col min="8200" max="8200" width="12.140625" style="59" bestFit="1" customWidth="1"/>
    <col min="8201" max="8201" width="5.7109375" style="59" customWidth="1"/>
    <col min="8202" max="8202" width="11.85546875" style="59" bestFit="1" customWidth="1"/>
    <col min="8203" max="8203" width="8" style="59" customWidth="1"/>
    <col min="8204" max="8204" width="12.5703125" style="59" customWidth="1"/>
    <col min="8205" max="8205" width="9" style="59" customWidth="1"/>
    <col min="8206" max="8206" width="11.7109375" style="59" bestFit="1" customWidth="1"/>
    <col min="8207" max="8207" width="9.42578125" style="59" customWidth="1"/>
    <col min="8208" max="8208" width="4.140625" style="59" customWidth="1"/>
    <col min="8209" max="8209" width="3.28515625" style="59" bestFit="1" customWidth="1"/>
    <col min="8210" max="8210" width="8.85546875" style="59" customWidth="1"/>
    <col min="8211" max="8211" width="10" style="59" bestFit="1" customWidth="1"/>
    <col min="8212" max="8213" width="9.42578125" style="59" customWidth="1"/>
    <col min="8214" max="8214" width="9.5703125" style="59" customWidth="1"/>
    <col min="8215" max="8215" width="9.85546875" style="59" customWidth="1"/>
    <col min="8216" max="8217" width="9.42578125" style="59" customWidth="1"/>
    <col min="8218" max="8218" width="9.85546875" style="59" customWidth="1"/>
    <col min="8219" max="8220" width="9.28515625" style="59" customWidth="1"/>
    <col min="8221" max="8221" width="9.85546875" style="59" customWidth="1"/>
    <col min="8222" max="8222" width="9.28515625" style="59" customWidth="1"/>
    <col min="8223" max="8223" width="10.42578125" style="59" customWidth="1"/>
    <col min="8224" max="8224" width="5.28515625" style="59" bestFit="1" customWidth="1"/>
    <col min="8225" max="8225" width="9.7109375" style="59" bestFit="1" customWidth="1"/>
    <col min="8226" max="8226" width="11" style="59" bestFit="1" customWidth="1"/>
    <col min="8227" max="8227" width="10.85546875" style="59" bestFit="1" customWidth="1"/>
    <col min="8228" max="8228" width="9.140625" style="59"/>
    <col min="8229" max="8229" width="3.85546875" style="59" bestFit="1" customWidth="1"/>
    <col min="8230" max="8230" width="7.28515625" style="59" bestFit="1" customWidth="1"/>
    <col min="8231" max="8233" width="9.140625" style="59"/>
    <col min="8234" max="8234" width="9.28515625" style="59" customWidth="1"/>
    <col min="8235" max="8235" width="9.28515625" style="59" bestFit="1" customWidth="1"/>
    <col min="8236" max="8448" width="9.140625" style="59"/>
    <col min="8449" max="8449" width="7.85546875" style="59" customWidth="1"/>
    <col min="8450" max="8450" width="12.140625" style="59" customWidth="1"/>
    <col min="8451" max="8451" width="6.28515625" style="59" customWidth="1"/>
    <col min="8452" max="8452" width="11.5703125" style="59" customWidth="1"/>
    <col min="8453" max="8453" width="7.85546875" style="59" customWidth="1"/>
    <col min="8454" max="8454" width="12.28515625" style="59" customWidth="1"/>
    <col min="8455" max="8455" width="5.28515625" style="59" customWidth="1"/>
    <col min="8456" max="8456" width="12.140625" style="59" bestFit="1" customWidth="1"/>
    <col min="8457" max="8457" width="5.7109375" style="59" customWidth="1"/>
    <col min="8458" max="8458" width="11.85546875" style="59" bestFit="1" customWidth="1"/>
    <col min="8459" max="8459" width="8" style="59" customWidth="1"/>
    <col min="8460" max="8460" width="12.5703125" style="59" customWidth="1"/>
    <col min="8461" max="8461" width="9" style="59" customWidth="1"/>
    <col min="8462" max="8462" width="11.7109375" style="59" bestFit="1" customWidth="1"/>
    <col min="8463" max="8463" width="9.42578125" style="59" customWidth="1"/>
    <col min="8464" max="8464" width="4.140625" style="59" customWidth="1"/>
    <col min="8465" max="8465" width="3.28515625" style="59" bestFit="1" customWidth="1"/>
    <col min="8466" max="8466" width="8.85546875" style="59" customWidth="1"/>
    <col min="8467" max="8467" width="10" style="59" bestFit="1" customWidth="1"/>
    <col min="8468" max="8469" width="9.42578125" style="59" customWidth="1"/>
    <col min="8470" max="8470" width="9.5703125" style="59" customWidth="1"/>
    <col min="8471" max="8471" width="9.85546875" style="59" customWidth="1"/>
    <col min="8472" max="8473" width="9.42578125" style="59" customWidth="1"/>
    <col min="8474" max="8474" width="9.85546875" style="59" customWidth="1"/>
    <col min="8475" max="8476" width="9.28515625" style="59" customWidth="1"/>
    <col min="8477" max="8477" width="9.85546875" style="59" customWidth="1"/>
    <col min="8478" max="8478" width="9.28515625" style="59" customWidth="1"/>
    <col min="8479" max="8479" width="10.42578125" style="59" customWidth="1"/>
    <col min="8480" max="8480" width="5.28515625" style="59" bestFit="1" customWidth="1"/>
    <col min="8481" max="8481" width="9.7109375" style="59" bestFit="1" customWidth="1"/>
    <col min="8482" max="8482" width="11" style="59" bestFit="1" customWidth="1"/>
    <col min="8483" max="8483" width="10.85546875" style="59" bestFit="1" customWidth="1"/>
    <col min="8484" max="8484" width="9.140625" style="59"/>
    <col min="8485" max="8485" width="3.85546875" style="59" bestFit="1" customWidth="1"/>
    <col min="8486" max="8486" width="7.28515625" style="59" bestFit="1" customWidth="1"/>
    <col min="8487" max="8489" width="9.140625" style="59"/>
    <col min="8490" max="8490" width="9.28515625" style="59" customWidth="1"/>
    <col min="8491" max="8491" width="9.28515625" style="59" bestFit="1" customWidth="1"/>
    <col min="8492" max="8704" width="9.140625" style="59"/>
    <col min="8705" max="8705" width="7.85546875" style="59" customWidth="1"/>
    <col min="8706" max="8706" width="12.140625" style="59" customWidth="1"/>
    <col min="8707" max="8707" width="6.28515625" style="59" customWidth="1"/>
    <col min="8708" max="8708" width="11.5703125" style="59" customWidth="1"/>
    <col min="8709" max="8709" width="7.85546875" style="59" customWidth="1"/>
    <col min="8710" max="8710" width="12.28515625" style="59" customWidth="1"/>
    <col min="8711" max="8711" width="5.28515625" style="59" customWidth="1"/>
    <col min="8712" max="8712" width="12.140625" style="59" bestFit="1" customWidth="1"/>
    <col min="8713" max="8713" width="5.7109375" style="59" customWidth="1"/>
    <col min="8714" max="8714" width="11.85546875" style="59" bestFit="1" customWidth="1"/>
    <col min="8715" max="8715" width="8" style="59" customWidth="1"/>
    <col min="8716" max="8716" width="12.5703125" style="59" customWidth="1"/>
    <col min="8717" max="8717" width="9" style="59" customWidth="1"/>
    <col min="8718" max="8718" width="11.7109375" style="59" bestFit="1" customWidth="1"/>
    <col min="8719" max="8719" width="9.42578125" style="59" customWidth="1"/>
    <col min="8720" max="8720" width="4.140625" style="59" customWidth="1"/>
    <col min="8721" max="8721" width="3.28515625" style="59" bestFit="1" customWidth="1"/>
    <col min="8722" max="8722" width="8.85546875" style="59" customWidth="1"/>
    <col min="8723" max="8723" width="10" style="59" bestFit="1" customWidth="1"/>
    <col min="8724" max="8725" width="9.42578125" style="59" customWidth="1"/>
    <col min="8726" max="8726" width="9.5703125" style="59" customWidth="1"/>
    <col min="8727" max="8727" width="9.85546875" style="59" customWidth="1"/>
    <col min="8728" max="8729" width="9.42578125" style="59" customWidth="1"/>
    <col min="8730" max="8730" width="9.85546875" style="59" customWidth="1"/>
    <col min="8731" max="8732" width="9.28515625" style="59" customWidth="1"/>
    <col min="8733" max="8733" width="9.85546875" style="59" customWidth="1"/>
    <col min="8734" max="8734" width="9.28515625" style="59" customWidth="1"/>
    <col min="8735" max="8735" width="10.42578125" style="59" customWidth="1"/>
    <col min="8736" max="8736" width="5.28515625" style="59" bestFit="1" customWidth="1"/>
    <col min="8737" max="8737" width="9.7109375" style="59" bestFit="1" customWidth="1"/>
    <col min="8738" max="8738" width="11" style="59" bestFit="1" customWidth="1"/>
    <col min="8739" max="8739" width="10.85546875" style="59" bestFit="1" customWidth="1"/>
    <col min="8740" max="8740" width="9.140625" style="59"/>
    <col min="8741" max="8741" width="3.85546875" style="59" bestFit="1" customWidth="1"/>
    <col min="8742" max="8742" width="7.28515625" style="59" bestFit="1" customWidth="1"/>
    <col min="8743" max="8745" width="9.140625" style="59"/>
    <col min="8746" max="8746" width="9.28515625" style="59" customWidth="1"/>
    <col min="8747" max="8747" width="9.28515625" style="59" bestFit="1" customWidth="1"/>
    <col min="8748" max="8960" width="9.140625" style="59"/>
    <col min="8961" max="8961" width="7.85546875" style="59" customWidth="1"/>
    <col min="8962" max="8962" width="12.140625" style="59" customWidth="1"/>
    <col min="8963" max="8963" width="6.28515625" style="59" customWidth="1"/>
    <col min="8964" max="8964" width="11.5703125" style="59" customWidth="1"/>
    <col min="8965" max="8965" width="7.85546875" style="59" customWidth="1"/>
    <col min="8966" max="8966" width="12.28515625" style="59" customWidth="1"/>
    <col min="8967" max="8967" width="5.28515625" style="59" customWidth="1"/>
    <col min="8968" max="8968" width="12.140625" style="59" bestFit="1" customWidth="1"/>
    <col min="8969" max="8969" width="5.7109375" style="59" customWidth="1"/>
    <col min="8970" max="8970" width="11.85546875" style="59" bestFit="1" customWidth="1"/>
    <col min="8971" max="8971" width="8" style="59" customWidth="1"/>
    <col min="8972" max="8972" width="12.5703125" style="59" customWidth="1"/>
    <col min="8973" max="8973" width="9" style="59" customWidth="1"/>
    <col min="8974" max="8974" width="11.7109375" style="59" bestFit="1" customWidth="1"/>
    <col min="8975" max="8975" width="9.42578125" style="59" customWidth="1"/>
    <col min="8976" max="8976" width="4.140625" style="59" customWidth="1"/>
    <col min="8977" max="8977" width="3.28515625" style="59" bestFit="1" customWidth="1"/>
    <col min="8978" max="8978" width="8.85546875" style="59" customWidth="1"/>
    <col min="8979" max="8979" width="10" style="59" bestFit="1" customWidth="1"/>
    <col min="8980" max="8981" width="9.42578125" style="59" customWidth="1"/>
    <col min="8982" max="8982" width="9.5703125" style="59" customWidth="1"/>
    <col min="8983" max="8983" width="9.85546875" style="59" customWidth="1"/>
    <col min="8984" max="8985" width="9.42578125" style="59" customWidth="1"/>
    <col min="8986" max="8986" width="9.85546875" style="59" customWidth="1"/>
    <col min="8987" max="8988" width="9.28515625" style="59" customWidth="1"/>
    <col min="8989" max="8989" width="9.85546875" style="59" customWidth="1"/>
    <col min="8990" max="8990" width="9.28515625" style="59" customWidth="1"/>
    <col min="8991" max="8991" width="10.42578125" style="59" customWidth="1"/>
    <col min="8992" max="8992" width="5.28515625" style="59" bestFit="1" customWidth="1"/>
    <col min="8993" max="8993" width="9.7109375" style="59" bestFit="1" customWidth="1"/>
    <col min="8994" max="8994" width="11" style="59" bestFit="1" customWidth="1"/>
    <col min="8995" max="8995" width="10.85546875" style="59" bestFit="1" customWidth="1"/>
    <col min="8996" max="8996" width="9.140625" style="59"/>
    <col min="8997" max="8997" width="3.85546875" style="59" bestFit="1" customWidth="1"/>
    <col min="8998" max="8998" width="7.28515625" style="59" bestFit="1" customWidth="1"/>
    <col min="8999" max="9001" width="9.140625" style="59"/>
    <col min="9002" max="9002" width="9.28515625" style="59" customWidth="1"/>
    <col min="9003" max="9003" width="9.28515625" style="59" bestFit="1" customWidth="1"/>
    <col min="9004" max="9216" width="9.140625" style="59"/>
    <col min="9217" max="9217" width="7.85546875" style="59" customWidth="1"/>
    <col min="9218" max="9218" width="12.140625" style="59" customWidth="1"/>
    <col min="9219" max="9219" width="6.28515625" style="59" customWidth="1"/>
    <col min="9220" max="9220" width="11.5703125" style="59" customWidth="1"/>
    <col min="9221" max="9221" width="7.85546875" style="59" customWidth="1"/>
    <col min="9222" max="9222" width="12.28515625" style="59" customWidth="1"/>
    <col min="9223" max="9223" width="5.28515625" style="59" customWidth="1"/>
    <col min="9224" max="9224" width="12.140625" style="59" bestFit="1" customWidth="1"/>
    <col min="9225" max="9225" width="5.7109375" style="59" customWidth="1"/>
    <col min="9226" max="9226" width="11.85546875" style="59" bestFit="1" customWidth="1"/>
    <col min="9227" max="9227" width="8" style="59" customWidth="1"/>
    <col min="9228" max="9228" width="12.5703125" style="59" customWidth="1"/>
    <col min="9229" max="9229" width="9" style="59" customWidth="1"/>
    <col min="9230" max="9230" width="11.7109375" style="59" bestFit="1" customWidth="1"/>
    <col min="9231" max="9231" width="9.42578125" style="59" customWidth="1"/>
    <col min="9232" max="9232" width="4.140625" style="59" customWidth="1"/>
    <col min="9233" max="9233" width="3.28515625" style="59" bestFit="1" customWidth="1"/>
    <col min="9234" max="9234" width="8.85546875" style="59" customWidth="1"/>
    <col min="9235" max="9235" width="10" style="59" bestFit="1" customWidth="1"/>
    <col min="9236" max="9237" width="9.42578125" style="59" customWidth="1"/>
    <col min="9238" max="9238" width="9.5703125" style="59" customWidth="1"/>
    <col min="9239" max="9239" width="9.85546875" style="59" customWidth="1"/>
    <col min="9240" max="9241" width="9.42578125" style="59" customWidth="1"/>
    <col min="9242" max="9242" width="9.85546875" style="59" customWidth="1"/>
    <col min="9243" max="9244" width="9.28515625" style="59" customWidth="1"/>
    <col min="9245" max="9245" width="9.85546875" style="59" customWidth="1"/>
    <col min="9246" max="9246" width="9.28515625" style="59" customWidth="1"/>
    <col min="9247" max="9247" width="10.42578125" style="59" customWidth="1"/>
    <col min="9248" max="9248" width="5.28515625" style="59" bestFit="1" customWidth="1"/>
    <col min="9249" max="9249" width="9.7109375" style="59" bestFit="1" customWidth="1"/>
    <col min="9250" max="9250" width="11" style="59" bestFit="1" customWidth="1"/>
    <col min="9251" max="9251" width="10.85546875" style="59" bestFit="1" customWidth="1"/>
    <col min="9252" max="9252" width="9.140625" style="59"/>
    <col min="9253" max="9253" width="3.85546875" style="59" bestFit="1" customWidth="1"/>
    <col min="9254" max="9254" width="7.28515625" style="59" bestFit="1" customWidth="1"/>
    <col min="9255" max="9257" width="9.140625" style="59"/>
    <col min="9258" max="9258" width="9.28515625" style="59" customWidth="1"/>
    <col min="9259" max="9259" width="9.28515625" style="59" bestFit="1" customWidth="1"/>
    <col min="9260" max="9472" width="9.140625" style="59"/>
    <col min="9473" max="9473" width="7.85546875" style="59" customWidth="1"/>
    <col min="9474" max="9474" width="12.140625" style="59" customWidth="1"/>
    <col min="9475" max="9475" width="6.28515625" style="59" customWidth="1"/>
    <col min="9476" max="9476" width="11.5703125" style="59" customWidth="1"/>
    <col min="9477" max="9477" width="7.85546875" style="59" customWidth="1"/>
    <col min="9478" max="9478" width="12.28515625" style="59" customWidth="1"/>
    <col min="9479" max="9479" width="5.28515625" style="59" customWidth="1"/>
    <col min="9480" max="9480" width="12.140625" style="59" bestFit="1" customWidth="1"/>
    <col min="9481" max="9481" width="5.7109375" style="59" customWidth="1"/>
    <col min="9482" max="9482" width="11.85546875" style="59" bestFit="1" customWidth="1"/>
    <col min="9483" max="9483" width="8" style="59" customWidth="1"/>
    <col min="9484" max="9484" width="12.5703125" style="59" customWidth="1"/>
    <col min="9485" max="9485" width="9" style="59" customWidth="1"/>
    <col min="9486" max="9486" width="11.7109375" style="59" bestFit="1" customWidth="1"/>
    <col min="9487" max="9487" width="9.42578125" style="59" customWidth="1"/>
    <col min="9488" max="9488" width="4.140625" style="59" customWidth="1"/>
    <col min="9489" max="9489" width="3.28515625" style="59" bestFit="1" customWidth="1"/>
    <col min="9490" max="9490" width="8.85546875" style="59" customWidth="1"/>
    <col min="9491" max="9491" width="10" style="59" bestFit="1" customWidth="1"/>
    <col min="9492" max="9493" width="9.42578125" style="59" customWidth="1"/>
    <col min="9494" max="9494" width="9.5703125" style="59" customWidth="1"/>
    <col min="9495" max="9495" width="9.85546875" style="59" customWidth="1"/>
    <col min="9496" max="9497" width="9.42578125" style="59" customWidth="1"/>
    <col min="9498" max="9498" width="9.85546875" style="59" customWidth="1"/>
    <col min="9499" max="9500" width="9.28515625" style="59" customWidth="1"/>
    <col min="9501" max="9501" width="9.85546875" style="59" customWidth="1"/>
    <col min="9502" max="9502" width="9.28515625" style="59" customWidth="1"/>
    <col min="9503" max="9503" width="10.42578125" style="59" customWidth="1"/>
    <col min="9504" max="9504" width="5.28515625" style="59" bestFit="1" customWidth="1"/>
    <col min="9505" max="9505" width="9.7109375" style="59" bestFit="1" customWidth="1"/>
    <col min="9506" max="9506" width="11" style="59" bestFit="1" customWidth="1"/>
    <col min="9507" max="9507" width="10.85546875" style="59" bestFit="1" customWidth="1"/>
    <col min="9508" max="9508" width="9.140625" style="59"/>
    <col min="9509" max="9509" width="3.85546875" style="59" bestFit="1" customWidth="1"/>
    <col min="9510" max="9510" width="7.28515625" style="59" bestFit="1" customWidth="1"/>
    <col min="9511" max="9513" width="9.140625" style="59"/>
    <col min="9514" max="9514" width="9.28515625" style="59" customWidth="1"/>
    <col min="9515" max="9515" width="9.28515625" style="59" bestFit="1" customWidth="1"/>
    <col min="9516" max="9728" width="9.140625" style="59"/>
    <col min="9729" max="9729" width="7.85546875" style="59" customWidth="1"/>
    <col min="9730" max="9730" width="12.140625" style="59" customWidth="1"/>
    <col min="9731" max="9731" width="6.28515625" style="59" customWidth="1"/>
    <col min="9732" max="9732" width="11.5703125" style="59" customWidth="1"/>
    <col min="9733" max="9733" width="7.85546875" style="59" customWidth="1"/>
    <col min="9734" max="9734" width="12.28515625" style="59" customWidth="1"/>
    <col min="9735" max="9735" width="5.28515625" style="59" customWidth="1"/>
    <col min="9736" max="9736" width="12.140625" style="59" bestFit="1" customWidth="1"/>
    <col min="9737" max="9737" width="5.7109375" style="59" customWidth="1"/>
    <col min="9738" max="9738" width="11.85546875" style="59" bestFit="1" customWidth="1"/>
    <col min="9739" max="9739" width="8" style="59" customWidth="1"/>
    <col min="9740" max="9740" width="12.5703125" style="59" customWidth="1"/>
    <col min="9741" max="9741" width="9" style="59" customWidth="1"/>
    <col min="9742" max="9742" width="11.7109375" style="59" bestFit="1" customWidth="1"/>
    <col min="9743" max="9743" width="9.42578125" style="59" customWidth="1"/>
    <col min="9744" max="9744" width="4.140625" style="59" customWidth="1"/>
    <col min="9745" max="9745" width="3.28515625" style="59" bestFit="1" customWidth="1"/>
    <col min="9746" max="9746" width="8.85546875" style="59" customWidth="1"/>
    <col min="9747" max="9747" width="10" style="59" bestFit="1" customWidth="1"/>
    <col min="9748" max="9749" width="9.42578125" style="59" customWidth="1"/>
    <col min="9750" max="9750" width="9.5703125" style="59" customWidth="1"/>
    <col min="9751" max="9751" width="9.85546875" style="59" customWidth="1"/>
    <col min="9752" max="9753" width="9.42578125" style="59" customWidth="1"/>
    <col min="9754" max="9754" width="9.85546875" style="59" customWidth="1"/>
    <col min="9755" max="9756" width="9.28515625" style="59" customWidth="1"/>
    <col min="9757" max="9757" width="9.85546875" style="59" customWidth="1"/>
    <col min="9758" max="9758" width="9.28515625" style="59" customWidth="1"/>
    <col min="9759" max="9759" width="10.42578125" style="59" customWidth="1"/>
    <col min="9760" max="9760" width="5.28515625" style="59" bestFit="1" customWidth="1"/>
    <col min="9761" max="9761" width="9.7109375" style="59" bestFit="1" customWidth="1"/>
    <col min="9762" max="9762" width="11" style="59" bestFit="1" customWidth="1"/>
    <col min="9763" max="9763" width="10.85546875" style="59" bestFit="1" customWidth="1"/>
    <col min="9764" max="9764" width="9.140625" style="59"/>
    <col min="9765" max="9765" width="3.85546875" style="59" bestFit="1" customWidth="1"/>
    <col min="9766" max="9766" width="7.28515625" style="59" bestFit="1" customWidth="1"/>
    <col min="9767" max="9769" width="9.140625" style="59"/>
    <col min="9770" max="9770" width="9.28515625" style="59" customWidth="1"/>
    <col min="9771" max="9771" width="9.28515625" style="59" bestFit="1" customWidth="1"/>
    <col min="9772" max="9984" width="9.140625" style="59"/>
    <col min="9985" max="9985" width="7.85546875" style="59" customWidth="1"/>
    <col min="9986" max="9986" width="12.140625" style="59" customWidth="1"/>
    <col min="9987" max="9987" width="6.28515625" style="59" customWidth="1"/>
    <col min="9988" max="9988" width="11.5703125" style="59" customWidth="1"/>
    <col min="9989" max="9989" width="7.85546875" style="59" customWidth="1"/>
    <col min="9990" max="9990" width="12.28515625" style="59" customWidth="1"/>
    <col min="9991" max="9991" width="5.28515625" style="59" customWidth="1"/>
    <col min="9992" max="9992" width="12.140625" style="59" bestFit="1" customWidth="1"/>
    <col min="9993" max="9993" width="5.7109375" style="59" customWidth="1"/>
    <col min="9994" max="9994" width="11.85546875" style="59" bestFit="1" customWidth="1"/>
    <col min="9995" max="9995" width="8" style="59" customWidth="1"/>
    <col min="9996" max="9996" width="12.5703125" style="59" customWidth="1"/>
    <col min="9997" max="9997" width="9" style="59" customWidth="1"/>
    <col min="9998" max="9998" width="11.7109375" style="59" bestFit="1" customWidth="1"/>
    <col min="9999" max="9999" width="9.42578125" style="59" customWidth="1"/>
    <col min="10000" max="10000" width="4.140625" style="59" customWidth="1"/>
    <col min="10001" max="10001" width="3.28515625" style="59" bestFit="1" customWidth="1"/>
    <col min="10002" max="10002" width="8.85546875" style="59" customWidth="1"/>
    <col min="10003" max="10003" width="10" style="59" bestFit="1" customWidth="1"/>
    <col min="10004" max="10005" width="9.42578125" style="59" customWidth="1"/>
    <col min="10006" max="10006" width="9.5703125" style="59" customWidth="1"/>
    <col min="10007" max="10007" width="9.85546875" style="59" customWidth="1"/>
    <col min="10008" max="10009" width="9.42578125" style="59" customWidth="1"/>
    <col min="10010" max="10010" width="9.85546875" style="59" customWidth="1"/>
    <col min="10011" max="10012" width="9.28515625" style="59" customWidth="1"/>
    <col min="10013" max="10013" width="9.85546875" style="59" customWidth="1"/>
    <col min="10014" max="10014" width="9.28515625" style="59" customWidth="1"/>
    <col min="10015" max="10015" width="10.42578125" style="59" customWidth="1"/>
    <col min="10016" max="10016" width="5.28515625" style="59" bestFit="1" customWidth="1"/>
    <col min="10017" max="10017" width="9.7109375" style="59" bestFit="1" customWidth="1"/>
    <col min="10018" max="10018" width="11" style="59" bestFit="1" customWidth="1"/>
    <col min="10019" max="10019" width="10.85546875" style="59" bestFit="1" customWidth="1"/>
    <col min="10020" max="10020" width="9.140625" style="59"/>
    <col min="10021" max="10021" width="3.85546875" style="59" bestFit="1" customWidth="1"/>
    <col min="10022" max="10022" width="7.28515625" style="59" bestFit="1" customWidth="1"/>
    <col min="10023" max="10025" width="9.140625" style="59"/>
    <col min="10026" max="10026" width="9.28515625" style="59" customWidth="1"/>
    <col min="10027" max="10027" width="9.28515625" style="59" bestFit="1" customWidth="1"/>
    <col min="10028" max="10240" width="9.140625" style="59"/>
    <col min="10241" max="10241" width="7.85546875" style="59" customWidth="1"/>
    <col min="10242" max="10242" width="12.140625" style="59" customWidth="1"/>
    <col min="10243" max="10243" width="6.28515625" style="59" customWidth="1"/>
    <col min="10244" max="10244" width="11.5703125" style="59" customWidth="1"/>
    <col min="10245" max="10245" width="7.85546875" style="59" customWidth="1"/>
    <col min="10246" max="10246" width="12.28515625" style="59" customWidth="1"/>
    <col min="10247" max="10247" width="5.28515625" style="59" customWidth="1"/>
    <col min="10248" max="10248" width="12.140625" style="59" bestFit="1" customWidth="1"/>
    <col min="10249" max="10249" width="5.7109375" style="59" customWidth="1"/>
    <col min="10250" max="10250" width="11.85546875" style="59" bestFit="1" customWidth="1"/>
    <col min="10251" max="10251" width="8" style="59" customWidth="1"/>
    <col min="10252" max="10252" width="12.5703125" style="59" customWidth="1"/>
    <col min="10253" max="10253" width="9" style="59" customWidth="1"/>
    <col min="10254" max="10254" width="11.7109375" style="59" bestFit="1" customWidth="1"/>
    <col min="10255" max="10255" width="9.42578125" style="59" customWidth="1"/>
    <col min="10256" max="10256" width="4.140625" style="59" customWidth="1"/>
    <col min="10257" max="10257" width="3.28515625" style="59" bestFit="1" customWidth="1"/>
    <col min="10258" max="10258" width="8.85546875" style="59" customWidth="1"/>
    <col min="10259" max="10259" width="10" style="59" bestFit="1" customWidth="1"/>
    <col min="10260" max="10261" width="9.42578125" style="59" customWidth="1"/>
    <col min="10262" max="10262" width="9.5703125" style="59" customWidth="1"/>
    <col min="10263" max="10263" width="9.85546875" style="59" customWidth="1"/>
    <col min="10264" max="10265" width="9.42578125" style="59" customWidth="1"/>
    <col min="10266" max="10266" width="9.85546875" style="59" customWidth="1"/>
    <col min="10267" max="10268" width="9.28515625" style="59" customWidth="1"/>
    <col min="10269" max="10269" width="9.85546875" style="59" customWidth="1"/>
    <col min="10270" max="10270" width="9.28515625" style="59" customWidth="1"/>
    <col min="10271" max="10271" width="10.42578125" style="59" customWidth="1"/>
    <col min="10272" max="10272" width="5.28515625" style="59" bestFit="1" customWidth="1"/>
    <col min="10273" max="10273" width="9.7109375" style="59" bestFit="1" customWidth="1"/>
    <col min="10274" max="10274" width="11" style="59" bestFit="1" customWidth="1"/>
    <col min="10275" max="10275" width="10.85546875" style="59" bestFit="1" customWidth="1"/>
    <col min="10276" max="10276" width="9.140625" style="59"/>
    <col min="10277" max="10277" width="3.85546875" style="59" bestFit="1" customWidth="1"/>
    <col min="10278" max="10278" width="7.28515625" style="59" bestFit="1" customWidth="1"/>
    <col min="10279" max="10281" width="9.140625" style="59"/>
    <col min="10282" max="10282" width="9.28515625" style="59" customWidth="1"/>
    <col min="10283" max="10283" width="9.28515625" style="59" bestFit="1" customWidth="1"/>
    <col min="10284" max="10496" width="9.140625" style="59"/>
    <col min="10497" max="10497" width="7.85546875" style="59" customWidth="1"/>
    <col min="10498" max="10498" width="12.140625" style="59" customWidth="1"/>
    <col min="10499" max="10499" width="6.28515625" style="59" customWidth="1"/>
    <col min="10500" max="10500" width="11.5703125" style="59" customWidth="1"/>
    <col min="10501" max="10501" width="7.85546875" style="59" customWidth="1"/>
    <col min="10502" max="10502" width="12.28515625" style="59" customWidth="1"/>
    <col min="10503" max="10503" width="5.28515625" style="59" customWidth="1"/>
    <col min="10504" max="10504" width="12.140625" style="59" bestFit="1" customWidth="1"/>
    <col min="10505" max="10505" width="5.7109375" style="59" customWidth="1"/>
    <col min="10506" max="10506" width="11.85546875" style="59" bestFit="1" customWidth="1"/>
    <col min="10507" max="10507" width="8" style="59" customWidth="1"/>
    <col min="10508" max="10508" width="12.5703125" style="59" customWidth="1"/>
    <col min="10509" max="10509" width="9" style="59" customWidth="1"/>
    <col min="10510" max="10510" width="11.7109375" style="59" bestFit="1" customWidth="1"/>
    <col min="10511" max="10511" width="9.42578125" style="59" customWidth="1"/>
    <col min="10512" max="10512" width="4.140625" style="59" customWidth="1"/>
    <col min="10513" max="10513" width="3.28515625" style="59" bestFit="1" customWidth="1"/>
    <col min="10514" max="10514" width="8.85546875" style="59" customWidth="1"/>
    <col min="10515" max="10515" width="10" style="59" bestFit="1" customWidth="1"/>
    <col min="10516" max="10517" width="9.42578125" style="59" customWidth="1"/>
    <col min="10518" max="10518" width="9.5703125" style="59" customWidth="1"/>
    <col min="10519" max="10519" width="9.85546875" style="59" customWidth="1"/>
    <col min="10520" max="10521" width="9.42578125" style="59" customWidth="1"/>
    <col min="10522" max="10522" width="9.85546875" style="59" customWidth="1"/>
    <col min="10523" max="10524" width="9.28515625" style="59" customWidth="1"/>
    <col min="10525" max="10525" width="9.85546875" style="59" customWidth="1"/>
    <col min="10526" max="10526" width="9.28515625" style="59" customWidth="1"/>
    <col min="10527" max="10527" width="10.42578125" style="59" customWidth="1"/>
    <col min="10528" max="10528" width="5.28515625" style="59" bestFit="1" customWidth="1"/>
    <col min="10529" max="10529" width="9.7109375" style="59" bestFit="1" customWidth="1"/>
    <col min="10530" max="10530" width="11" style="59" bestFit="1" customWidth="1"/>
    <col min="10531" max="10531" width="10.85546875" style="59" bestFit="1" customWidth="1"/>
    <col min="10532" max="10532" width="9.140625" style="59"/>
    <col min="10533" max="10533" width="3.85546875" style="59" bestFit="1" customWidth="1"/>
    <col min="10534" max="10534" width="7.28515625" style="59" bestFit="1" customWidth="1"/>
    <col min="10535" max="10537" width="9.140625" style="59"/>
    <col min="10538" max="10538" width="9.28515625" style="59" customWidth="1"/>
    <col min="10539" max="10539" width="9.28515625" style="59" bestFit="1" customWidth="1"/>
    <col min="10540" max="10752" width="9.140625" style="59"/>
    <col min="10753" max="10753" width="7.85546875" style="59" customWidth="1"/>
    <col min="10754" max="10754" width="12.140625" style="59" customWidth="1"/>
    <col min="10755" max="10755" width="6.28515625" style="59" customWidth="1"/>
    <col min="10756" max="10756" width="11.5703125" style="59" customWidth="1"/>
    <col min="10757" max="10757" width="7.85546875" style="59" customWidth="1"/>
    <col min="10758" max="10758" width="12.28515625" style="59" customWidth="1"/>
    <col min="10759" max="10759" width="5.28515625" style="59" customWidth="1"/>
    <col min="10760" max="10760" width="12.140625" style="59" bestFit="1" customWidth="1"/>
    <col min="10761" max="10761" width="5.7109375" style="59" customWidth="1"/>
    <col min="10762" max="10762" width="11.85546875" style="59" bestFit="1" customWidth="1"/>
    <col min="10763" max="10763" width="8" style="59" customWidth="1"/>
    <col min="10764" max="10764" width="12.5703125" style="59" customWidth="1"/>
    <col min="10765" max="10765" width="9" style="59" customWidth="1"/>
    <col min="10766" max="10766" width="11.7109375" style="59" bestFit="1" customWidth="1"/>
    <col min="10767" max="10767" width="9.42578125" style="59" customWidth="1"/>
    <col min="10768" max="10768" width="4.140625" style="59" customWidth="1"/>
    <col min="10769" max="10769" width="3.28515625" style="59" bestFit="1" customWidth="1"/>
    <col min="10770" max="10770" width="8.85546875" style="59" customWidth="1"/>
    <col min="10771" max="10771" width="10" style="59" bestFit="1" customWidth="1"/>
    <col min="10772" max="10773" width="9.42578125" style="59" customWidth="1"/>
    <col min="10774" max="10774" width="9.5703125" style="59" customWidth="1"/>
    <col min="10775" max="10775" width="9.85546875" style="59" customWidth="1"/>
    <col min="10776" max="10777" width="9.42578125" style="59" customWidth="1"/>
    <col min="10778" max="10778" width="9.85546875" style="59" customWidth="1"/>
    <col min="10779" max="10780" width="9.28515625" style="59" customWidth="1"/>
    <col min="10781" max="10781" width="9.85546875" style="59" customWidth="1"/>
    <col min="10782" max="10782" width="9.28515625" style="59" customWidth="1"/>
    <col min="10783" max="10783" width="10.42578125" style="59" customWidth="1"/>
    <col min="10784" max="10784" width="5.28515625" style="59" bestFit="1" customWidth="1"/>
    <col min="10785" max="10785" width="9.7109375" style="59" bestFit="1" customWidth="1"/>
    <col min="10786" max="10786" width="11" style="59" bestFit="1" customWidth="1"/>
    <col min="10787" max="10787" width="10.85546875" style="59" bestFit="1" customWidth="1"/>
    <col min="10788" max="10788" width="9.140625" style="59"/>
    <col min="10789" max="10789" width="3.85546875" style="59" bestFit="1" customWidth="1"/>
    <col min="10790" max="10790" width="7.28515625" style="59" bestFit="1" customWidth="1"/>
    <col min="10791" max="10793" width="9.140625" style="59"/>
    <col min="10794" max="10794" width="9.28515625" style="59" customWidth="1"/>
    <col min="10795" max="10795" width="9.28515625" style="59" bestFit="1" customWidth="1"/>
    <col min="10796" max="11008" width="9.140625" style="59"/>
    <col min="11009" max="11009" width="7.85546875" style="59" customWidth="1"/>
    <col min="11010" max="11010" width="12.140625" style="59" customWidth="1"/>
    <col min="11011" max="11011" width="6.28515625" style="59" customWidth="1"/>
    <col min="11012" max="11012" width="11.5703125" style="59" customWidth="1"/>
    <col min="11013" max="11013" width="7.85546875" style="59" customWidth="1"/>
    <col min="11014" max="11014" width="12.28515625" style="59" customWidth="1"/>
    <col min="11015" max="11015" width="5.28515625" style="59" customWidth="1"/>
    <col min="11016" max="11016" width="12.140625" style="59" bestFit="1" customWidth="1"/>
    <col min="11017" max="11017" width="5.7109375" style="59" customWidth="1"/>
    <col min="11018" max="11018" width="11.85546875" style="59" bestFit="1" customWidth="1"/>
    <col min="11019" max="11019" width="8" style="59" customWidth="1"/>
    <col min="11020" max="11020" width="12.5703125" style="59" customWidth="1"/>
    <col min="11021" max="11021" width="9" style="59" customWidth="1"/>
    <col min="11022" max="11022" width="11.7109375" style="59" bestFit="1" customWidth="1"/>
    <col min="11023" max="11023" width="9.42578125" style="59" customWidth="1"/>
    <col min="11024" max="11024" width="4.140625" style="59" customWidth="1"/>
    <col min="11025" max="11025" width="3.28515625" style="59" bestFit="1" customWidth="1"/>
    <col min="11026" max="11026" width="8.85546875" style="59" customWidth="1"/>
    <col min="11027" max="11027" width="10" style="59" bestFit="1" customWidth="1"/>
    <col min="11028" max="11029" width="9.42578125" style="59" customWidth="1"/>
    <col min="11030" max="11030" width="9.5703125" style="59" customWidth="1"/>
    <col min="11031" max="11031" width="9.85546875" style="59" customWidth="1"/>
    <col min="11032" max="11033" width="9.42578125" style="59" customWidth="1"/>
    <col min="11034" max="11034" width="9.85546875" style="59" customWidth="1"/>
    <col min="11035" max="11036" width="9.28515625" style="59" customWidth="1"/>
    <col min="11037" max="11037" width="9.85546875" style="59" customWidth="1"/>
    <col min="11038" max="11038" width="9.28515625" style="59" customWidth="1"/>
    <col min="11039" max="11039" width="10.42578125" style="59" customWidth="1"/>
    <col min="11040" max="11040" width="5.28515625" style="59" bestFit="1" customWidth="1"/>
    <col min="11041" max="11041" width="9.7109375" style="59" bestFit="1" customWidth="1"/>
    <col min="11042" max="11042" width="11" style="59" bestFit="1" customWidth="1"/>
    <col min="11043" max="11043" width="10.85546875" style="59" bestFit="1" customWidth="1"/>
    <col min="11044" max="11044" width="9.140625" style="59"/>
    <col min="11045" max="11045" width="3.85546875" style="59" bestFit="1" customWidth="1"/>
    <col min="11046" max="11046" width="7.28515625" style="59" bestFit="1" customWidth="1"/>
    <col min="11047" max="11049" width="9.140625" style="59"/>
    <col min="11050" max="11050" width="9.28515625" style="59" customWidth="1"/>
    <col min="11051" max="11051" width="9.28515625" style="59" bestFit="1" customWidth="1"/>
    <col min="11052" max="11264" width="9.140625" style="59"/>
    <col min="11265" max="11265" width="7.85546875" style="59" customWidth="1"/>
    <col min="11266" max="11266" width="12.140625" style="59" customWidth="1"/>
    <col min="11267" max="11267" width="6.28515625" style="59" customWidth="1"/>
    <col min="11268" max="11268" width="11.5703125" style="59" customWidth="1"/>
    <col min="11269" max="11269" width="7.85546875" style="59" customWidth="1"/>
    <col min="11270" max="11270" width="12.28515625" style="59" customWidth="1"/>
    <col min="11271" max="11271" width="5.28515625" style="59" customWidth="1"/>
    <col min="11272" max="11272" width="12.140625" style="59" bestFit="1" customWidth="1"/>
    <col min="11273" max="11273" width="5.7109375" style="59" customWidth="1"/>
    <col min="11274" max="11274" width="11.85546875" style="59" bestFit="1" customWidth="1"/>
    <col min="11275" max="11275" width="8" style="59" customWidth="1"/>
    <col min="11276" max="11276" width="12.5703125" style="59" customWidth="1"/>
    <col min="11277" max="11277" width="9" style="59" customWidth="1"/>
    <col min="11278" max="11278" width="11.7109375" style="59" bestFit="1" customWidth="1"/>
    <col min="11279" max="11279" width="9.42578125" style="59" customWidth="1"/>
    <col min="11280" max="11280" width="4.140625" style="59" customWidth="1"/>
    <col min="11281" max="11281" width="3.28515625" style="59" bestFit="1" customWidth="1"/>
    <col min="11282" max="11282" width="8.85546875" style="59" customWidth="1"/>
    <col min="11283" max="11283" width="10" style="59" bestFit="1" customWidth="1"/>
    <col min="11284" max="11285" width="9.42578125" style="59" customWidth="1"/>
    <col min="11286" max="11286" width="9.5703125" style="59" customWidth="1"/>
    <col min="11287" max="11287" width="9.85546875" style="59" customWidth="1"/>
    <col min="11288" max="11289" width="9.42578125" style="59" customWidth="1"/>
    <col min="11290" max="11290" width="9.85546875" style="59" customWidth="1"/>
    <col min="11291" max="11292" width="9.28515625" style="59" customWidth="1"/>
    <col min="11293" max="11293" width="9.85546875" style="59" customWidth="1"/>
    <col min="11294" max="11294" width="9.28515625" style="59" customWidth="1"/>
    <col min="11295" max="11295" width="10.42578125" style="59" customWidth="1"/>
    <col min="11296" max="11296" width="5.28515625" style="59" bestFit="1" customWidth="1"/>
    <col min="11297" max="11297" width="9.7109375" style="59" bestFit="1" customWidth="1"/>
    <col min="11298" max="11298" width="11" style="59" bestFit="1" customWidth="1"/>
    <col min="11299" max="11299" width="10.85546875" style="59" bestFit="1" customWidth="1"/>
    <col min="11300" max="11300" width="9.140625" style="59"/>
    <col min="11301" max="11301" width="3.85546875" style="59" bestFit="1" customWidth="1"/>
    <col min="11302" max="11302" width="7.28515625" style="59" bestFit="1" customWidth="1"/>
    <col min="11303" max="11305" width="9.140625" style="59"/>
    <col min="11306" max="11306" width="9.28515625" style="59" customWidth="1"/>
    <col min="11307" max="11307" width="9.28515625" style="59" bestFit="1" customWidth="1"/>
    <col min="11308" max="11520" width="9.140625" style="59"/>
    <col min="11521" max="11521" width="7.85546875" style="59" customWidth="1"/>
    <col min="11522" max="11522" width="12.140625" style="59" customWidth="1"/>
    <col min="11523" max="11523" width="6.28515625" style="59" customWidth="1"/>
    <col min="11524" max="11524" width="11.5703125" style="59" customWidth="1"/>
    <col min="11525" max="11525" width="7.85546875" style="59" customWidth="1"/>
    <col min="11526" max="11526" width="12.28515625" style="59" customWidth="1"/>
    <col min="11527" max="11527" width="5.28515625" style="59" customWidth="1"/>
    <col min="11528" max="11528" width="12.140625" style="59" bestFit="1" customWidth="1"/>
    <col min="11529" max="11529" width="5.7109375" style="59" customWidth="1"/>
    <col min="11530" max="11530" width="11.85546875" style="59" bestFit="1" customWidth="1"/>
    <col min="11531" max="11531" width="8" style="59" customWidth="1"/>
    <col min="11532" max="11532" width="12.5703125" style="59" customWidth="1"/>
    <col min="11533" max="11533" width="9" style="59" customWidth="1"/>
    <col min="11534" max="11534" width="11.7109375" style="59" bestFit="1" customWidth="1"/>
    <col min="11535" max="11535" width="9.42578125" style="59" customWidth="1"/>
    <col min="11536" max="11536" width="4.140625" style="59" customWidth="1"/>
    <col min="11537" max="11537" width="3.28515625" style="59" bestFit="1" customWidth="1"/>
    <col min="11538" max="11538" width="8.85546875" style="59" customWidth="1"/>
    <col min="11539" max="11539" width="10" style="59" bestFit="1" customWidth="1"/>
    <col min="11540" max="11541" width="9.42578125" style="59" customWidth="1"/>
    <col min="11542" max="11542" width="9.5703125" style="59" customWidth="1"/>
    <col min="11543" max="11543" width="9.85546875" style="59" customWidth="1"/>
    <col min="11544" max="11545" width="9.42578125" style="59" customWidth="1"/>
    <col min="11546" max="11546" width="9.85546875" style="59" customWidth="1"/>
    <col min="11547" max="11548" width="9.28515625" style="59" customWidth="1"/>
    <col min="11549" max="11549" width="9.85546875" style="59" customWidth="1"/>
    <col min="11550" max="11550" width="9.28515625" style="59" customWidth="1"/>
    <col min="11551" max="11551" width="10.42578125" style="59" customWidth="1"/>
    <col min="11552" max="11552" width="5.28515625" style="59" bestFit="1" customWidth="1"/>
    <col min="11553" max="11553" width="9.7109375" style="59" bestFit="1" customWidth="1"/>
    <col min="11554" max="11554" width="11" style="59" bestFit="1" customWidth="1"/>
    <col min="11555" max="11555" width="10.85546875" style="59" bestFit="1" customWidth="1"/>
    <col min="11556" max="11556" width="9.140625" style="59"/>
    <col min="11557" max="11557" width="3.85546875" style="59" bestFit="1" customWidth="1"/>
    <col min="11558" max="11558" width="7.28515625" style="59" bestFit="1" customWidth="1"/>
    <col min="11559" max="11561" width="9.140625" style="59"/>
    <col min="11562" max="11562" width="9.28515625" style="59" customWidth="1"/>
    <col min="11563" max="11563" width="9.28515625" style="59" bestFit="1" customWidth="1"/>
    <col min="11564" max="11776" width="9.140625" style="59"/>
    <col min="11777" max="11777" width="7.85546875" style="59" customWidth="1"/>
    <col min="11778" max="11778" width="12.140625" style="59" customWidth="1"/>
    <col min="11779" max="11779" width="6.28515625" style="59" customWidth="1"/>
    <col min="11780" max="11780" width="11.5703125" style="59" customWidth="1"/>
    <col min="11781" max="11781" width="7.85546875" style="59" customWidth="1"/>
    <col min="11782" max="11782" width="12.28515625" style="59" customWidth="1"/>
    <col min="11783" max="11783" width="5.28515625" style="59" customWidth="1"/>
    <col min="11784" max="11784" width="12.140625" style="59" bestFit="1" customWidth="1"/>
    <col min="11785" max="11785" width="5.7109375" style="59" customWidth="1"/>
    <col min="11786" max="11786" width="11.85546875" style="59" bestFit="1" customWidth="1"/>
    <col min="11787" max="11787" width="8" style="59" customWidth="1"/>
    <col min="11788" max="11788" width="12.5703125" style="59" customWidth="1"/>
    <col min="11789" max="11789" width="9" style="59" customWidth="1"/>
    <col min="11790" max="11790" width="11.7109375" style="59" bestFit="1" customWidth="1"/>
    <col min="11791" max="11791" width="9.42578125" style="59" customWidth="1"/>
    <col min="11792" max="11792" width="4.140625" style="59" customWidth="1"/>
    <col min="11793" max="11793" width="3.28515625" style="59" bestFit="1" customWidth="1"/>
    <col min="11794" max="11794" width="8.85546875" style="59" customWidth="1"/>
    <col min="11795" max="11795" width="10" style="59" bestFit="1" customWidth="1"/>
    <col min="11796" max="11797" width="9.42578125" style="59" customWidth="1"/>
    <col min="11798" max="11798" width="9.5703125" style="59" customWidth="1"/>
    <col min="11799" max="11799" width="9.85546875" style="59" customWidth="1"/>
    <col min="11800" max="11801" width="9.42578125" style="59" customWidth="1"/>
    <col min="11802" max="11802" width="9.85546875" style="59" customWidth="1"/>
    <col min="11803" max="11804" width="9.28515625" style="59" customWidth="1"/>
    <col min="11805" max="11805" width="9.85546875" style="59" customWidth="1"/>
    <col min="11806" max="11806" width="9.28515625" style="59" customWidth="1"/>
    <col min="11807" max="11807" width="10.42578125" style="59" customWidth="1"/>
    <col min="11808" max="11808" width="5.28515625" style="59" bestFit="1" customWidth="1"/>
    <col min="11809" max="11809" width="9.7109375" style="59" bestFit="1" customWidth="1"/>
    <col min="11810" max="11810" width="11" style="59" bestFit="1" customWidth="1"/>
    <col min="11811" max="11811" width="10.85546875" style="59" bestFit="1" customWidth="1"/>
    <col min="11812" max="11812" width="9.140625" style="59"/>
    <col min="11813" max="11813" width="3.85546875" style="59" bestFit="1" customWidth="1"/>
    <col min="11814" max="11814" width="7.28515625" style="59" bestFit="1" customWidth="1"/>
    <col min="11815" max="11817" width="9.140625" style="59"/>
    <col min="11818" max="11818" width="9.28515625" style="59" customWidth="1"/>
    <col min="11819" max="11819" width="9.28515625" style="59" bestFit="1" customWidth="1"/>
    <col min="11820" max="12032" width="9.140625" style="59"/>
    <col min="12033" max="12033" width="7.85546875" style="59" customWidth="1"/>
    <col min="12034" max="12034" width="12.140625" style="59" customWidth="1"/>
    <col min="12035" max="12035" width="6.28515625" style="59" customWidth="1"/>
    <col min="12036" max="12036" width="11.5703125" style="59" customWidth="1"/>
    <col min="12037" max="12037" width="7.85546875" style="59" customWidth="1"/>
    <col min="12038" max="12038" width="12.28515625" style="59" customWidth="1"/>
    <col min="12039" max="12039" width="5.28515625" style="59" customWidth="1"/>
    <col min="12040" max="12040" width="12.140625" style="59" bestFit="1" customWidth="1"/>
    <col min="12041" max="12041" width="5.7109375" style="59" customWidth="1"/>
    <col min="12042" max="12042" width="11.85546875" style="59" bestFit="1" customWidth="1"/>
    <col min="12043" max="12043" width="8" style="59" customWidth="1"/>
    <col min="12044" max="12044" width="12.5703125" style="59" customWidth="1"/>
    <col min="12045" max="12045" width="9" style="59" customWidth="1"/>
    <col min="12046" max="12046" width="11.7109375" style="59" bestFit="1" customWidth="1"/>
    <col min="12047" max="12047" width="9.42578125" style="59" customWidth="1"/>
    <col min="12048" max="12048" width="4.140625" style="59" customWidth="1"/>
    <col min="12049" max="12049" width="3.28515625" style="59" bestFit="1" customWidth="1"/>
    <col min="12050" max="12050" width="8.85546875" style="59" customWidth="1"/>
    <col min="12051" max="12051" width="10" style="59" bestFit="1" customWidth="1"/>
    <col min="12052" max="12053" width="9.42578125" style="59" customWidth="1"/>
    <col min="12054" max="12054" width="9.5703125" style="59" customWidth="1"/>
    <col min="12055" max="12055" width="9.85546875" style="59" customWidth="1"/>
    <col min="12056" max="12057" width="9.42578125" style="59" customWidth="1"/>
    <col min="12058" max="12058" width="9.85546875" style="59" customWidth="1"/>
    <col min="12059" max="12060" width="9.28515625" style="59" customWidth="1"/>
    <col min="12061" max="12061" width="9.85546875" style="59" customWidth="1"/>
    <col min="12062" max="12062" width="9.28515625" style="59" customWidth="1"/>
    <col min="12063" max="12063" width="10.42578125" style="59" customWidth="1"/>
    <col min="12064" max="12064" width="5.28515625" style="59" bestFit="1" customWidth="1"/>
    <col min="12065" max="12065" width="9.7109375" style="59" bestFit="1" customWidth="1"/>
    <col min="12066" max="12066" width="11" style="59" bestFit="1" customWidth="1"/>
    <col min="12067" max="12067" width="10.85546875" style="59" bestFit="1" customWidth="1"/>
    <col min="12068" max="12068" width="9.140625" style="59"/>
    <col min="12069" max="12069" width="3.85546875" style="59" bestFit="1" customWidth="1"/>
    <col min="12070" max="12070" width="7.28515625" style="59" bestFit="1" customWidth="1"/>
    <col min="12071" max="12073" width="9.140625" style="59"/>
    <col min="12074" max="12074" width="9.28515625" style="59" customWidth="1"/>
    <col min="12075" max="12075" width="9.28515625" style="59" bestFit="1" customWidth="1"/>
    <col min="12076" max="12288" width="9.140625" style="59"/>
    <col min="12289" max="12289" width="7.85546875" style="59" customWidth="1"/>
    <col min="12290" max="12290" width="12.140625" style="59" customWidth="1"/>
    <col min="12291" max="12291" width="6.28515625" style="59" customWidth="1"/>
    <col min="12292" max="12292" width="11.5703125" style="59" customWidth="1"/>
    <col min="12293" max="12293" width="7.85546875" style="59" customWidth="1"/>
    <col min="12294" max="12294" width="12.28515625" style="59" customWidth="1"/>
    <col min="12295" max="12295" width="5.28515625" style="59" customWidth="1"/>
    <col min="12296" max="12296" width="12.140625" style="59" bestFit="1" customWidth="1"/>
    <col min="12297" max="12297" width="5.7109375" style="59" customWidth="1"/>
    <col min="12298" max="12298" width="11.85546875" style="59" bestFit="1" customWidth="1"/>
    <col min="12299" max="12299" width="8" style="59" customWidth="1"/>
    <col min="12300" max="12300" width="12.5703125" style="59" customWidth="1"/>
    <col min="12301" max="12301" width="9" style="59" customWidth="1"/>
    <col min="12302" max="12302" width="11.7109375" style="59" bestFit="1" customWidth="1"/>
    <col min="12303" max="12303" width="9.42578125" style="59" customWidth="1"/>
    <col min="12304" max="12304" width="4.140625" style="59" customWidth="1"/>
    <col min="12305" max="12305" width="3.28515625" style="59" bestFit="1" customWidth="1"/>
    <col min="12306" max="12306" width="8.85546875" style="59" customWidth="1"/>
    <col min="12307" max="12307" width="10" style="59" bestFit="1" customWidth="1"/>
    <col min="12308" max="12309" width="9.42578125" style="59" customWidth="1"/>
    <col min="12310" max="12310" width="9.5703125" style="59" customWidth="1"/>
    <col min="12311" max="12311" width="9.85546875" style="59" customWidth="1"/>
    <col min="12312" max="12313" width="9.42578125" style="59" customWidth="1"/>
    <col min="12314" max="12314" width="9.85546875" style="59" customWidth="1"/>
    <col min="12315" max="12316" width="9.28515625" style="59" customWidth="1"/>
    <col min="12317" max="12317" width="9.85546875" style="59" customWidth="1"/>
    <col min="12318" max="12318" width="9.28515625" style="59" customWidth="1"/>
    <col min="12319" max="12319" width="10.42578125" style="59" customWidth="1"/>
    <col min="12320" max="12320" width="5.28515625" style="59" bestFit="1" customWidth="1"/>
    <col min="12321" max="12321" width="9.7109375" style="59" bestFit="1" customWidth="1"/>
    <col min="12322" max="12322" width="11" style="59" bestFit="1" customWidth="1"/>
    <col min="12323" max="12323" width="10.85546875" style="59" bestFit="1" customWidth="1"/>
    <col min="12324" max="12324" width="9.140625" style="59"/>
    <col min="12325" max="12325" width="3.85546875" style="59" bestFit="1" customWidth="1"/>
    <col min="12326" max="12326" width="7.28515625" style="59" bestFit="1" customWidth="1"/>
    <col min="12327" max="12329" width="9.140625" style="59"/>
    <col min="12330" max="12330" width="9.28515625" style="59" customWidth="1"/>
    <col min="12331" max="12331" width="9.28515625" style="59" bestFit="1" customWidth="1"/>
    <col min="12332" max="12544" width="9.140625" style="59"/>
    <col min="12545" max="12545" width="7.85546875" style="59" customWidth="1"/>
    <col min="12546" max="12546" width="12.140625" style="59" customWidth="1"/>
    <col min="12547" max="12547" width="6.28515625" style="59" customWidth="1"/>
    <col min="12548" max="12548" width="11.5703125" style="59" customWidth="1"/>
    <col min="12549" max="12549" width="7.85546875" style="59" customWidth="1"/>
    <col min="12550" max="12550" width="12.28515625" style="59" customWidth="1"/>
    <col min="12551" max="12551" width="5.28515625" style="59" customWidth="1"/>
    <col min="12552" max="12552" width="12.140625" style="59" bestFit="1" customWidth="1"/>
    <col min="12553" max="12553" width="5.7109375" style="59" customWidth="1"/>
    <col min="12554" max="12554" width="11.85546875" style="59" bestFit="1" customWidth="1"/>
    <col min="12555" max="12555" width="8" style="59" customWidth="1"/>
    <col min="12556" max="12556" width="12.5703125" style="59" customWidth="1"/>
    <col min="12557" max="12557" width="9" style="59" customWidth="1"/>
    <col min="12558" max="12558" width="11.7109375" style="59" bestFit="1" customWidth="1"/>
    <col min="12559" max="12559" width="9.42578125" style="59" customWidth="1"/>
    <col min="12560" max="12560" width="4.140625" style="59" customWidth="1"/>
    <col min="12561" max="12561" width="3.28515625" style="59" bestFit="1" customWidth="1"/>
    <col min="12562" max="12562" width="8.85546875" style="59" customWidth="1"/>
    <col min="12563" max="12563" width="10" style="59" bestFit="1" customWidth="1"/>
    <col min="12564" max="12565" width="9.42578125" style="59" customWidth="1"/>
    <col min="12566" max="12566" width="9.5703125" style="59" customWidth="1"/>
    <col min="12567" max="12567" width="9.85546875" style="59" customWidth="1"/>
    <col min="12568" max="12569" width="9.42578125" style="59" customWidth="1"/>
    <col min="12570" max="12570" width="9.85546875" style="59" customWidth="1"/>
    <col min="12571" max="12572" width="9.28515625" style="59" customWidth="1"/>
    <col min="12573" max="12573" width="9.85546875" style="59" customWidth="1"/>
    <col min="12574" max="12574" width="9.28515625" style="59" customWidth="1"/>
    <col min="12575" max="12575" width="10.42578125" style="59" customWidth="1"/>
    <col min="12576" max="12576" width="5.28515625" style="59" bestFit="1" customWidth="1"/>
    <col min="12577" max="12577" width="9.7109375" style="59" bestFit="1" customWidth="1"/>
    <col min="12578" max="12578" width="11" style="59" bestFit="1" customWidth="1"/>
    <col min="12579" max="12579" width="10.85546875" style="59" bestFit="1" customWidth="1"/>
    <col min="12580" max="12580" width="9.140625" style="59"/>
    <col min="12581" max="12581" width="3.85546875" style="59" bestFit="1" customWidth="1"/>
    <col min="12582" max="12582" width="7.28515625" style="59" bestFit="1" customWidth="1"/>
    <col min="12583" max="12585" width="9.140625" style="59"/>
    <col min="12586" max="12586" width="9.28515625" style="59" customWidth="1"/>
    <col min="12587" max="12587" width="9.28515625" style="59" bestFit="1" customWidth="1"/>
    <col min="12588" max="12800" width="9.140625" style="59"/>
    <col min="12801" max="12801" width="7.85546875" style="59" customWidth="1"/>
    <col min="12802" max="12802" width="12.140625" style="59" customWidth="1"/>
    <col min="12803" max="12803" width="6.28515625" style="59" customWidth="1"/>
    <col min="12804" max="12804" width="11.5703125" style="59" customWidth="1"/>
    <col min="12805" max="12805" width="7.85546875" style="59" customWidth="1"/>
    <col min="12806" max="12806" width="12.28515625" style="59" customWidth="1"/>
    <col min="12807" max="12807" width="5.28515625" style="59" customWidth="1"/>
    <col min="12808" max="12808" width="12.140625" style="59" bestFit="1" customWidth="1"/>
    <col min="12809" max="12809" width="5.7109375" style="59" customWidth="1"/>
    <col min="12810" max="12810" width="11.85546875" style="59" bestFit="1" customWidth="1"/>
    <col min="12811" max="12811" width="8" style="59" customWidth="1"/>
    <col min="12812" max="12812" width="12.5703125" style="59" customWidth="1"/>
    <col min="12813" max="12813" width="9" style="59" customWidth="1"/>
    <col min="12814" max="12814" width="11.7109375" style="59" bestFit="1" customWidth="1"/>
    <col min="12815" max="12815" width="9.42578125" style="59" customWidth="1"/>
    <col min="12816" max="12816" width="4.140625" style="59" customWidth="1"/>
    <col min="12817" max="12817" width="3.28515625" style="59" bestFit="1" customWidth="1"/>
    <col min="12818" max="12818" width="8.85546875" style="59" customWidth="1"/>
    <col min="12819" max="12819" width="10" style="59" bestFit="1" customWidth="1"/>
    <col min="12820" max="12821" width="9.42578125" style="59" customWidth="1"/>
    <col min="12822" max="12822" width="9.5703125" style="59" customWidth="1"/>
    <col min="12823" max="12823" width="9.85546875" style="59" customWidth="1"/>
    <col min="12824" max="12825" width="9.42578125" style="59" customWidth="1"/>
    <col min="12826" max="12826" width="9.85546875" style="59" customWidth="1"/>
    <col min="12827" max="12828" width="9.28515625" style="59" customWidth="1"/>
    <col min="12829" max="12829" width="9.85546875" style="59" customWidth="1"/>
    <col min="12830" max="12830" width="9.28515625" style="59" customWidth="1"/>
    <col min="12831" max="12831" width="10.42578125" style="59" customWidth="1"/>
    <col min="12832" max="12832" width="5.28515625" style="59" bestFit="1" customWidth="1"/>
    <col min="12833" max="12833" width="9.7109375" style="59" bestFit="1" customWidth="1"/>
    <col min="12834" max="12834" width="11" style="59" bestFit="1" customWidth="1"/>
    <col min="12835" max="12835" width="10.85546875" style="59" bestFit="1" customWidth="1"/>
    <col min="12836" max="12836" width="9.140625" style="59"/>
    <col min="12837" max="12837" width="3.85546875" style="59" bestFit="1" customWidth="1"/>
    <col min="12838" max="12838" width="7.28515625" style="59" bestFit="1" customWidth="1"/>
    <col min="12839" max="12841" width="9.140625" style="59"/>
    <col min="12842" max="12842" width="9.28515625" style="59" customWidth="1"/>
    <col min="12843" max="12843" width="9.28515625" style="59" bestFit="1" customWidth="1"/>
    <col min="12844" max="13056" width="9.140625" style="59"/>
    <col min="13057" max="13057" width="7.85546875" style="59" customWidth="1"/>
    <col min="13058" max="13058" width="12.140625" style="59" customWidth="1"/>
    <col min="13059" max="13059" width="6.28515625" style="59" customWidth="1"/>
    <col min="13060" max="13060" width="11.5703125" style="59" customWidth="1"/>
    <col min="13061" max="13061" width="7.85546875" style="59" customWidth="1"/>
    <col min="13062" max="13062" width="12.28515625" style="59" customWidth="1"/>
    <col min="13063" max="13063" width="5.28515625" style="59" customWidth="1"/>
    <col min="13064" max="13064" width="12.140625" style="59" bestFit="1" customWidth="1"/>
    <col min="13065" max="13065" width="5.7109375" style="59" customWidth="1"/>
    <col min="13066" max="13066" width="11.85546875" style="59" bestFit="1" customWidth="1"/>
    <col min="13067" max="13067" width="8" style="59" customWidth="1"/>
    <col min="13068" max="13068" width="12.5703125" style="59" customWidth="1"/>
    <col min="13069" max="13069" width="9" style="59" customWidth="1"/>
    <col min="13070" max="13070" width="11.7109375" style="59" bestFit="1" customWidth="1"/>
    <col min="13071" max="13071" width="9.42578125" style="59" customWidth="1"/>
    <col min="13072" max="13072" width="4.140625" style="59" customWidth="1"/>
    <col min="13073" max="13073" width="3.28515625" style="59" bestFit="1" customWidth="1"/>
    <col min="13074" max="13074" width="8.85546875" style="59" customWidth="1"/>
    <col min="13075" max="13075" width="10" style="59" bestFit="1" customWidth="1"/>
    <col min="13076" max="13077" width="9.42578125" style="59" customWidth="1"/>
    <col min="13078" max="13078" width="9.5703125" style="59" customWidth="1"/>
    <col min="13079" max="13079" width="9.85546875" style="59" customWidth="1"/>
    <col min="13080" max="13081" width="9.42578125" style="59" customWidth="1"/>
    <col min="13082" max="13082" width="9.85546875" style="59" customWidth="1"/>
    <col min="13083" max="13084" width="9.28515625" style="59" customWidth="1"/>
    <col min="13085" max="13085" width="9.85546875" style="59" customWidth="1"/>
    <col min="13086" max="13086" width="9.28515625" style="59" customWidth="1"/>
    <col min="13087" max="13087" width="10.42578125" style="59" customWidth="1"/>
    <col min="13088" max="13088" width="5.28515625" style="59" bestFit="1" customWidth="1"/>
    <col min="13089" max="13089" width="9.7109375" style="59" bestFit="1" customWidth="1"/>
    <col min="13090" max="13090" width="11" style="59" bestFit="1" customWidth="1"/>
    <col min="13091" max="13091" width="10.85546875" style="59" bestFit="1" customWidth="1"/>
    <col min="13092" max="13092" width="9.140625" style="59"/>
    <col min="13093" max="13093" width="3.85546875" style="59" bestFit="1" customWidth="1"/>
    <col min="13094" max="13094" width="7.28515625" style="59" bestFit="1" customWidth="1"/>
    <col min="13095" max="13097" width="9.140625" style="59"/>
    <col min="13098" max="13098" width="9.28515625" style="59" customWidth="1"/>
    <col min="13099" max="13099" width="9.28515625" style="59" bestFit="1" customWidth="1"/>
    <col min="13100" max="13312" width="9.140625" style="59"/>
    <col min="13313" max="13313" width="7.85546875" style="59" customWidth="1"/>
    <col min="13314" max="13314" width="12.140625" style="59" customWidth="1"/>
    <col min="13315" max="13315" width="6.28515625" style="59" customWidth="1"/>
    <col min="13316" max="13316" width="11.5703125" style="59" customWidth="1"/>
    <col min="13317" max="13317" width="7.85546875" style="59" customWidth="1"/>
    <col min="13318" max="13318" width="12.28515625" style="59" customWidth="1"/>
    <col min="13319" max="13319" width="5.28515625" style="59" customWidth="1"/>
    <col min="13320" max="13320" width="12.140625" style="59" bestFit="1" customWidth="1"/>
    <col min="13321" max="13321" width="5.7109375" style="59" customWidth="1"/>
    <col min="13322" max="13322" width="11.85546875" style="59" bestFit="1" customWidth="1"/>
    <col min="13323" max="13323" width="8" style="59" customWidth="1"/>
    <col min="13324" max="13324" width="12.5703125" style="59" customWidth="1"/>
    <col min="13325" max="13325" width="9" style="59" customWidth="1"/>
    <col min="13326" max="13326" width="11.7109375" style="59" bestFit="1" customWidth="1"/>
    <col min="13327" max="13327" width="9.42578125" style="59" customWidth="1"/>
    <col min="13328" max="13328" width="4.140625" style="59" customWidth="1"/>
    <col min="13329" max="13329" width="3.28515625" style="59" bestFit="1" customWidth="1"/>
    <col min="13330" max="13330" width="8.85546875" style="59" customWidth="1"/>
    <col min="13331" max="13331" width="10" style="59" bestFit="1" customWidth="1"/>
    <col min="13332" max="13333" width="9.42578125" style="59" customWidth="1"/>
    <col min="13334" max="13334" width="9.5703125" style="59" customWidth="1"/>
    <col min="13335" max="13335" width="9.85546875" style="59" customWidth="1"/>
    <col min="13336" max="13337" width="9.42578125" style="59" customWidth="1"/>
    <col min="13338" max="13338" width="9.85546875" style="59" customWidth="1"/>
    <col min="13339" max="13340" width="9.28515625" style="59" customWidth="1"/>
    <col min="13341" max="13341" width="9.85546875" style="59" customWidth="1"/>
    <col min="13342" max="13342" width="9.28515625" style="59" customWidth="1"/>
    <col min="13343" max="13343" width="10.42578125" style="59" customWidth="1"/>
    <col min="13344" max="13344" width="5.28515625" style="59" bestFit="1" customWidth="1"/>
    <col min="13345" max="13345" width="9.7109375" style="59" bestFit="1" customWidth="1"/>
    <col min="13346" max="13346" width="11" style="59" bestFit="1" customWidth="1"/>
    <col min="13347" max="13347" width="10.85546875" style="59" bestFit="1" customWidth="1"/>
    <col min="13348" max="13348" width="9.140625" style="59"/>
    <col min="13349" max="13349" width="3.85546875" style="59" bestFit="1" customWidth="1"/>
    <col min="13350" max="13350" width="7.28515625" style="59" bestFit="1" customWidth="1"/>
    <col min="13351" max="13353" width="9.140625" style="59"/>
    <col min="13354" max="13354" width="9.28515625" style="59" customWidth="1"/>
    <col min="13355" max="13355" width="9.28515625" style="59" bestFit="1" customWidth="1"/>
    <col min="13356" max="13568" width="9.140625" style="59"/>
    <col min="13569" max="13569" width="7.85546875" style="59" customWidth="1"/>
    <col min="13570" max="13570" width="12.140625" style="59" customWidth="1"/>
    <col min="13571" max="13571" width="6.28515625" style="59" customWidth="1"/>
    <col min="13572" max="13572" width="11.5703125" style="59" customWidth="1"/>
    <col min="13573" max="13573" width="7.85546875" style="59" customWidth="1"/>
    <col min="13574" max="13574" width="12.28515625" style="59" customWidth="1"/>
    <col min="13575" max="13575" width="5.28515625" style="59" customWidth="1"/>
    <col min="13576" max="13576" width="12.140625" style="59" bestFit="1" customWidth="1"/>
    <col min="13577" max="13577" width="5.7109375" style="59" customWidth="1"/>
    <col min="13578" max="13578" width="11.85546875" style="59" bestFit="1" customWidth="1"/>
    <col min="13579" max="13579" width="8" style="59" customWidth="1"/>
    <col min="13580" max="13580" width="12.5703125" style="59" customWidth="1"/>
    <col min="13581" max="13581" width="9" style="59" customWidth="1"/>
    <col min="13582" max="13582" width="11.7109375" style="59" bestFit="1" customWidth="1"/>
    <col min="13583" max="13583" width="9.42578125" style="59" customWidth="1"/>
    <col min="13584" max="13584" width="4.140625" style="59" customWidth="1"/>
    <col min="13585" max="13585" width="3.28515625" style="59" bestFit="1" customWidth="1"/>
    <col min="13586" max="13586" width="8.85546875" style="59" customWidth="1"/>
    <col min="13587" max="13587" width="10" style="59" bestFit="1" customWidth="1"/>
    <col min="13588" max="13589" width="9.42578125" style="59" customWidth="1"/>
    <col min="13590" max="13590" width="9.5703125" style="59" customWidth="1"/>
    <col min="13591" max="13591" width="9.85546875" style="59" customWidth="1"/>
    <col min="13592" max="13593" width="9.42578125" style="59" customWidth="1"/>
    <col min="13594" max="13594" width="9.85546875" style="59" customWidth="1"/>
    <col min="13595" max="13596" width="9.28515625" style="59" customWidth="1"/>
    <col min="13597" max="13597" width="9.85546875" style="59" customWidth="1"/>
    <col min="13598" max="13598" width="9.28515625" style="59" customWidth="1"/>
    <col min="13599" max="13599" width="10.42578125" style="59" customWidth="1"/>
    <col min="13600" max="13600" width="5.28515625" style="59" bestFit="1" customWidth="1"/>
    <col min="13601" max="13601" width="9.7109375" style="59" bestFit="1" customWidth="1"/>
    <col min="13602" max="13602" width="11" style="59" bestFit="1" customWidth="1"/>
    <col min="13603" max="13603" width="10.85546875" style="59" bestFit="1" customWidth="1"/>
    <col min="13604" max="13604" width="9.140625" style="59"/>
    <col min="13605" max="13605" width="3.85546875" style="59" bestFit="1" customWidth="1"/>
    <col min="13606" max="13606" width="7.28515625" style="59" bestFit="1" customWidth="1"/>
    <col min="13607" max="13609" width="9.140625" style="59"/>
    <col min="13610" max="13610" width="9.28515625" style="59" customWidth="1"/>
    <col min="13611" max="13611" width="9.28515625" style="59" bestFit="1" customWidth="1"/>
    <col min="13612" max="13824" width="9.140625" style="59"/>
    <col min="13825" max="13825" width="7.85546875" style="59" customWidth="1"/>
    <col min="13826" max="13826" width="12.140625" style="59" customWidth="1"/>
    <col min="13827" max="13827" width="6.28515625" style="59" customWidth="1"/>
    <col min="13828" max="13828" width="11.5703125" style="59" customWidth="1"/>
    <col min="13829" max="13829" width="7.85546875" style="59" customWidth="1"/>
    <col min="13830" max="13830" width="12.28515625" style="59" customWidth="1"/>
    <col min="13831" max="13831" width="5.28515625" style="59" customWidth="1"/>
    <col min="13832" max="13832" width="12.140625" style="59" bestFit="1" customWidth="1"/>
    <col min="13833" max="13833" width="5.7109375" style="59" customWidth="1"/>
    <col min="13834" max="13834" width="11.85546875" style="59" bestFit="1" customWidth="1"/>
    <col min="13835" max="13835" width="8" style="59" customWidth="1"/>
    <col min="13836" max="13836" width="12.5703125" style="59" customWidth="1"/>
    <col min="13837" max="13837" width="9" style="59" customWidth="1"/>
    <col min="13838" max="13838" width="11.7109375" style="59" bestFit="1" customWidth="1"/>
    <col min="13839" max="13839" width="9.42578125" style="59" customWidth="1"/>
    <col min="13840" max="13840" width="4.140625" style="59" customWidth="1"/>
    <col min="13841" max="13841" width="3.28515625" style="59" bestFit="1" customWidth="1"/>
    <col min="13842" max="13842" width="8.85546875" style="59" customWidth="1"/>
    <col min="13843" max="13843" width="10" style="59" bestFit="1" customWidth="1"/>
    <col min="13844" max="13845" width="9.42578125" style="59" customWidth="1"/>
    <col min="13846" max="13846" width="9.5703125" style="59" customWidth="1"/>
    <col min="13847" max="13847" width="9.85546875" style="59" customWidth="1"/>
    <col min="13848" max="13849" width="9.42578125" style="59" customWidth="1"/>
    <col min="13850" max="13850" width="9.85546875" style="59" customWidth="1"/>
    <col min="13851" max="13852" width="9.28515625" style="59" customWidth="1"/>
    <col min="13853" max="13853" width="9.85546875" style="59" customWidth="1"/>
    <col min="13854" max="13854" width="9.28515625" style="59" customWidth="1"/>
    <col min="13855" max="13855" width="10.42578125" style="59" customWidth="1"/>
    <col min="13856" max="13856" width="5.28515625" style="59" bestFit="1" customWidth="1"/>
    <col min="13857" max="13857" width="9.7109375" style="59" bestFit="1" customWidth="1"/>
    <col min="13858" max="13858" width="11" style="59" bestFit="1" customWidth="1"/>
    <col min="13859" max="13859" width="10.85546875" style="59" bestFit="1" customWidth="1"/>
    <col min="13860" max="13860" width="9.140625" style="59"/>
    <col min="13861" max="13861" width="3.85546875" style="59" bestFit="1" customWidth="1"/>
    <col min="13862" max="13862" width="7.28515625" style="59" bestFit="1" customWidth="1"/>
    <col min="13863" max="13865" width="9.140625" style="59"/>
    <col min="13866" max="13866" width="9.28515625" style="59" customWidth="1"/>
    <col min="13867" max="13867" width="9.28515625" style="59" bestFit="1" customWidth="1"/>
    <col min="13868" max="14080" width="9.140625" style="59"/>
    <col min="14081" max="14081" width="7.85546875" style="59" customWidth="1"/>
    <col min="14082" max="14082" width="12.140625" style="59" customWidth="1"/>
    <col min="14083" max="14083" width="6.28515625" style="59" customWidth="1"/>
    <col min="14084" max="14084" width="11.5703125" style="59" customWidth="1"/>
    <col min="14085" max="14085" width="7.85546875" style="59" customWidth="1"/>
    <col min="14086" max="14086" width="12.28515625" style="59" customWidth="1"/>
    <col min="14087" max="14087" width="5.28515625" style="59" customWidth="1"/>
    <col min="14088" max="14088" width="12.140625" style="59" bestFit="1" customWidth="1"/>
    <col min="14089" max="14089" width="5.7109375" style="59" customWidth="1"/>
    <col min="14090" max="14090" width="11.85546875" style="59" bestFit="1" customWidth="1"/>
    <col min="14091" max="14091" width="8" style="59" customWidth="1"/>
    <col min="14092" max="14092" width="12.5703125" style="59" customWidth="1"/>
    <col min="14093" max="14093" width="9" style="59" customWidth="1"/>
    <col min="14094" max="14094" width="11.7109375" style="59" bestFit="1" customWidth="1"/>
    <col min="14095" max="14095" width="9.42578125" style="59" customWidth="1"/>
    <col min="14096" max="14096" width="4.140625" style="59" customWidth="1"/>
    <col min="14097" max="14097" width="3.28515625" style="59" bestFit="1" customWidth="1"/>
    <col min="14098" max="14098" width="8.85546875" style="59" customWidth="1"/>
    <col min="14099" max="14099" width="10" style="59" bestFit="1" customWidth="1"/>
    <col min="14100" max="14101" width="9.42578125" style="59" customWidth="1"/>
    <col min="14102" max="14102" width="9.5703125" style="59" customWidth="1"/>
    <col min="14103" max="14103" width="9.85546875" style="59" customWidth="1"/>
    <col min="14104" max="14105" width="9.42578125" style="59" customWidth="1"/>
    <col min="14106" max="14106" width="9.85546875" style="59" customWidth="1"/>
    <col min="14107" max="14108" width="9.28515625" style="59" customWidth="1"/>
    <col min="14109" max="14109" width="9.85546875" style="59" customWidth="1"/>
    <col min="14110" max="14110" width="9.28515625" style="59" customWidth="1"/>
    <col min="14111" max="14111" width="10.42578125" style="59" customWidth="1"/>
    <col min="14112" max="14112" width="5.28515625" style="59" bestFit="1" customWidth="1"/>
    <col min="14113" max="14113" width="9.7109375" style="59" bestFit="1" customWidth="1"/>
    <col min="14114" max="14114" width="11" style="59" bestFit="1" customWidth="1"/>
    <col min="14115" max="14115" width="10.85546875" style="59" bestFit="1" customWidth="1"/>
    <col min="14116" max="14116" width="9.140625" style="59"/>
    <col min="14117" max="14117" width="3.85546875" style="59" bestFit="1" customWidth="1"/>
    <col min="14118" max="14118" width="7.28515625" style="59" bestFit="1" customWidth="1"/>
    <col min="14119" max="14121" width="9.140625" style="59"/>
    <col min="14122" max="14122" width="9.28515625" style="59" customWidth="1"/>
    <col min="14123" max="14123" width="9.28515625" style="59" bestFit="1" customWidth="1"/>
    <col min="14124" max="14336" width="9.140625" style="59"/>
    <col min="14337" max="14337" width="7.85546875" style="59" customWidth="1"/>
    <col min="14338" max="14338" width="12.140625" style="59" customWidth="1"/>
    <col min="14339" max="14339" width="6.28515625" style="59" customWidth="1"/>
    <col min="14340" max="14340" width="11.5703125" style="59" customWidth="1"/>
    <col min="14341" max="14341" width="7.85546875" style="59" customWidth="1"/>
    <col min="14342" max="14342" width="12.28515625" style="59" customWidth="1"/>
    <col min="14343" max="14343" width="5.28515625" style="59" customWidth="1"/>
    <col min="14344" max="14344" width="12.140625" style="59" bestFit="1" customWidth="1"/>
    <col min="14345" max="14345" width="5.7109375" style="59" customWidth="1"/>
    <col min="14346" max="14346" width="11.85546875" style="59" bestFit="1" customWidth="1"/>
    <col min="14347" max="14347" width="8" style="59" customWidth="1"/>
    <col min="14348" max="14348" width="12.5703125" style="59" customWidth="1"/>
    <col min="14349" max="14349" width="9" style="59" customWidth="1"/>
    <col min="14350" max="14350" width="11.7109375" style="59" bestFit="1" customWidth="1"/>
    <col min="14351" max="14351" width="9.42578125" style="59" customWidth="1"/>
    <col min="14352" max="14352" width="4.140625" style="59" customWidth="1"/>
    <col min="14353" max="14353" width="3.28515625" style="59" bestFit="1" customWidth="1"/>
    <col min="14354" max="14354" width="8.85546875" style="59" customWidth="1"/>
    <col min="14355" max="14355" width="10" style="59" bestFit="1" customWidth="1"/>
    <col min="14356" max="14357" width="9.42578125" style="59" customWidth="1"/>
    <col min="14358" max="14358" width="9.5703125" style="59" customWidth="1"/>
    <col min="14359" max="14359" width="9.85546875" style="59" customWidth="1"/>
    <col min="14360" max="14361" width="9.42578125" style="59" customWidth="1"/>
    <col min="14362" max="14362" width="9.85546875" style="59" customWidth="1"/>
    <col min="14363" max="14364" width="9.28515625" style="59" customWidth="1"/>
    <col min="14365" max="14365" width="9.85546875" style="59" customWidth="1"/>
    <col min="14366" max="14366" width="9.28515625" style="59" customWidth="1"/>
    <col min="14367" max="14367" width="10.42578125" style="59" customWidth="1"/>
    <col min="14368" max="14368" width="5.28515625" style="59" bestFit="1" customWidth="1"/>
    <col min="14369" max="14369" width="9.7109375" style="59" bestFit="1" customWidth="1"/>
    <col min="14370" max="14370" width="11" style="59" bestFit="1" customWidth="1"/>
    <col min="14371" max="14371" width="10.85546875" style="59" bestFit="1" customWidth="1"/>
    <col min="14372" max="14372" width="9.140625" style="59"/>
    <col min="14373" max="14373" width="3.85546875" style="59" bestFit="1" customWidth="1"/>
    <col min="14374" max="14374" width="7.28515625" style="59" bestFit="1" customWidth="1"/>
    <col min="14375" max="14377" width="9.140625" style="59"/>
    <col min="14378" max="14378" width="9.28515625" style="59" customWidth="1"/>
    <col min="14379" max="14379" width="9.28515625" style="59" bestFit="1" customWidth="1"/>
    <col min="14380" max="14592" width="9.140625" style="59"/>
    <col min="14593" max="14593" width="7.85546875" style="59" customWidth="1"/>
    <col min="14594" max="14594" width="12.140625" style="59" customWidth="1"/>
    <col min="14595" max="14595" width="6.28515625" style="59" customWidth="1"/>
    <col min="14596" max="14596" width="11.5703125" style="59" customWidth="1"/>
    <col min="14597" max="14597" width="7.85546875" style="59" customWidth="1"/>
    <col min="14598" max="14598" width="12.28515625" style="59" customWidth="1"/>
    <col min="14599" max="14599" width="5.28515625" style="59" customWidth="1"/>
    <col min="14600" max="14600" width="12.140625" style="59" bestFit="1" customWidth="1"/>
    <col min="14601" max="14601" width="5.7109375" style="59" customWidth="1"/>
    <col min="14602" max="14602" width="11.85546875" style="59" bestFit="1" customWidth="1"/>
    <col min="14603" max="14603" width="8" style="59" customWidth="1"/>
    <col min="14604" max="14604" width="12.5703125" style="59" customWidth="1"/>
    <col min="14605" max="14605" width="9" style="59" customWidth="1"/>
    <col min="14606" max="14606" width="11.7109375" style="59" bestFit="1" customWidth="1"/>
    <col min="14607" max="14607" width="9.42578125" style="59" customWidth="1"/>
    <col min="14608" max="14608" width="4.140625" style="59" customWidth="1"/>
    <col min="14609" max="14609" width="3.28515625" style="59" bestFit="1" customWidth="1"/>
    <col min="14610" max="14610" width="8.85546875" style="59" customWidth="1"/>
    <col min="14611" max="14611" width="10" style="59" bestFit="1" customWidth="1"/>
    <col min="14612" max="14613" width="9.42578125" style="59" customWidth="1"/>
    <col min="14614" max="14614" width="9.5703125" style="59" customWidth="1"/>
    <col min="14615" max="14615" width="9.85546875" style="59" customWidth="1"/>
    <col min="14616" max="14617" width="9.42578125" style="59" customWidth="1"/>
    <col min="14618" max="14618" width="9.85546875" style="59" customWidth="1"/>
    <col min="14619" max="14620" width="9.28515625" style="59" customWidth="1"/>
    <col min="14621" max="14621" width="9.85546875" style="59" customWidth="1"/>
    <col min="14622" max="14622" width="9.28515625" style="59" customWidth="1"/>
    <col min="14623" max="14623" width="10.42578125" style="59" customWidth="1"/>
    <col min="14624" max="14624" width="5.28515625" style="59" bestFit="1" customWidth="1"/>
    <col min="14625" max="14625" width="9.7109375" style="59" bestFit="1" customWidth="1"/>
    <col min="14626" max="14626" width="11" style="59" bestFit="1" customWidth="1"/>
    <col min="14627" max="14627" width="10.85546875" style="59" bestFit="1" customWidth="1"/>
    <col min="14628" max="14628" width="9.140625" style="59"/>
    <col min="14629" max="14629" width="3.85546875" style="59" bestFit="1" customWidth="1"/>
    <col min="14630" max="14630" width="7.28515625" style="59" bestFit="1" customWidth="1"/>
    <col min="14631" max="14633" width="9.140625" style="59"/>
    <col min="14634" max="14634" width="9.28515625" style="59" customWidth="1"/>
    <col min="14635" max="14635" width="9.28515625" style="59" bestFit="1" customWidth="1"/>
    <col min="14636" max="14848" width="9.140625" style="59"/>
    <col min="14849" max="14849" width="7.85546875" style="59" customWidth="1"/>
    <col min="14850" max="14850" width="12.140625" style="59" customWidth="1"/>
    <col min="14851" max="14851" width="6.28515625" style="59" customWidth="1"/>
    <col min="14852" max="14852" width="11.5703125" style="59" customWidth="1"/>
    <col min="14853" max="14853" width="7.85546875" style="59" customWidth="1"/>
    <col min="14854" max="14854" width="12.28515625" style="59" customWidth="1"/>
    <col min="14855" max="14855" width="5.28515625" style="59" customWidth="1"/>
    <col min="14856" max="14856" width="12.140625" style="59" bestFit="1" customWidth="1"/>
    <col min="14857" max="14857" width="5.7109375" style="59" customWidth="1"/>
    <col min="14858" max="14858" width="11.85546875" style="59" bestFit="1" customWidth="1"/>
    <col min="14859" max="14859" width="8" style="59" customWidth="1"/>
    <col min="14860" max="14860" width="12.5703125" style="59" customWidth="1"/>
    <col min="14861" max="14861" width="9" style="59" customWidth="1"/>
    <col min="14862" max="14862" width="11.7109375" style="59" bestFit="1" customWidth="1"/>
    <col min="14863" max="14863" width="9.42578125" style="59" customWidth="1"/>
    <col min="14864" max="14864" width="4.140625" style="59" customWidth="1"/>
    <col min="14865" max="14865" width="3.28515625" style="59" bestFit="1" customWidth="1"/>
    <col min="14866" max="14866" width="8.85546875" style="59" customWidth="1"/>
    <col min="14867" max="14867" width="10" style="59" bestFit="1" customWidth="1"/>
    <col min="14868" max="14869" width="9.42578125" style="59" customWidth="1"/>
    <col min="14870" max="14870" width="9.5703125" style="59" customWidth="1"/>
    <col min="14871" max="14871" width="9.85546875" style="59" customWidth="1"/>
    <col min="14872" max="14873" width="9.42578125" style="59" customWidth="1"/>
    <col min="14874" max="14874" width="9.85546875" style="59" customWidth="1"/>
    <col min="14875" max="14876" width="9.28515625" style="59" customWidth="1"/>
    <col min="14877" max="14877" width="9.85546875" style="59" customWidth="1"/>
    <col min="14878" max="14878" width="9.28515625" style="59" customWidth="1"/>
    <col min="14879" max="14879" width="10.42578125" style="59" customWidth="1"/>
    <col min="14880" max="14880" width="5.28515625" style="59" bestFit="1" customWidth="1"/>
    <col min="14881" max="14881" width="9.7109375" style="59" bestFit="1" customWidth="1"/>
    <col min="14882" max="14882" width="11" style="59" bestFit="1" customWidth="1"/>
    <col min="14883" max="14883" width="10.85546875" style="59" bestFit="1" customWidth="1"/>
    <col min="14884" max="14884" width="9.140625" style="59"/>
    <col min="14885" max="14885" width="3.85546875" style="59" bestFit="1" customWidth="1"/>
    <col min="14886" max="14886" width="7.28515625" style="59" bestFit="1" customWidth="1"/>
    <col min="14887" max="14889" width="9.140625" style="59"/>
    <col min="14890" max="14890" width="9.28515625" style="59" customWidth="1"/>
    <col min="14891" max="14891" width="9.28515625" style="59" bestFit="1" customWidth="1"/>
    <col min="14892" max="15104" width="9.140625" style="59"/>
    <col min="15105" max="15105" width="7.85546875" style="59" customWidth="1"/>
    <col min="15106" max="15106" width="12.140625" style="59" customWidth="1"/>
    <col min="15107" max="15107" width="6.28515625" style="59" customWidth="1"/>
    <col min="15108" max="15108" width="11.5703125" style="59" customWidth="1"/>
    <col min="15109" max="15109" width="7.85546875" style="59" customWidth="1"/>
    <col min="15110" max="15110" width="12.28515625" style="59" customWidth="1"/>
    <col min="15111" max="15111" width="5.28515625" style="59" customWidth="1"/>
    <col min="15112" max="15112" width="12.140625" style="59" bestFit="1" customWidth="1"/>
    <col min="15113" max="15113" width="5.7109375" style="59" customWidth="1"/>
    <col min="15114" max="15114" width="11.85546875" style="59" bestFit="1" customWidth="1"/>
    <col min="15115" max="15115" width="8" style="59" customWidth="1"/>
    <col min="15116" max="15116" width="12.5703125" style="59" customWidth="1"/>
    <col min="15117" max="15117" width="9" style="59" customWidth="1"/>
    <col min="15118" max="15118" width="11.7109375" style="59" bestFit="1" customWidth="1"/>
    <col min="15119" max="15119" width="9.42578125" style="59" customWidth="1"/>
    <col min="15120" max="15120" width="4.140625" style="59" customWidth="1"/>
    <col min="15121" max="15121" width="3.28515625" style="59" bestFit="1" customWidth="1"/>
    <col min="15122" max="15122" width="8.85546875" style="59" customWidth="1"/>
    <col min="15123" max="15123" width="10" style="59" bestFit="1" customWidth="1"/>
    <col min="15124" max="15125" width="9.42578125" style="59" customWidth="1"/>
    <col min="15126" max="15126" width="9.5703125" style="59" customWidth="1"/>
    <col min="15127" max="15127" width="9.85546875" style="59" customWidth="1"/>
    <col min="15128" max="15129" width="9.42578125" style="59" customWidth="1"/>
    <col min="15130" max="15130" width="9.85546875" style="59" customWidth="1"/>
    <col min="15131" max="15132" width="9.28515625" style="59" customWidth="1"/>
    <col min="15133" max="15133" width="9.85546875" style="59" customWidth="1"/>
    <col min="15134" max="15134" width="9.28515625" style="59" customWidth="1"/>
    <col min="15135" max="15135" width="10.42578125" style="59" customWidth="1"/>
    <col min="15136" max="15136" width="5.28515625" style="59" bestFit="1" customWidth="1"/>
    <col min="15137" max="15137" width="9.7109375" style="59" bestFit="1" customWidth="1"/>
    <col min="15138" max="15138" width="11" style="59" bestFit="1" customWidth="1"/>
    <col min="15139" max="15139" width="10.85546875" style="59" bestFit="1" customWidth="1"/>
    <col min="15140" max="15140" width="9.140625" style="59"/>
    <col min="15141" max="15141" width="3.85546875" style="59" bestFit="1" customWidth="1"/>
    <col min="15142" max="15142" width="7.28515625" style="59" bestFit="1" customWidth="1"/>
    <col min="15143" max="15145" width="9.140625" style="59"/>
    <col min="15146" max="15146" width="9.28515625" style="59" customWidth="1"/>
    <col min="15147" max="15147" width="9.28515625" style="59" bestFit="1" customWidth="1"/>
    <col min="15148" max="15360" width="9.140625" style="59"/>
    <col min="15361" max="15361" width="7.85546875" style="59" customWidth="1"/>
    <col min="15362" max="15362" width="12.140625" style="59" customWidth="1"/>
    <col min="15363" max="15363" width="6.28515625" style="59" customWidth="1"/>
    <col min="15364" max="15364" width="11.5703125" style="59" customWidth="1"/>
    <col min="15365" max="15365" width="7.85546875" style="59" customWidth="1"/>
    <col min="15366" max="15366" width="12.28515625" style="59" customWidth="1"/>
    <col min="15367" max="15367" width="5.28515625" style="59" customWidth="1"/>
    <col min="15368" max="15368" width="12.140625" style="59" bestFit="1" customWidth="1"/>
    <col min="15369" max="15369" width="5.7109375" style="59" customWidth="1"/>
    <col min="15370" max="15370" width="11.85546875" style="59" bestFit="1" customWidth="1"/>
    <col min="15371" max="15371" width="8" style="59" customWidth="1"/>
    <col min="15372" max="15372" width="12.5703125" style="59" customWidth="1"/>
    <col min="15373" max="15373" width="9" style="59" customWidth="1"/>
    <col min="15374" max="15374" width="11.7109375" style="59" bestFit="1" customWidth="1"/>
    <col min="15375" max="15375" width="9.42578125" style="59" customWidth="1"/>
    <col min="15376" max="15376" width="4.140625" style="59" customWidth="1"/>
    <col min="15377" max="15377" width="3.28515625" style="59" bestFit="1" customWidth="1"/>
    <col min="15378" max="15378" width="8.85546875" style="59" customWidth="1"/>
    <col min="15379" max="15379" width="10" style="59" bestFit="1" customWidth="1"/>
    <col min="15380" max="15381" width="9.42578125" style="59" customWidth="1"/>
    <col min="15382" max="15382" width="9.5703125" style="59" customWidth="1"/>
    <col min="15383" max="15383" width="9.85546875" style="59" customWidth="1"/>
    <col min="15384" max="15385" width="9.42578125" style="59" customWidth="1"/>
    <col min="15386" max="15386" width="9.85546875" style="59" customWidth="1"/>
    <col min="15387" max="15388" width="9.28515625" style="59" customWidth="1"/>
    <col min="15389" max="15389" width="9.85546875" style="59" customWidth="1"/>
    <col min="15390" max="15390" width="9.28515625" style="59" customWidth="1"/>
    <col min="15391" max="15391" width="10.42578125" style="59" customWidth="1"/>
    <col min="15392" max="15392" width="5.28515625" style="59" bestFit="1" customWidth="1"/>
    <col min="15393" max="15393" width="9.7109375" style="59" bestFit="1" customWidth="1"/>
    <col min="15394" max="15394" width="11" style="59" bestFit="1" customWidth="1"/>
    <col min="15395" max="15395" width="10.85546875" style="59" bestFit="1" customWidth="1"/>
    <col min="15396" max="15396" width="9.140625" style="59"/>
    <col min="15397" max="15397" width="3.85546875" style="59" bestFit="1" customWidth="1"/>
    <col min="15398" max="15398" width="7.28515625" style="59" bestFit="1" customWidth="1"/>
    <col min="15399" max="15401" width="9.140625" style="59"/>
    <col min="15402" max="15402" width="9.28515625" style="59" customWidth="1"/>
    <col min="15403" max="15403" width="9.28515625" style="59" bestFit="1" customWidth="1"/>
    <col min="15404" max="15616" width="9.140625" style="59"/>
    <col min="15617" max="15617" width="7.85546875" style="59" customWidth="1"/>
    <col min="15618" max="15618" width="12.140625" style="59" customWidth="1"/>
    <col min="15619" max="15619" width="6.28515625" style="59" customWidth="1"/>
    <col min="15620" max="15620" width="11.5703125" style="59" customWidth="1"/>
    <col min="15621" max="15621" width="7.85546875" style="59" customWidth="1"/>
    <col min="15622" max="15622" width="12.28515625" style="59" customWidth="1"/>
    <col min="15623" max="15623" width="5.28515625" style="59" customWidth="1"/>
    <col min="15624" max="15624" width="12.140625" style="59" bestFit="1" customWidth="1"/>
    <col min="15625" max="15625" width="5.7109375" style="59" customWidth="1"/>
    <col min="15626" max="15626" width="11.85546875" style="59" bestFit="1" customWidth="1"/>
    <col min="15627" max="15627" width="8" style="59" customWidth="1"/>
    <col min="15628" max="15628" width="12.5703125" style="59" customWidth="1"/>
    <col min="15629" max="15629" width="9" style="59" customWidth="1"/>
    <col min="15630" max="15630" width="11.7109375" style="59" bestFit="1" customWidth="1"/>
    <col min="15631" max="15631" width="9.42578125" style="59" customWidth="1"/>
    <col min="15632" max="15632" width="4.140625" style="59" customWidth="1"/>
    <col min="15633" max="15633" width="3.28515625" style="59" bestFit="1" customWidth="1"/>
    <col min="15634" max="15634" width="8.85546875" style="59" customWidth="1"/>
    <col min="15635" max="15635" width="10" style="59" bestFit="1" customWidth="1"/>
    <col min="15636" max="15637" width="9.42578125" style="59" customWidth="1"/>
    <col min="15638" max="15638" width="9.5703125" style="59" customWidth="1"/>
    <col min="15639" max="15639" width="9.85546875" style="59" customWidth="1"/>
    <col min="15640" max="15641" width="9.42578125" style="59" customWidth="1"/>
    <col min="15642" max="15642" width="9.85546875" style="59" customWidth="1"/>
    <col min="15643" max="15644" width="9.28515625" style="59" customWidth="1"/>
    <col min="15645" max="15645" width="9.85546875" style="59" customWidth="1"/>
    <col min="15646" max="15646" width="9.28515625" style="59" customWidth="1"/>
    <col min="15647" max="15647" width="10.42578125" style="59" customWidth="1"/>
    <col min="15648" max="15648" width="5.28515625" style="59" bestFit="1" customWidth="1"/>
    <col min="15649" max="15649" width="9.7109375" style="59" bestFit="1" customWidth="1"/>
    <col min="15650" max="15650" width="11" style="59" bestFit="1" customWidth="1"/>
    <col min="15651" max="15651" width="10.85546875" style="59" bestFit="1" customWidth="1"/>
    <col min="15652" max="15652" width="9.140625" style="59"/>
    <col min="15653" max="15653" width="3.85546875" style="59" bestFit="1" customWidth="1"/>
    <col min="15654" max="15654" width="7.28515625" style="59" bestFit="1" customWidth="1"/>
    <col min="15655" max="15657" width="9.140625" style="59"/>
    <col min="15658" max="15658" width="9.28515625" style="59" customWidth="1"/>
    <col min="15659" max="15659" width="9.28515625" style="59" bestFit="1" customWidth="1"/>
    <col min="15660" max="15872" width="9.140625" style="59"/>
    <col min="15873" max="15873" width="7.85546875" style="59" customWidth="1"/>
    <col min="15874" max="15874" width="12.140625" style="59" customWidth="1"/>
    <col min="15875" max="15875" width="6.28515625" style="59" customWidth="1"/>
    <col min="15876" max="15876" width="11.5703125" style="59" customWidth="1"/>
    <col min="15877" max="15877" width="7.85546875" style="59" customWidth="1"/>
    <col min="15878" max="15878" width="12.28515625" style="59" customWidth="1"/>
    <col min="15879" max="15879" width="5.28515625" style="59" customWidth="1"/>
    <col min="15880" max="15880" width="12.140625" style="59" bestFit="1" customWidth="1"/>
    <col min="15881" max="15881" width="5.7109375" style="59" customWidth="1"/>
    <col min="15882" max="15882" width="11.85546875" style="59" bestFit="1" customWidth="1"/>
    <col min="15883" max="15883" width="8" style="59" customWidth="1"/>
    <col min="15884" max="15884" width="12.5703125" style="59" customWidth="1"/>
    <col min="15885" max="15885" width="9" style="59" customWidth="1"/>
    <col min="15886" max="15886" width="11.7109375" style="59" bestFit="1" customWidth="1"/>
    <col min="15887" max="15887" width="9.42578125" style="59" customWidth="1"/>
    <col min="15888" max="15888" width="4.140625" style="59" customWidth="1"/>
    <col min="15889" max="15889" width="3.28515625" style="59" bestFit="1" customWidth="1"/>
    <col min="15890" max="15890" width="8.85546875" style="59" customWidth="1"/>
    <col min="15891" max="15891" width="10" style="59" bestFit="1" customWidth="1"/>
    <col min="15892" max="15893" width="9.42578125" style="59" customWidth="1"/>
    <col min="15894" max="15894" width="9.5703125" style="59" customWidth="1"/>
    <col min="15895" max="15895" width="9.85546875" style="59" customWidth="1"/>
    <col min="15896" max="15897" width="9.42578125" style="59" customWidth="1"/>
    <col min="15898" max="15898" width="9.85546875" style="59" customWidth="1"/>
    <col min="15899" max="15900" width="9.28515625" style="59" customWidth="1"/>
    <col min="15901" max="15901" width="9.85546875" style="59" customWidth="1"/>
    <col min="15902" max="15902" width="9.28515625" style="59" customWidth="1"/>
    <col min="15903" max="15903" width="10.42578125" style="59" customWidth="1"/>
    <col min="15904" max="15904" width="5.28515625" style="59" bestFit="1" customWidth="1"/>
    <col min="15905" max="15905" width="9.7109375" style="59" bestFit="1" customWidth="1"/>
    <col min="15906" max="15906" width="11" style="59" bestFit="1" customWidth="1"/>
    <col min="15907" max="15907" width="10.85546875" style="59" bestFit="1" customWidth="1"/>
    <col min="15908" max="15908" width="9.140625" style="59"/>
    <col min="15909" max="15909" width="3.85546875" style="59" bestFit="1" customWidth="1"/>
    <col min="15910" max="15910" width="7.28515625" style="59" bestFit="1" customWidth="1"/>
    <col min="15911" max="15913" width="9.140625" style="59"/>
    <col min="15914" max="15914" width="9.28515625" style="59" customWidth="1"/>
    <col min="15915" max="15915" width="9.28515625" style="59" bestFit="1" customWidth="1"/>
    <col min="15916" max="16128" width="9.140625" style="59"/>
    <col min="16129" max="16129" width="7.85546875" style="59" customWidth="1"/>
    <col min="16130" max="16130" width="12.140625" style="59" customWidth="1"/>
    <col min="16131" max="16131" width="6.28515625" style="59" customWidth="1"/>
    <col min="16132" max="16132" width="11.5703125" style="59" customWidth="1"/>
    <col min="16133" max="16133" width="7.85546875" style="59" customWidth="1"/>
    <col min="16134" max="16134" width="12.28515625" style="59" customWidth="1"/>
    <col min="16135" max="16135" width="5.28515625" style="59" customWidth="1"/>
    <col min="16136" max="16136" width="12.140625" style="59" bestFit="1" customWidth="1"/>
    <col min="16137" max="16137" width="5.7109375" style="59" customWidth="1"/>
    <col min="16138" max="16138" width="11.85546875" style="59" bestFit="1" customWidth="1"/>
    <col min="16139" max="16139" width="8" style="59" customWidth="1"/>
    <col min="16140" max="16140" width="12.5703125" style="59" customWidth="1"/>
    <col min="16141" max="16141" width="9" style="59" customWidth="1"/>
    <col min="16142" max="16142" width="11.7109375" style="59" bestFit="1" customWidth="1"/>
    <col min="16143" max="16143" width="9.42578125" style="59" customWidth="1"/>
    <col min="16144" max="16144" width="4.140625" style="59" customWidth="1"/>
    <col min="16145" max="16145" width="3.28515625" style="59" bestFit="1" customWidth="1"/>
    <col min="16146" max="16146" width="8.85546875" style="59" customWidth="1"/>
    <col min="16147" max="16147" width="10" style="59" bestFit="1" customWidth="1"/>
    <col min="16148" max="16149" width="9.42578125" style="59" customWidth="1"/>
    <col min="16150" max="16150" width="9.5703125" style="59" customWidth="1"/>
    <col min="16151" max="16151" width="9.85546875" style="59" customWidth="1"/>
    <col min="16152" max="16153" width="9.42578125" style="59" customWidth="1"/>
    <col min="16154" max="16154" width="9.85546875" style="59" customWidth="1"/>
    <col min="16155" max="16156" width="9.28515625" style="59" customWidth="1"/>
    <col min="16157" max="16157" width="9.85546875" style="59" customWidth="1"/>
    <col min="16158" max="16158" width="9.28515625" style="59" customWidth="1"/>
    <col min="16159" max="16159" width="10.42578125" style="59" customWidth="1"/>
    <col min="16160" max="16160" width="5.28515625" style="59" bestFit="1" customWidth="1"/>
    <col min="16161" max="16161" width="9.7109375" style="59" bestFit="1" customWidth="1"/>
    <col min="16162" max="16162" width="11" style="59" bestFit="1" customWidth="1"/>
    <col min="16163" max="16163" width="10.85546875" style="59" bestFit="1" customWidth="1"/>
    <col min="16164" max="16164" width="9.140625" style="59"/>
    <col min="16165" max="16165" width="3.85546875" style="59" bestFit="1" customWidth="1"/>
    <col min="16166" max="16166" width="7.28515625" style="59" bestFit="1" customWidth="1"/>
    <col min="16167" max="16169" width="9.140625" style="59"/>
    <col min="16170" max="16170" width="9.28515625" style="59" customWidth="1"/>
    <col min="16171" max="16171" width="9.28515625" style="59" bestFit="1" customWidth="1"/>
    <col min="16172" max="16384" width="9.140625" style="59"/>
  </cols>
  <sheetData>
    <row r="1" spans="1:35">
      <c r="A1" s="199"/>
      <c r="B1" s="199"/>
      <c r="C1" s="199"/>
      <c r="D1" s="199"/>
      <c r="E1" s="200" t="s">
        <v>651</v>
      </c>
      <c r="F1" s="199"/>
      <c r="G1" s="199"/>
      <c r="H1" s="199"/>
      <c r="I1" s="199"/>
      <c r="J1" s="199"/>
      <c r="K1" s="199"/>
      <c r="L1" s="199"/>
      <c r="M1" s="199"/>
      <c r="N1" s="199"/>
      <c r="O1" s="199"/>
      <c r="U1" s="106" t="s">
        <v>652</v>
      </c>
    </row>
    <row r="2" spans="1:35">
      <c r="A2" s="199"/>
      <c r="B2" s="199"/>
      <c r="C2" s="199"/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199"/>
      <c r="O2" s="199"/>
      <c r="U2" s="106" t="s">
        <v>653</v>
      </c>
    </row>
    <row r="3" spans="1:35">
      <c r="A3" s="201" t="s">
        <v>257</v>
      </c>
      <c r="B3" s="884" t="s">
        <v>258</v>
      </c>
      <c r="C3" s="884"/>
      <c r="D3" s="884"/>
      <c r="E3" s="884"/>
      <c r="F3" s="884"/>
      <c r="G3" s="884"/>
      <c r="H3" s="884"/>
      <c r="I3" s="884"/>
      <c r="J3" s="884"/>
      <c r="K3" s="884"/>
      <c r="L3" s="884" t="s">
        <v>259</v>
      </c>
      <c r="M3" s="884"/>
      <c r="N3" s="885" t="s">
        <v>260</v>
      </c>
      <c r="O3" s="886"/>
      <c r="P3" s="202"/>
      <c r="Q3" s="94" t="s">
        <v>125</v>
      </c>
      <c r="R3" s="203" t="s">
        <v>126</v>
      </c>
      <c r="S3" s="94" t="s">
        <v>261</v>
      </c>
      <c r="T3" s="94" t="s">
        <v>262</v>
      </c>
      <c r="U3" s="94" t="s">
        <v>263</v>
      </c>
      <c r="V3" s="94" t="s">
        <v>264</v>
      </c>
      <c r="W3" s="94" t="s">
        <v>265</v>
      </c>
      <c r="X3" s="94" t="s">
        <v>266</v>
      </c>
      <c r="Y3" s="94" t="s">
        <v>267</v>
      </c>
      <c r="Z3" s="94" t="s">
        <v>268</v>
      </c>
      <c r="AA3" s="94" t="s">
        <v>269</v>
      </c>
      <c r="AB3" s="94" t="s">
        <v>270</v>
      </c>
      <c r="AC3" s="94" t="s">
        <v>271</v>
      </c>
      <c r="AD3" s="94" t="s">
        <v>272</v>
      </c>
      <c r="AE3" s="94" t="s">
        <v>273</v>
      </c>
    </row>
    <row r="4" spans="1:35" s="86" customFormat="1">
      <c r="A4" s="204" t="s">
        <v>274</v>
      </c>
      <c r="B4" s="204">
        <v>2017</v>
      </c>
      <c r="C4" s="205" t="s">
        <v>275</v>
      </c>
      <c r="D4" s="204">
        <v>2018</v>
      </c>
      <c r="E4" s="205" t="s">
        <v>275</v>
      </c>
      <c r="F4" s="204">
        <v>2019</v>
      </c>
      <c r="G4" s="205" t="s">
        <v>275</v>
      </c>
      <c r="H4" s="204">
        <v>2020</v>
      </c>
      <c r="I4" s="204" t="s">
        <v>275</v>
      </c>
      <c r="J4" s="204">
        <v>2021</v>
      </c>
      <c r="K4" s="204" t="s">
        <v>275</v>
      </c>
      <c r="L4" s="204">
        <v>2022</v>
      </c>
      <c r="M4" s="204" t="s">
        <v>275</v>
      </c>
      <c r="N4" s="204">
        <v>2023</v>
      </c>
      <c r="O4" s="204">
        <v>2024</v>
      </c>
      <c r="P4" s="63"/>
      <c r="Q4" s="94">
        <v>1</v>
      </c>
      <c r="R4" s="101" t="s">
        <v>129</v>
      </c>
      <c r="S4" s="45">
        <f>4740087.5/12</f>
        <v>395007.29166666669</v>
      </c>
      <c r="T4" s="45">
        <f t="shared" ref="T4:AC4" si="0">4740087.5/12</f>
        <v>395007.29166666669</v>
      </c>
      <c r="U4" s="45">
        <f t="shared" si="0"/>
        <v>395007.29166666669</v>
      </c>
      <c r="V4" s="45">
        <f t="shared" si="0"/>
        <v>395007.29166666669</v>
      </c>
      <c r="W4" s="45">
        <f t="shared" si="0"/>
        <v>395007.29166666669</v>
      </c>
      <c r="X4" s="45">
        <f t="shared" si="0"/>
        <v>395007.29166666669</v>
      </c>
      <c r="Y4" s="45">
        <f t="shared" si="0"/>
        <v>395007.29166666669</v>
      </c>
      <c r="Z4" s="45">
        <f t="shared" si="0"/>
        <v>395007.29166666669</v>
      </c>
      <c r="AA4" s="45">
        <f t="shared" si="0"/>
        <v>395007.29166666669</v>
      </c>
      <c r="AB4" s="45">
        <f t="shared" si="0"/>
        <v>395007.29166666669</v>
      </c>
      <c r="AC4" s="45">
        <f t="shared" si="0"/>
        <v>395007.29166666669</v>
      </c>
      <c r="AD4" s="45">
        <f>4740087.5/12</f>
        <v>395007.29166666669</v>
      </c>
      <c r="AE4" s="45">
        <f>SUM(S4:AD4)</f>
        <v>4740087.5</v>
      </c>
      <c r="AF4" s="206">
        <f>AE4/$AE$20</f>
        <v>2.6303496644917306E-2</v>
      </c>
      <c r="AG4" s="450"/>
      <c r="AH4" s="451"/>
      <c r="AI4" s="477"/>
    </row>
    <row r="5" spans="1:35">
      <c r="A5" s="201" t="s">
        <v>113</v>
      </c>
      <c r="B5" s="45">
        <v>8128227.1699999999</v>
      </c>
      <c r="C5" s="207">
        <f>B5/B17</f>
        <v>7.7766631965007368E-2</v>
      </c>
      <c r="D5" s="45">
        <v>7522241.2699999996</v>
      </c>
      <c r="E5" s="207">
        <f>D5/D17</f>
        <v>7.9831482089003813E-2</v>
      </c>
      <c r="F5" s="45">
        <v>10690469.82</v>
      </c>
      <c r="G5" s="207">
        <f>F5/F17</f>
        <v>9.2128811723208082E-2</v>
      </c>
      <c r="H5" s="45">
        <v>10229896.279999999</v>
      </c>
      <c r="I5" s="207">
        <f>H5/H17</f>
        <v>8.258854573464873E-2</v>
      </c>
      <c r="J5" s="45">
        <v>11654886.960000001</v>
      </c>
      <c r="K5" s="207">
        <f>J5/J17</f>
        <v>7.5735840465239151E-2</v>
      </c>
      <c r="L5" s="45">
        <v>11654886.960000001</v>
      </c>
      <c r="M5" s="207">
        <f>L5/L17</f>
        <v>6.4674814559096835E-2</v>
      </c>
      <c r="N5" s="208">
        <f>((F5+H5+J5+L5)/3.15)-354050.16</f>
        <v>13687264.132063493</v>
      </c>
      <c r="O5" s="208">
        <f>(H5+J5+L5+N5)/3.15</f>
        <v>14992677.565734444</v>
      </c>
      <c r="P5" s="209"/>
      <c r="Q5" s="94">
        <v>2</v>
      </c>
      <c r="R5" s="101" t="s">
        <v>130</v>
      </c>
      <c r="S5" s="210">
        <f>2573043.32*M5</f>
        <v>166411.09957352284</v>
      </c>
      <c r="T5" s="210">
        <f>2573043.32*M6</f>
        <v>170025.95508920419</v>
      </c>
      <c r="U5" s="210">
        <f>2573043.32*M7</f>
        <v>203969.39083204124</v>
      </c>
      <c r="V5" s="210">
        <f>2573043.32*M8</f>
        <v>215116.48444201177</v>
      </c>
      <c r="W5" s="210">
        <f>2573043.32*M9</f>
        <v>216701.95098285671</v>
      </c>
      <c r="X5" s="210">
        <f>2573043.32*M10</f>
        <v>203574.65036677584</v>
      </c>
      <c r="Y5" s="210">
        <f>2573043.32*M11</f>
        <v>235037.36639355266</v>
      </c>
      <c r="Z5" s="210">
        <f>2573043.32*M12</f>
        <v>204875.90798677693</v>
      </c>
      <c r="AA5" s="210">
        <f>2573043.32*M13</f>
        <v>198153.24673709946</v>
      </c>
      <c r="AB5" s="210">
        <f>2573043.32*M14</f>
        <v>217551.11425125605</v>
      </c>
      <c r="AC5" s="210">
        <f>2573043.32*M15</f>
        <v>207822.254833029</v>
      </c>
      <c r="AD5" s="210">
        <f>2573043.32*M16</f>
        <v>333803.89851187333</v>
      </c>
      <c r="AE5" s="45">
        <f>SUM(S5:AD5)</f>
        <v>2573043.3200000003</v>
      </c>
      <c r="AF5" s="206">
        <f t="shared" ref="AF5:AF19" si="1">AE5/$AE$20</f>
        <v>1.4278225103407247E-2</v>
      </c>
      <c r="AG5" s="380"/>
      <c r="AH5" s="451"/>
      <c r="AI5" s="477"/>
    </row>
    <row r="6" spans="1:35">
      <c r="A6" s="201" t="s">
        <v>114</v>
      </c>
      <c r="B6" s="45">
        <v>8406126.3200000003</v>
      </c>
      <c r="C6" s="207">
        <f>B6/B17</f>
        <v>8.0425425877805753E-2</v>
      </c>
      <c r="D6" s="45">
        <f>7197732.78</f>
        <v>7197732.7800000003</v>
      </c>
      <c r="E6" s="207">
        <f>D6/D17</f>
        <v>7.6387562547299906E-2</v>
      </c>
      <c r="F6" s="45">
        <f>8384491.75</f>
        <v>8384491.75</v>
      </c>
      <c r="G6" s="207">
        <f>F6/F17</f>
        <v>7.2256250177650416E-2</v>
      </c>
      <c r="H6" s="45">
        <f>10875208.14</f>
        <v>10875208.140000001</v>
      </c>
      <c r="I6" s="207">
        <f>H6/H17</f>
        <v>8.7798311953580663E-2</v>
      </c>
      <c r="J6" s="45">
        <v>11908059.57</v>
      </c>
      <c r="K6" s="207">
        <f>J6/J17</f>
        <v>7.7381007893025863E-2</v>
      </c>
      <c r="L6" s="45">
        <v>11908059.57</v>
      </c>
      <c r="M6" s="207">
        <f>L6/L17</f>
        <v>6.6079709489385588E-2</v>
      </c>
      <c r="N6" s="208">
        <f t="shared" ref="N6:N16" si="2">(F6+H6+J6+L6)/3.15</f>
        <v>13674863.184126984</v>
      </c>
      <c r="O6" s="208">
        <f>(H6+J6+L6+N6)/3.15</f>
        <v>15354346.179087933</v>
      </c>
      <c r="P6" s="209"/>
      <c r="Q6" s="94">
        <v>3</v>
      </c>
      <c r="R6" s="101" t="s">
        <v>131</v>
      </c>
      <c r="S6" s="210">
        <f>1292784.43*M5</f>
        <v>83610.593275137697</v>
      </c>
      <c r="T6" s="210">
        <f>1292784.43*M6</f>
        <v>85426.819566800928</v>
      </c>
      <c r="U6" s="210">
        <f>1292784.43*M7</f>
        <v>102481.15553073847</v>
      </c>
      <c r="V6" s="210">
        <f>1292784.43*M8</f>
        <v>108081.83428601196</v>
      </c>
      <c r="W6" s="210">
        <f>1292784.43*M9</f>
        <v>108878.42657124807</v>
      </c>
      <c r="X6" s="210">
        <f>1292784.43*M10</f>
        <v>102282.82450248899</v>
      </c>
      <c r="Y6" s="210">
        <f>1292784.43*M11</f>
        <v>118090.7625534226</v>
      </c>
      <c r="Z6" s="210">
        <f>1292784.43*M12</f>
        <v>102936.62056471629</v>
      </c>
      <c r="AA6" s="210">
        <f>1292784.43*M13</f>
        <v>99558.927027964106</v>
      </c>
      <c r="AB6" s="210">
        <f>1292784.43*M14</f>
        <v>109305.07506308713</v>
      </c>
      <c r="AC6" s="210">
        <f>1292784.43*M15</f>
        <v>104416.96537609486</v>
      </c>
      <c r="AD6" s="210">
        <f>1292784.43*M16</f>
        <v>167714.42568228894</v>
      </c>
      <c r="AE6" s="45">
        <f t="shared" ref="AE6:AE18" si="3">SUM(S6:AD6)</f>
        <v>1292784.4300000002</v>
      </c>
      <c r="AF6" s="206">
        <f t="shared" si="1"/>
        <v>7.1738656548231096E-3</v>
      </c>
      <c r="AG6" s="380"/>
      <c r="AH6" s="451"/>
      <c r="AI6" s="477"/>
    </row>
    <row r="7" spans="1:35">
      <c r="A7" s="201" t="s">
        <v>115</v>
      </c>
      <c r="B7" s="45">
        <f>8078817.9</f>
        <v>8078817.9000000004</v>
      </c>
      <c r="C7" s="207">
        <f>B7/B17</f>
        <v>7.7293909877473782E-2</v>
      </c>
      <c r="D7" s="45">
        <v>7899052.6200000001</v>
      </c>
      <c r="E7" s="207">
        <f>D7/D17</f>
        <v>8.3830477529156511E-2</v>
      </c>
      <c r="F7" s="45">
        <v>8599525.3800000008</v>
      </c>
      <c r="G7" s="207">
        <f>F7/F17</f>
        <v>7.4109376667504542E-2</v>
      </c>
      <c r="H7" s="45">
        <v>9752914.3900000006</v>
      </c>
      <c r="I7" s="207">
        <f>H7/H17</f>
        <v>7.8737750031677628E-2</v>
      </c>
      <c r="J7" s="45">
        <f>11176115.04</f>
        <v>11176115.039999999</v>
      </c>
      <c r="K7" s="207">
        <f>J7/J17</f>
        <v>7.2624682555531173E-2</v>
      </c>
      <c r="L7" s="208">
        <f>((D7+F7+H7+J7)/2.62)</f>
        <v>14285346.347328244</v>
      </c>
      <c r="M7" s="207">
        <f>L7/L17</f>
        <v>7.927165051851566E-2</v>
      </c>
      <c r="N7" s="208">
        <f t="shared" si="2"/>
        <v>13909174.970580397</v>
      </c>
      <c r="O7" s="208">
        <f t="shared" ref="O7:O16" si="4">(H7+J7+L7+N7)/3.15</f>
        <v>15594778.015209094</v>
      </c>
      <c r="P7" s="209"/>
      <c r="Q7" s="94">
        <v>4</v>
      </c>
      <c r="R7" s="101" t="s">
        <v>132</v>
      </c>
      <c r="S7" s="210">
        <f>2267014.1*M5</f>
        <v>146618.71652035782</v>
      </c>
      <c r="T7" s="210">
        <f>2267014.1*M6</f>
        <v>149803.63313634094</v>
      </c>
      <c r="U7" s="210">
        <f>2267014.1*M7</f>
        <v>179709.94945574732</v>
      </c>
      <c r="V7" s="210">
        <f>2267014.1*M8</f>
        <v>189531.24480332161</v>
      </c>
      <c r="W7" s="210">
        <f>2267014.1*M9</f>
        <v>190928.14122369501</v>
      </c>
      <c r="X7" s="210">
        <f>2267014.1*M10</f>
        <v>179362.15810935164</v>
      </c>
      <c r="Y7" s="210">
        <f>2267014.1*M11</f>
        <v>207082.80327011755</v>
      </c>
      <c r="Z7" s="210">
        <f>2267014.1*M12</f>
        <v>180508.64847325074</v>
      </c>
      <c r="AA7" s="210">
        <f>2267014.1*M13</f>
        <v>174585.55820730742</v>
      </c>
      <c r="AB7" s="210">
        <f>2267014.1*M14</f>
        <v>191676.30783546562</v>
      </c>
      <c r="AC7" s="210">
        <f>2267014.1*M15</f>
        <v>183104.56661890558</v>
      </c>
      <c r="AD7" s="210">
        <f>2267014.1*M16</f>
        <v>294102.37234613911</v>
      </c>
      <c r="AE7" s="45">
        <f t="shared" si="3"/>
        <v>2267014.1000000006</v>
      </c>
      <c r="AF7" s="206">
        <f t="shared" si="1"/>
        <v>1.2580020468679164E-2</v>
      </c>
      <c r="AG7" s="380"/>
      <c r="AH7" s="451"/>
      <c r="AI7" s="477"/>
    </row>
    <row r="8" spans="1:35">
      <c r="A8" s="201" t="s">
        <v>116</v>
      </c>
      <c r="B8" s="45">
        <v>8695190.5800000001</v>
      </c>
      <c r="C8" s="207">
        <f>B8/B17</f>
        <v>8.3191041731238799E-2</v>
      </c>
      <c r="D8" s="45">
        <v>7799663.9400000004</v>
      </c>
      <c r="E8" s="207">
        <f>D8/D17</f>
        <v>8.2775692745941265E-2</v>
      </c>
      <c r="F8" s="45">
        <f>10080023.23</f>
        <v>10080023.23</v>
      </c>
      <c r="G8" s="207">
        <f>F8/F17</f>
        <v>8.6868077639101718E-2</v>
      </c>
      <c r="H8" s="45">
        <f>9810398.72</f>
        <v>9810398.7200000007</v>
      </c>
      <c r="I8" s="207">
        <f>H8/H17</f>
        <v>7.9201835598851203E-2</v>
      </c>
      <c r="J8" s="45">
        <f>11782970.82</f>
        <v>11782970.82</v>
      </c>
      <c r="K8" s="207">
        <f>J8/J17</f>
        <v>7.6568155597974849E-2</v>
      </c>
      <c r="L8" s="208">
        <f t="shared" ref="L8:L16" si="5">((D8+F8+H8+J8)/2.62)</f>
        <v>15066052.179389313</v>
      </c>
      <c r="M8" s="207">
        <f>L8/L17</f>
        <v>8.3603910890241745E-2</v>
      </c>
      <c r="N8" s="208">
        <f t="shared" si="2"/>
        <v>14837919.031552164</v>
      </c>
      <c r="O8" s="208">
        <f t="shared" si="4"/>
        <v>16348362.143156026</v>
      </c>
      <c r="P8" s="209"/>
      <c r="Q8" s="94">
        <v>5</v>
      </c>
      <c r="R8" s="101" t="s">
        <v>133</v>
      </c>
      <c r="S8" s="210">
        <f>10593557.4*M5</f>
        <v>685136.36036614806</v>
      </c>
      <c r="T8" s="210">
        <f>10593557.4*M6</f>
        <v>700019.19545113097</v>
      </c>
      <c r="U8" s="210">
        <f>10593557.4*M7</f>
        <v>839768.77996063547</v>
      </c>
      <c r="V8" s="210">
        <f>10593557.4*M8</f>
        <v>885662.82888026105</v>
      </c>
      <c r="W8" s="210">
        <f>10593557.4*M9</f>
        <v>892190.40293067391</v>
      </c>
      <c r="X8" s="210">
        <f>10593557.4*M10</f>
        <v>838143.58160334872</v>
      </c>
      <c r="Y8" s="210">
        <f>10593557.4*M11</f>
        <v>967679.71711993229</v>
      </c>
      <c r="Z8" s="210">
        <f>10593557.4*M12</f>
        <v>843501.03018671297</v>
      </c>
      <c r="AA8" s="210">
        <f>10593557.4*M13</f>
        <v>815822.95058515621</v>
      </c>
      <c r="AB8" s="210">
        <f>10593557.4*M14</f>
        <v>895686.51967143686</v>
      </c>
      <c r="AC8" s="210">
        <f>10593557.4*M15</f>
        <v>855631.52724965406</v>
      </c>
      <c r="AD8" s="210">
        <f>10593557.4*M16</f>
        <v>1374314.5059949108</v>
      </c>
      <c r="AE8" s="45">
        <f t="shared" si="3"/>
        <v>10593557.400000002</v>
      </c>
      <c r="AF8" s="206">
        <f t="shared" si="1"/>
        <v>5.8785328652401242E-2</v>
      </c>
      <c r="AG8" s="380"/>
      <c r="AH8" s="451"/>
      <c r="AI8" s="477"/>
    </row>
    <row r="9" spans="1:35">
      <c r="A9" s="201" t="s">
        <v>276</v>
      </c>
      <c r="B9" s="45">
        <f>8219532.42</f>
        <v>8219532.4199999999</v>
      </c>
      <c r="C9" s="207">
        <f>B9/B17</f>
        <v>7.8640192905753442E-2</v>
      </c>
      <c r="D9" s="45">
        <f>7664973.99</f>
        <v>7664973.9900000002</v>
      </c>
      <c r="E9" s="207">
        <f>D9/D17</f>
        <v>8.1346265272792179E-2</v>
      </c>
      <c r="F9" s="45">
        <f>9454030.45</f>
        <v>9454030.4499999993</v>
      </c>
      <c r="G9" s="207">
        <f>F9/F17</f>
        <v>8.1473368899471446E-2</v>
      </c>
      <c r="H9" s="45">
        <f>10655694.71</f>
        <v>10655694.710000001</v>
      </c>
      <c r="I9" s="207">
        <f>H9/H17</f>
        <v>8.6026124391095957E-2</v>
      </c>
      <c r="J9" s="45">
        <v>11989284.640000001</v>
      </c>
      <c r="K9" s="207">
        <f>J9/J17</f>
        <v>7.790882501938759E-2</v>
      </c>
      <c r="L9" s="208">
        <f t="shared" si="5"/>
        <v>15177093.049618321</v>
      </c>
      <c r="M9" s="207">
        <f>L9/L17</f>
        <v>8.4220094274532739E-2</v>
      </c>
      <c r="N9" s="208">
        <f t="shared" si="2"/>
        <v>15008286.618926452</v>
      </c>
      <c r="O9" s="208">
        <f>((H9+J9+L9+N9)/3.15)-5409.33</f>
        <v>16766133.215569768</v>
      </c>
      <c r="P9" s="209"/>
      <c r="Q9" s="94">
        <v>6</v>
      </c>
      <c r="R9" s="101" t="s">
        <v>134</v>
      </c>
      <c r="S9" s="210">
        <f>3624054.99*M5</f>
        <v>234385.08443021955</v>
      </c>
      <c r="T9" s="210">
        <f>3624054.99*M6</f>
        <v>239476.5009127582</v>
      </c>
      <c r="U9" s="210">
        <f>3624054.99*M7</f>
        <v>287284.82062716276</v>
      </c>
      <c r="V9" s="210">
        <f>3624054.99*M8</f>
        <v>302985.17044529598</v>
      </c>
      <c r="W9" s="210">
        <f>3624054.99*M9</f>
        <v>305218.25291389081</v>
      </c>
      <c r="X9" s="210">
        <f>3624054.99*M10</f>
        <v>286728.84042201802</v>
      </c>
      <c r="Y9" s="210">
        <f>3624054.99*M11</f>
        <v>331043.14019672741</v>
      </c>
      <c r="Z9" s="210">
        <f>3624054.99*M12</f>
        <v>288561.6230784097</v>
      </c>
      <c r="AA9" s="210">
        <f>3624054.99*M13</f>
        <v>279092.95465040463</v>
      </c>
      <c r="AB9" s="210">
        <f>3624054.99*M14</f>
        <v>306414.27412202477</v>
      </c>
      <c r="AC9" s="210">
        <f>3624054.99*M15</f>
        <v>292711.46498252137</v>
      </c>
      <c r="AD9" s="210">
        <f>3624054.99*M16</f>
        <v>470152.86321856728</v>
      </c>
      <c r="AE9" s="45">
        <f t="shared" si="3"/>
        <v>3624054.9900000007</v>
      </c>
      <c r="AF9" s="206">
        <f t="shared" si="1"/>
        <v>2.0110455402028094E-2</v>
      </c>
      <c r="AG9" s="380"/>
      <c r="AH9" s="451"/>
      <c r="AI9" s="477"/>
    </row>
    <row r="10" spans="1:35">
      <c r="A10" s="201" t="s">
        <v>277</v>
      </c>
      <c r="B10" s="45">
        <v>7486671.6799999997</v>
      </c>
      <c r="C10" s="207">
        <f>B10/B17</f>
        <v>7.1628564138839571E-2</v>
      </c>
      <c r="D10" s="45">
        <f>7453635.72+55.15</f>
        <v>7453690.8700000001</v>
      </c>
      <c r="E10" s="207">
        <f>D10/D17</f>
        <v>7.9103975507738039E-2</v>
      </c>
      <c r="F10" s="45">
        <f>8906802.9</f>
        <v>8906802.9000000004</v>
      </c>
      <c r="G10" s="207">
        <f>F10/F17</f>
        <v>7.6757446702171578E-2</v>
      </c>
      <c r="H10" s="45">
        <f>8869527.04</f>
        <v>8869527.0399999991</v>
      </c>
      <c r="I10" s="207">
        <f>H10/H17</f>
        <v>7.1605940034784363E-2</v>
      </c>
      <c r="J10" s="45">
        <v>11272675.199999999</v>
      </c>
      <c r="K10" s="207">
        <f>J10/J17</f>
        <v>7.3252150234810826E-2</v>
      </c>
      <c r="L10" s="208">
        <f>((D10+F10+H10+J10)/2.62)+325373.3</f>
        <v>14257700.021374045</v>
      </c>
      <c r="M10" s="207">
        <f>L10/L17</f>
        <v>7.9118236674995374E-2</v>
      </c>
      <c r="N10" s="208">
        <f t="shared" si="2"/>
        <v>13748160.368690172</v>
      </c>
      <c r="O10" s="208">
        <f t="shared" si="4"/>
        <v>15285099.247639433</v>
      </c>
      <c r="P10" s="209"/>
      <c r="Q10" s="94">
        <v>7</v>
      </c>
      <c r="R10" s="101" t="s">
        <v>135</v>
      </c>
      <c r="S10" s="210">
        <f>1406241.51*M5</f>
        <v>90948.408884554316</v>
      </c>
      <c r="T10" s="210">
        <f>1406241.51*M6</f>
        <v>92924.030452714913</v>
      </c>
      <c r="U10" s="210">
        <f>1406241.51*M7</f>
        <v>111475.08552534974</v>
      </c>
      <c r="V10" s="210">
        <f>1406241.51*M8</f>
        <v>117567.289892199</v>
      </c>
      <c r="W10" s="210">
        <f>1406241.51*M9</f>
        <v>118433.79254496128</v>
      </c>
      <c r="X10" s="210">
        <f>1406241.51*M10</f>
        <v>111259.34861038288</v>
      </c>
      <c r="Y10" s="210">
        <f>1406241.51*M11</f>
        <v>128454.61965393291</v>
      </c>
      <c r="Z10" s="210">
        <f>1406241.51*M12</f>
        <v>111970.52298752058</v>
      </c>
      <c r="AA10" s="210">
        <f>1406241.51*M13</f>
        <v>108296.39700857479</v>
      </c>
      <c r="AB10" s="210">
        <f>1406241.51*M14</f>
        <v>118897.88447357694</v>
      </c>
      <c r="AC10" s="210">
        <f>1406241.51*M15</f>
        <v>113580.78551433154</v>
      </c>
      <c r="AD10" s="210">
        <f>1406241.51*M16</f>
        <v>182433.34445190124</v>
      </c>
      <c r="AE10" s="45">
        <f t="shared" si="3"/>
        <v>1406241.51</v>
      </c>
      <c r="AF10" s="206">
        <f t="shared" si="1"/>
        <v>7.8034569699880962E-3</v>
      </c>
      <c r="AG10" s="380"/>
      <c r="AH10" s="451"/>
      <c r="AI10" s="477"/>
    </row>
    <row r="11" spans="1:35">
      <c r="A11" s="201" t="s">
        <v>278</v>
      </c>
      <c r="B11" s="45">
        <v>9406077.1500000004</v>
      </c>
      <c r="C11" s="207">
        <f>B11/B17</f>
        <v>8.999243311730859E-2</v>
      </c>
      <c r="D11" s="45">
        <v>8077958.0199999996</v>
      </c>
      <c r="E11" s="207">
        <f>D11/D17</f>
        <v>8.57291514380467E-2</v>
      </c>
      <c r="F11" s="45">
        <v>9979327.3900000006</v>
      </c>
      <c r="G11" s="207">
        <f>F11/F17</f>
        <v>8.6000296499369702E-2</v>
      </c>
      <c r="H11" s="45">
        <f>10817635.8</f>
        <v>10817635.800000001</v>
      </c>
      <c r="I11" s="207">
        <f>H11/H17</f>
        <v>8.7333515859368382E-2</v>
      </c>
      <c r="J11" s="45">
        <f>14253541.57</f>
        <v>14253541.57</v>
      </c>
      <c r="K11" s="207">
        <f>J11/J17</f>
        <v>9.2622429897009861E-2</v>
      </c>
      <c r="L11" s="208">
        <f t="shared" si="5"/>
        <v>16461245.335877862</v>
      </c>
      <c r="M11" s="207">
        <f>L11/L17</f>
        <v>9.1346058796069038E-2</v>
      </c>
      <c r="N11" s="208">
        <f t="shared" si="2"/>
        <v>16352936.538373929</v>
      </c>
      <c r="O11" s="208">
        <f t="shared" si="4"/>
        <v>18376304.521984696</v>
      </c>
      <c r="P11" s="209"/>
      <c r="Q11" s="94">
        <v>8</v>
      </c>
      <c r="R11" s="101" t="s">
        <v>136</v>
      </c>
      <c r="S11" s="210">
        <f>21619230.49*M5</f>
        <v>1398219.722851122</v>
      </c>
      <c r="T11" s="210">
        <f>21619230.49*M6</f>
        <v>1428592.4701632671</v>
      </c>
      <c r="U11" s="210">
        <f>21619230.49*M7</f>
        <v>1713792.0838825179</v>
      </c>
      <c r="V11" s="210">
        <f>21619230.49*M8</f>
        <v>1807452.2194015572</v>
      </c>
      <c r="W11" s="210">
        <f>21619230.49*M9</f>
        <v>1820773.6300106526</v>
      </c>
      <c r="X11" s="210">
        <f>21619230.49*M10</f>
        <v>1710475.394639096</v>
      </c>
      <c r="Y11" s="210">
        <f>21619230.49*M11</f>
        <v>1974831.4994653084</v>
      </c>
      <c r="Z11" s="210">
        <f>21619230.49*M12</f>
        <v>1721408.8244010452</v>
      </c>
      <c r="AA11" s="210">
        <f>21619230.49*M13</f>
        <v>1664923.6646164176</v>
      </c>
      <c r="AB11" s="210">
        <f>21619230.49*M14</f>
        <v>1827908.4715737426</v>
      </c>
      <c r="AC11" s="210">
        <f>21619230.49*M15</f>
        <v>1746164.6266362786</v>
      </c>
      <c r="AD11" s="210">
        <f>21619230.49*M16</f>
        <v>2804687.8823589948</v>
      </c>
      <c r="AE11" s="45">
        <f t="shared" si="3"/>
        <v>21619230.489999998</v>
      </c>
      <c r="AF11" s="206">
        <f t="shared" si="1"/>
        <v>0.11996853574104041</v>
      </c>
      <c r="AG11" s="380"/>
      <c r="AH11" s="451"/>
      <c r="AI11" s="477"/>
    </row>
    <row r="12" spans="1:35">
      <c r="A12" s="201" t="s">
        <v>279</v>
      </c>
      <c r="B12" s="45">
        <f>7641217.97</f>
        <v>7641217.9699999997</v>
      </c>
      <c r="C12" s="207">
        <f>B12/B17</f>
        <v>7.3107182317763739E-2</v>
      </c>
      <c r="D12" s="45">
        <v>7400073.3700000001</v>
      </c>
      <c r="E12" s="207">
        <f>D12/D17</f>
        <v>7.8534947695777527E-2</v>
      </c>
      <c r="F12" s="45">
        <v>8879675.7799999993</v>
      </c>
      <c r="G12" s="207">
        <f>F12/F17</f>
        <v>7.6523669387128096E-2</v>
      </c>
      <c r="H12" s="45">
        <f>9516468.8</f>
        <v>9516468.8000000007</v>
      </c>
      <c r="I12" s="207">
        <f>H12/H17</f>
        <v>7.6828864849562084E-2</v>
      </c>
      <c r="J12" s="45">
        <f>11797731.93</f>
        <v>11797731.93</v>
      </c>
      <c r="K12" s="207">
        <f>J12/J17</f>
        <v>7.6664076311396323E-2</v>
      </c>
      <c r="L12" s="208">
        <f t="shared" si="5"/>
        <v>14348835.832061067</v>
      </c>
      <c r="M12" s="207">
        <f>L12/L17</f>
        <v>7.9623963729758329E-2</v>
      </c>
      <c r="N12" s="208">
        <f t="shared" si="2"/>
        <v>14140543.600654306</v>
      </c>
      <c r="O12" s="208">
        <f t="shared" si="4"/>
        <v>15810660.369115993</v>
      </c>
      <c r="P12" s="209"/>
      <c r="Q12" s="94">
        <v>9</v>
      </c>
      <c r="R12" s="101" t="s">
        <v>137</v>
      </c>
      <c r="S12" s="210">
        <f>46335083.1*M5</f>
        <v>2996712.9070728417</v>
      </c>
      <c r="T12" s="210">
        <f>46335083.1*M6</f>
        <v>3061808.8304145397</v>
      </c>
      <c r="U12" s="210">
        <f>46335083.1*M7</f>
        <v>3673058.5142495814</v>
      </c>
      <c r="V12" s="210">
        <f>46335083.1*M8</f>
        <v>3873794.1585843465</v>
      </c>
      <c r="W12" s="210">
        <f>46335083.1*M9</f>
        <v>3902345.0669003087</v>
      </c>
      <c r="X12" s="210">
        <f>46335083.1*M10</f>
        <v>3665950.0710613783</v>
      </c>
      <c r="Y12" s="210">
        <f>46335083.1*M11</f>
        <v>4232527.2251733448</v>
      </c>
      <c r="Z12" s="210">
        <f>46335083.1*M12</f>
        <v>3689382.9761697385</v>
      </c>
      <c r="AA12" s="210">
        <f>46335083.1*M13</f>
        <v>3568322.026579136</v>
      </c>
      <c r="AB12" s="210">
        <f>46335083.1*M14</f>
        <v>3917636.7062990391</v>
      </c>
      <c r="AC12" s="210">
        <f>46335083.1*M15</f>
        <v>3742440.4684013547</v>
      </c>
      <c r="AD12" s="210">
        <f>46335083.1*M16</f>
        <v>6011104.1490943953</v>
      </c>
      <c r="AE12" s="45">
        <f t="shared" si="3"/>
        <v>46335083.100000009</v>
      </c>
      <c r="AF12" s="206">
        <f t="shared" si="1"/>
        <v>0.25712071831222838</v>
      </c>
      <c r="AG12" s="380"/>
      <c r="AH12" s="451"/>
      <c r="AI12" s="477"/>
    </row>
    <row r="13" spans="1:35">
      <c r="A13" s="201" t="s">
        <v>280</v>
      </c>
      <c r="B13" s="45">
        <v>7402995.8799999999</v>
      </c>
      <c r="C13" s="207">
        <f>B13/B17</f>
        <v>7.0827997790621031E-2</v>
      </c>
      <c r="D13" s="45">
        <f>6729771.56</f>
        <v>6729771.5599999996</v>
      </c>
      <c r="E13" s="207">
        <f>D13/D17</f>
        <v>7.1421218553287272E-2</v>
      </c>
      <c r="F13" s="45">
        <f>8643003.18</f>
        <v>8643003.1799999997</v>
      </c>
      <c r="G13" s="207">
        <f>F13/F17</f>
        <v>7.4484061608183716E-2</v>
      </c>
      <c r="H13" s="45">
        <f>10310037.68</f>
        <v>10310037.68</v>
      </c>
      <c r="I13" s="207">
        <f>H13/H17</f>
        <v>8.3235547571028926E-2</v>
      </c>
      <c r="J13" s="45">
        <f>10677554.69</f>
        <v>10677554.689999999</v>
      </c>
      <c r="K13" s="207">
        <f>J13/J17</f>
        <v>6.9384935378275517E-2</v>
      </c>
      <c r="L13" s="208">
        <f t="shared" si="5"/>
        <v>13878002.713740457</v>
      </c>
      <c r="M13" s="207">
        <f>L13/L17</f>
        <v>7.701123614860067E-2</v>
      </c>
      <c r="N13" s="208">
        <f t="shared" si="2"/>
        <v>13812253.417060461</v>
      </c>
      <c r="O13" s="208">
        <f>(H13+J13+L13+N13)/3.15</f>
        <v>15453285.238349499</v>
      </c>
      <c r="P13" s="209"/>
      <c r="Q13" s="94">
        <v>10</v>
      </c>
      <c r="R13" s="101" t="s">
        <v>281</v>
      </c>
      <c r="S13" s="210">
        <f>29524656.15*M5</f>
        <v>1909501.6614223479</v>
      </c>
      <c r="T13" s="210">
        <f>29524656.15*M6</f>
        <v>1950980.7011660014</v>
      </c>
      <c r="U13" s="210">
        <f>29524656.15*M7</f>
        <v>2340468.2240021438</v>
      </c>
      <c r="V13" s="210">
        <f>29524656.15*M8</f>
        <v>2468376.7218296276</v>
      </c>
      <c r="W13" s="210">
        <f>29524656.15*M9</f>
        <v>2486569.3243761626</v>
      </c>
      <c r="X13" s="210">
        <f>29524656.15*M10</f>
        <v>2335938.7330235578</v>
      </c>
      <c r="Y13" s="210">
        <f>29524656.15*M11</f>
        <v>2696960.9766116212</v>
      </c>
      <c r="Z13" s="210">
        <f>29524656.15*M12</f>
        <v>2350870.1504211859</v>
      </c>
      <c r="AA13" s="210">
        <f>29524656.15*M13</f>
        <v>2273730.2669738848</v>
      </c>
      <c r="AB13" s="210">
        <f>29524656.15*M14</f>
        <v>2496313.1375952503</v>
      </c>
      <c r="AC13" s="210">
        <f>29524656.15*M15</f>
        <v>2384678.3171388102</v>
      </c>
      <c r="AD13" s="210">
        <f>29524656.15*M16</f>
        <v>3830267.9354394069</v>
      </c>
      <c r="AE13" s="45">
        <f t="shared" si="3"/>
        <v>29524656.150000002</v>
      </c>
      <c r="AF13" s="206">
        <f t="shared" si="1"/>
        <v>0.16383699541070965</v>
      </c>
      <c r="AG13" s="380"/>
      <c r="AH13" s="451"/>
      <c r="AI13" s="477"/>
    </row>
    <row r="14" spans="1:35">
      <c r="A14" s="201" t="s">
        <v>282</v>
      </c>
      <c r="B14" s="45">
        <v>9451675.9000000004</v>
      </c>
      <c r="C14" s="207">
        <f>B14/B17</f>
        <v>9.0428698139822031E-2</v>
      </c>
      <c r="D14" s="45">
        <f>7115297.7</f>
        <v>7115297.7000000002</v>
      </c>
      <c r="E14" s="207">
        <f>D14/D17</f>
        <v>7.5512701667900653E-2</v>
      </c>
      <c r="F14" s="45">
        <f>10001253.91</f>
        <v>10001253.91</v>
      </c>
      <c r="G14" s="207">
        <f>F14/F17</f>
        <v>8.6189255849785332E-2</v>
      </c>
      <c r="H14" s="45">
        <v>9354372.8800000008</v>
      </c>
      <c r="I14" s="207">
        <f>H14/H17</f>
        <v>7.5520223399453468E-2</v>
      </c>
      <c r="J14" s="45">
        <v>13448877.529999999</v>
      </c>
      <c r="K14" s="207">
        <f>J14/J17</f>
        <v>8.7393558302569702E-2</v>
      </c>
      <c r="L14" s="208">
        <f t="shared" si="5"/>
        <v>15236565.656488551</v>
      </c>
      <c r="M14" s="207">
        <f>L14/L17</f>
        <v>8.4550117194006694E-2</v>
      </c>
      <c r="N14" s="208">
        <f t="shared" si="2"/>
        <v>15251133.325869381</v>
      </c>
      <c r="O14" s="208">
        <f t="shared" si="4"/>
        <v>16917761.711859662</v>
      </c>
      <c r="P14" s="209"/>
      <c r="Q14" s="94">
        <v>11</v>
      </c>
      <c r="R14" s="101" t="s">
        <v>139</v>
      </c>
      <c r="S14" s="210">
        <f>4812513*M5</f>
        <v>311248.38583824277</v>
      </c>
      <c r="T14" s="210">
        <f>4812513*M6</f>
        <v>318009.46095389151</v>
      </c>
      <c r="U14" s="210">
        <f>4812513*M7</f>
        <v>381495.84865181334</v>
      </c>
      <c r="V14" s="210">
        <f>4812513*M8</f>
        <v>402344.90801012999</v>
      </c>
      <c r="W14" s="210">
        <f>4812513*M9</f>
        <v>405310.29855741438</v>
      </c>
      <c r="X14" s="210">
        <f>4812513*M10</f>
        <v>380757.54253549199</v>
      </c>
      <c r="Y14" s="210">
        <f>4812513*M11</f>
        <v>439604.09545484657</v>
      </c>
      <c r="Z14" s="210">
        <f>4812513*M12</f>
        <v>383191.36056099046</v>
      </c>
      <c r="AA14" s="210">
        <f>4812513*M13</f>
        <v>370617.57511121064</v>
      </c>
      <c r="AB14" s="210">
        <f>4812513*M14</f>
        <v>406898.53814768075</v>
      </c>
      <c r="AC14" s="210">
        <f>4812513*M15</f>
        <v>388702.08491991693</v>
      </c>
      <c r="AD14" s="210">
        <f>4812513*M16</f>
        <v>624332.90125837107</v>
      </c>
      <c r="AE14" s="45">
        <f t="shared" si="3"/>
        <v>4812513.0000000009</v>
      </c>
      <c r="AF14" s="206">
        <f t="shared" si="1"/>
        <v>2.6705397220857411E-2</v>
      </c>
      <c r="AG14" s="380"/>
      <c r="AH14" s="451"/>
      <c r="AI14" s="477"/>
    </row>
    <row r="15" spans="1:35">
      <c r="A15" s="201" t="s">
        <v>283</v>
      </c>
      <c r="B15" s="45">
        <v>8798730.4900000002</v>
      </c>
      <c r="C15" s="207">
        <f>B15/B17</f>
        <v>8.4181657508364025E-2</v>
      </c>
      <c r="D15" s="45">
        <v>8267235.1900000004</v>
      </c>
      <c r="E15" s="207">
        <f>D15/D17</f>
        <v>8.7737898095372718E-2</v>
      </c>
      <c r="F15" s="45">
        <v>7399552.2000000002</v>
      </c>
      <c r="G15" s="207">
        <f>F15/F17</f>
        <v>6.3768193816373372E-2</v>
      </c>
      <c r="H15" s="45">
        <f>9067503.09</f>
        <v>9067503.0899999999</v>
      </c>
      <c r="I15" s="207">
        <f>H15/H17</f>
        <v>7.3204250869250628E-2</v>
      </c>
      <c r="J15" s="45">
        <v>13400302.84</v>
      </c>
      <c r="K15" s="207">
        <f>J15/J17</f>
        <v>8.7077910026862326E-2</v>
      </c>
      <c r="L15" s="208">
        <f t="shared" si="5"/>
        <v>14555188.290076336</v>
      </c>
      <c r="M15" s="207">
        <f>L15/L17</f>
        <v>8.0769046217624124E-2</v>
      </c>
      <c r="N15" s="208">
        <f t="shared" si="2"/>
        <v>14102395.688913122</v>
      </c>
      <c r="O15" s="208">
        <f t="shared" si="4"/>
        <v>16230282.510790305</v>
      </c>
      <c r="P15" s="209"/>
      <c r="Q15" s="94">
        <v>12</v>
      </c>
      <c r="R15" s="101" t="s">
        <v>140</v>
      </c>
      <c r="S15" s="210">
        <f>2280833.24*M5</f>
        <v>147512.46683722403</v>
      </c>
      <c r="T15" s="210">
        <f>2280833.24*M6</f>
        <v>150716.79789293409</v>
      </c>
      <c r="U15" s="210">
        <f>2280833.24*M7</f>
        <v>180805.41549229377</v>
      </c>
      <c r="V15" s="210">
        <f>2280833.24*M8</f>
        <v>190686.57895246139</v>
      </c>
      <c r="W15" s="210">
        <f>2280833.24*M9</f>
        <v>192091.99049728797</v>
      </c>
      <c r="X15" s="210">
        <f>2280833.24*M10</f>
        <v>180455.50409851654</v>
      </c>
      <c r="Y15" s="210">
        <f>2280833.24*M11</f>
        <v>208345.12724506867</v>
      </c>
      <c r="Z15" s="210">
        <f>2280833.24*M12</f>
        <v>181608.9831753872</v>
      </c>
      <c r="AA15" s="210">
        <f>2280833.24*M13</f>
        <v>175649.78726121801</v>
      </c>
      <c r="AB15" s="210">
        <f>2280833.24*M14</f>
        <v>192844.71774198601</v>
      </c>
      <c r="AC15" s="210">
        <f>2280833.24*M15</f>
        <v>184220.72537625339</v>
      </c>
      <c r="AD15" s="210">
        <f>2280833.24*M16</f>
        <v>295895.14542936935</v>
      </c>
      <c r="AE15" s="45">
        <f t="shared" si="3"/>
        <v>2280833.2400000007</v>
      </c>
      <c r="AF15" s="206">
        <f t="shared" si="1"/>
        <v>1.2656705066300124E-2</v>
      </c>
      <c r="AG15" s="380"/>
      <c r="AH15" s="451"/>
      <c r="AI15" s="477"/>
    </row>
    <row r="16" spans="1:35">
      <c r="A16" s="201" t="s">
        <v>284</v>
      </c>
      <c r="B16" s="45">
        <v>12805492.609999999</v>
      </c>
      <c r="C16" s="207">
        <f>B16/B17</f>
        <v>0.12251626463000193</v>
      </c>
      <c r="D16" s="45">
        <v>11098810.23</v>
      </c>
      <c r="E16" s="207">
        <f>D16/D17</f>
        <v>0.11778862685768351</v>
      </c>
      <c r="F16" s="45">
        <f>15020134.53</f>
        <v>15020134.529999999</v>
      </c>
      <c r="G16" s="207">
        <f>F16/F17</f>
        <v>0.12944119103005206</v>
      </c>
      <c r="H16" s="45">
        <v>14606142.369999999</v>
      </c>
      <c r="I16" s="207">
        <f>H16/H17</f>
        <v>0.11791908970669795</v>
      </c>
      <c r="J16" s="45">
        <f>20526658.64</f>
        <v>20526658.640000001</v>
      </c>
      <c r="K16" s="207">
        <f>J16/J17</f>
        <v>0.13338642831791675</v>
      </c>
      <c r="L16" s="208">
        <f t="shared" si="5"/>
        <v>23378528.919847324</v>
      </c>
      <c r="M16" s="207">
        <f>L16/L17</f>
        <v>0.12973116150717329</v>
      </c>
      <c r="N16" s="208">
        <f t="shared" si="2"/>
        <v>23343322.050745185</v>
      </c>
      <c r="O16" s="208">
        <f t="shared" si="4"/>
        <v>25985603.803362701</v>
      </c>
      <c r="P16" s="209"/>
      <c r="Q16" s="94">
        <v>13</v>
      </c>
      <c r="R16" s="101" t="s">
        <v>141</v>
      </c>
      <c r="S16" s="210">
        <f>3242059.87*M5</f>
        <v>209679.6208817396</v>
      </c>
      <c r="T16" s="210">
        <f>3242059.87*M6</f>
        <v>214234.37435679522</v>
      </c>
      <c r="U16" s="210">
        <f>3242059.87*M7</f>
        <v>257003.43697474431</v>
      </c>
      <c r="V16" s="210">
        <f>3242059.87*M8</f>
        <v>271048.88447230874</v>
      </c>
      <c r="W16" s="210">
        <f>3242059.87*M9</f>
        <v>273046.58789507934</v>
      </c>
      <c r="X16" s="210">
        <f>3242059.87*M10</f>
        <v>256506.06010916474</v>
      </c>
      <c r="Y16" s="210">
        <f>3242059.87*M11</f>
        <v>296149.39150539594</v>
      </c>
      <c r="Z16" s="210">
        <f>3242059.87*M12</f>
        <v>258145.657498585</v>
      </c>
      <c r="AA16" s="210">
        <f>3242059.87*M13</f>
        <v>249675.0382564716</v>
      </c>
      <c r="AB16" s="210">
        <f>3242059.87*M14</f>
        <v>274116.54195848614</v>
      </c>
      <c r="AC16" s="210">
        <f>3242059.87*M15</f>
        <v>261858.08348033446</v>
      </c>
      <c r="AD16" s="210">
        <f>3242059.87*M16</f>
        <v>420596.19261089526</v>
      </c>
      <c r="AE16" s="45">
        <f>SUM(S16:AD16)</f>
        <v>3242059.8700000006</v>
      </c>
      <c r="AF16" s="206">
        <f t="shared" si="1"/>
        <v>1.799070395075324E-2</v>
      </c>
      <c r="AG16" s="380"/>
      <c r="AH16" s="451"/>
      <c r="AI16" s="477"/>
    </row>
    <row r="17" spans="1:35">
      <c r="A17" s="101" t="s">
        <v>251</v>
      </c>
      <c r="B17" s="208">
        <f>SUM(B5:B16)</f>
        <v>104520756.06999999</v>
      </c>
      <c r="C17" s="207">
        <f>B17/B17</f>
        <v>1</v>
      </c>
      <c r="D17" s="45">
        <f>SUM(D5:D16)</f>
        <v>94226501.539999992</v>
      </c>
      <c r="E17" s="207">
        <f>D17/D17</f>
        <v>1</v>
      </c>
      <c r="F17" s="45">
        <f>SUM(F5:F16)</f>
        <v>116038290.52</v>
      </c>
      <c r="G17" s="207">
        <f>F17/F17</f>
        <v>1</v>
      </c>
      <c r="H17" s="45">
        <f>SUM(H5:H16)</f>
        <v>123865799.90000001</v>
      </c>
      <c r="I17" s="207">
        <f>H17/H17</f>
        <v>1</v>
      </c>
      <c r="J17" s="45">
        <f>SUM(J5:J16)</f>
        <v>153888659.43000001</v>
      </c>
      <c r="K17" s="207">
        <f>J17/J17</f>
        <v>1</v>
      </c>
      <c r="L17" s="208">
        <f>SUM(L5:L16)</f>
        <v>180207504.8758015</v>
      </c>
      <c r="M17" s="207">
        <f>L17/L17</f>
        <v>1</v>
      </c>
      <c r="N17" s="208">
        <f>SUM(N5:N16)</f>
        <v>181868252.92755604</v>
      </c>
      <c r="O17" s="208">
        <f>SUM(O5:O16)</f>
        <v>203115294.52185959</v>
      </c>
      <c r="P17" s="211"/>
      <c r="Q17" s="94">
        <v>14</v>
      </c>
      <c r="R17" s="101" t="s">
        <v>285</v>
      </c>
      <c r="S17" s="210">
        <f>708.85*M5</f>
        <v>45.844742300215792</v>
      </c>
      <c r="T17" s="210">
        <f>708.85*M6</f>
        <v>46.840602071550975</v>
      </c>
      <c r="U17" s="210">
        <f>708.85*M7</f>
        <v>56.19170947004983</v>
      </c>
      <c r="V17" s="210">
        <f>708.85*M8</f>
        <v>59.262632234547866</v>
      </c>
      <c r="W17" s="210">
        <f>708.85*M9</f>
        <v>59.699413826502536</v>
      </c>
      <c r="X17" s="210">
        <f>708.85*M10</f>
        <v>56.082962067070476</v>
      </c>
      <c r="Y17" s="210">
        <f>708.85*M11</f>
        <v>64.750653777593541</v>
      </c>
      <c r="Z17" s="210">
        <f>708.85*M12</f>
        <v>56.441446689839196</v>
      </c>
      <c r="AA17" s="210">
        <f>708.85*M13</f>
        <v>54.589414743935585</v>
      </c>
      <c r="AB17" s="210">
        <f>708.85*M14</f>
        <v>59.933350572971648</v>
      </c>
      <c r="AC17" s="210">
        <f>708.85*M15</f>
        <v>57.253138411362862</v>
      </c>
      <c r="AD17" s="210">
        <f>708.85*M16</f>
        <v>91.959933834359788</v>
      </c>
      <c r="AE17" s="45">
        <f t="shared" si="3"/>
        <v>708.85000000000014</v>
      </c>
      <c r="AF17" s="206">
        <f t="shared" si="1"/>
        <v>3.9335209733469348E-6</v>
      </c>
      <c r="AG17" s="380"/>
      <c r="AH17" s="451"/>
      <c r="AI17" s="477"/>
    </row>
    <row r="18" spans="1:35">
      <c r="A18" s="887" t="s">
        <v>286</v>
      </c>
      <c r="B18" s="888"/>
      <c r="C18" s="212"/>
      <c r="D18" s="212">
        <f>(D17-B17)/B17</f>
        <v>-9.849005036957155E-2</v>
      </c>
      <c r="E18" s="213"/>
      <c r="F18" s="212">
        <f>(F17-D17)/D17</f>
        <v>0.23148253011113551</v>
      </c>
      <c r="G18" s="94"/>
      <c r="H18" s="212">
        <f>(H17-F17)/F17</f>
        <v>6.7456262453736204E-2</v>
      </c>
      <c r="I18" s="94"/>
      <c r="J18" s="212">
        <f>(J17-H17)/H17</f>
        <v>0.2423821551569377</v>
      </c>
      <c r="K18" s="214"/>
      <c r="L18" s="212">
        <f>(L17-J17)/J17</f>
        <v>0.17102524346684078</v>
      </c>
      <c r="M18" s="94"/>
      <c r="N18" s="212">
        <f>(N17-L17)/L17</f>
        <v>9.2157540991376422E-3</v>
      </c>
      <c r="O18" s="212">
        <f>(O17-N17)/N17</f>
        <v>0.11682655577478344</v>
      </c>
      <c r="Q18" s="94">
        <v>15</v>
      </c>
      <c r="R18" s="101" t="s">
        <v>142</v>
      </c>
      <c r="S18" s="210">
        <f>41552033.47*M5</f>
        <v>2687370.0592256351</v>
      </c>
      <c r="T18" s="210">
        <f>41552033.47*M6</f>
        <v>2745746.3003908265</v>
      </c>
      <c r="U18" s="210">
        <f>41552033.47*M7</f>
        <v>3293898.2755675055</v>
      </c>
      <c r="V18" s="210">
        <f>41552033.47*M8</f>
        <v>3473912.5035342225</v>
      </c>
      <c r="W18" s="210">
        <f>41552033.47*M9</f>
        <v>3499516.1761419396</v>
      </c>
      <c r="X18" s="210">
        <f>41552033.47*M10</f>
        <v>3287523.6184067894</v>
      </c>
      <c r="Y18" s="210">
        <f>41552033.47*M11</f>
        <v>3795614.4924468487</v>
      </c>
      <c r="Z18" s="210">
        <f>41552033.47*M12</f>
        <v>3308537.6059129839</v>
      </c>
      <c r="AA18" s="210">
        <f>41552033.47*M13</f>
        <v>3199973.4620127287</v>
      </c>
      <c r="AB18" s="210">
        <f>41552033.47*M14</f>
        <v>3513229.2995377886</v>
      </c>
      <c r="AC18" s="210">
        <f>41552033.47*M15</f>
        <v>3356118.1117746946</v>
      </c>
      <c r="AD18" s="210">
        <f>41552033.47*M16</f>
        <v>5390593.5650480399</v>
      </c>
      <c r="AE18" s="45">
        <f t="shared" si="3"/>
        <v>41552033.469999999</v>
      </c>
      <c r="AF18" s="206">
        <f t="shared" si="1"/>
        <v>0.23057881800022398</v>
      </c>
      <c r="AG18" s="380"/>
      <c r="AH18" s="451"/>
      <c r="AI18" s="477"/>
    </row>
    <row r="19" spans="1:35">
      <c r="A19" s="215"/>
      <c r="B19" s="215"/>
      <c r="C19" s="215"/>
      <c r="D19" s="215"/>
      <c r="E19" s="215"/>
      <c r="F19" s="215"/>
      <c r="G19" s="215"/>
      <c r="H19" s="215"/>
      <c r="I19" s="215"/>
      <c r="J19" s="215"/>
      <c r="K19" s="215"/>
      <c r="L19" s="380">
        <f>180207504.88-L17</f>
        <v>4.1984915733337402E-3</v>
      </c>
      <c r="M19" s="215"/>
      <c r="N19" s="216"/>
      <c r="O19" s="216"/>
      <c r="P19" s="202"/>
      <c r="Q19" s="94">
        <v>16</v>
      </c>
      <c r="R19" s="101" t="s">
        <v>143</v>
      </c>
      <c r="S19" s="210">
        <f>4343603.46*M5</f>
        <v>280921.74829375139</v>
      </c>
      <c r="T19" s="210">
        <f>4343603.46*M6</f>
        <v>287024.05477389006</v>
      </c>
      <c r="U19" s="210">
        <f>4343603.46*M7</f>
        <v>344324.61547213543</v>
      </c>
      <c r="V19" s="210">
        <f>4343603.46*M8</f>
        <v>363142.23661238572</v>
      </c>
      <c r="W19" s="210">
        <f>4343603.46*M9</f>
        <v>365818.69289238658</v>
      </c>
      <c r="X19" s="210">
        <f>4343603.46*M10</f>
        <v>343658.24657060881</v>
      </c>
      <c r="Y19" s="210">
        <f>4343603.46*M11</f>
        <v>396771.05704396893</v>
      </c>
      <c r="Z19" s="210">
        <f>4343603.46*M12</f>
        <v>345854.92435549275</v>
      </c>
      <c r="AA19" s="210">
        <f>4343603.46*M13</f>
        <v>334506.27179393894</v>
      </c>
      <c r="AB19" s="210">
        <f>4343603.46*M14</f>
        <v>367252.18158729299</v>
      </c>
      <c r="AC19" s="210">
        <f>4343603.46*M15</f>
        <v>350828.70861177205</v>
      </c>
      <c r="AD19" s="210">
        <f>4343603.46*M16</f>
        <v>563500.72199237673</v>
      </c>
      <c r="AE19" s="45">
        <f>SUM(S19:AD19)</f>
        <v>4343603.46</v>
      </c>
      <c r="AF19" s="206">
        <f t="shared" si="1"/>
        <v>2.4103343880669124E-2</v>
      </c>
      <c r="AG19" s="380"/>
      <c r="AH19" s="451"/>
      <c r="AI19" s="477"/>
    </row>
    <row r="20" spans="1:35">
      <c r="A20" s="201" t="s">
        <v>257</v>
      </c>
      <c r="B20" s="884" t="s">
        <v>287</v>
      </c>
      <c r="C20" s="884"/>
      <c r="D20" s="884"/>
      <c r="E20" s="884"/>
      <c r="F20" s="884"/>
      <c r="G20" s="884"/>
      <c r="H20" s="884"/>
      <c r="I20" s="884"/>
      <c r="J20" s="884"/>
      <c r="K20" s="884"/>
      <c r="L20" s="884" t="s">
        <v>259</v>
      </c>
      <c r="M20" s="884"/>
      <c r="N20" s="884" t="s">
        <v>260</v>
      </c>
      <c r="O20" s="884"/>
      <c r="P20" s="63"/>
      <c r="Q20" s="217" t="s">
        <v>288</v>
      </c>
      <c r="R20" s="101" t="s">
        <v>273</v>
      </c>
      <c r="S20" s="45">
        <f t="shared" ref="S20:AD20" si="6">SUM(S4:S19)</f>
        <v>11743329.971881812</v>
      </c>
      <c r="T20" s="45">
        <f t="shared" si="6"/>
        <v>11989843.256989833</v>
      </c>
      <c r="U20" s="45">
        <f t="shared" si="6"/>
        <v>14304599.079600548</v>
      </c>
      <c r="V20" s="45">
        <f t="shared" si="6"/>
        <v>15064769.618445041</v>
      </c>
      <c r="W20" s="45">
        <f t="shared" si="6"/>
        <v>15172889.72551905</v>
      </c>
      <c r="X20" s="45">
        <f t="shared" si="6"/>
        <v>14277679.948687702</v>
      </c>
      <c r="Y20" s="45">
        <f t="shared" si="6"/>
        <v>16423264.316454535</v>
      </c>
      <c r="Z20" s="45">
        <f t="shared" si="6"/>
        <v>14366418.568886152</v>
      </c>
      <c r="AA20" s="45">
        <f t="shared" si="6"/>
        <v>13907970.007902924</v>
      </c>
      <c r="AB20" s="45">
        <f t="shared" si="6"/>
        <v>15230797.994875355</v>
      </c>
      <c r="AC20" s="45">
        <f>SUM(AC4:AC19)</f>
        <v>14567343.235719029</v>
      </c>
      <c r="AD20" s="45">
        <f t="shared" si="6"/>
        <v>23158599.155038036</v>
      </c>
      <c r="AE20" s="45">
        <f>SUM(AE4:AE19)</f>
        <v>180207504.88000003</v>
      </c>
      <c r="AF20" s="128">
        <f>SUM(AF4:AF19)</f>
        <v>0.99999999999999989</v>
      </c>
      <c r="AG20" s="118"/>
      <c r="AH20" s="451"/>
      <c r="AI20" s="477"/>
    </row>
    <row r="21" spans="1:35">
      <c r="A21" s="204" t="s">
        <v>274</v>
      </c>
      <c r="B21" s="204">
        <f>B4</f>
        <v>2017</v>
      </c>
      <c r="C21" s="205" t="s">
        <v>275</v>
      </c>
      <c r="D21" s="204">
        <f>D4</f>
        <v>2018</v>
      </c>
      <c r="E21" s="204"/>
      <c r="F21" s="204">
        <f>F4</f>
        <v>2019</v>
      </c>
      <c r="G21" s="205" t="s">
        <v>275</v>
      </c>
      <c r="H21" s="204">
        <f>H4</f>
        <v>2020</v>
      </c>
      <c r="I21" s="205" t="s">
        <v>275</v>
      </c>
      <c r="J21" s="204">
        <f>J4</f>
        <v>2021</v>
      </c>
      <c r="K21" s="205" t="s">
        <v>275</v>
      </c>
      <c r="L21" s="204">
        <f>L4</f>
        <v>2022</v>
      </c>
      <c r="M21" s="204" t="s">
        <v>275</v>
      </c>
      <c r="N21" s="204">
        <f>N4</f>
        <v>2023</v>
      </c>
      <c r="O21" s="204">
        <f>O4</f>
        <v>2024</v>
      </c>
      <c r="P21" s="209"/>
      <c r="Q21" s="330"/>
      <c r="R21" s="331" t="s">
        <v>289</v>
      </c>
      <c r="S21" s="212">
        <f>S20/$AE$20</f>
        <v>6.5165598845074085E-2</v>
      </c>
      <c r="T21" s="212">
        <f t="shared" ref="T21:AC21" si="7">T20/$AE$20</f>
        <v>6.6533540126277518E-2</v>
      </c>
      <c r="U21" s="212">
        <f t="shared" si="7"/>
        <v>7.9378486978807936E-2</v>
      </c>
      <c r="V21" s="212">
        <f t="shared" si="7"/>
        <v>8.3596793754381393E-2</v>
      </c>
      <c r="W21" s="212">
        <f t="shared" si="7"/>
        <v>8.4196769361091037E-2</v>
      </c>
      <c r="X21" s="212">
        <f t="shared" si="7"/>
        <v>7.9229108455805955E-2</v>
      </c>
      <c r="Y21" s="212">
        <f t="shared" si="7"/>
        <v>9.1135296098743324E-2</v>
      </c>
      <c r="Z21" s="212">
        <f t="shared" si="7"/>
        <v>7.9721533120680699E-2</v>
      </c>
      <c r="AA21" s="212">
        <f t="shared" si="7"/>
        <v>7.7177529410688117E-2</v>
      </c>
      <c r="AB21" s="212">
        <f>AB20/$AE$20</f>
        <v>8.4518111523809877E-2</v>
      </c>
      <c r="AC21" s="212">
        <f t="shared" si="7"/>
        <v>8.083649593516877E-2</v>
      </c>
      <c r="AD21" s="212">
        <f>AD20/$AE$20</f>
        <v>0.12851073638947125</v>
      </c>
      <c r="AE21" s="212">
        <f>AE20/$AE$20</f>
        <v>1</v>
      </c>
      <c r="AF21" s="61"/>
    </row>
    <row r="22" spans="1:35">
      <c r="A22" s="201" t="s">
        <v>113</v>
      </c>
      <c r="B22" s="45">
        <v>5981651.0099999998</v>
      </c>
      <c r="C22" s="207">
        <f>B22/B34</f>
        <v>6.2053543707761512E-2</v>
      </c>
      <c r="D22" s="45">
        <v>7670864.2400000002</v>
      </c>
      <c r="E22" s="207">
        <f>D22/D34</f>
        <v>7.2802734232698077E-2</v>
      </c>
      <c r="F22" s="45">
        <v>7979821.7400000002</v>
      </c>
      <c r="G22" s="207">
        <f>F22/F34</f>
        <v>6.8577942666855726E-2</v>
      </c>
      <c r="H22" s="45">
        <f>7671797.23</f>
        <v>7671797.2300000004</v>
      </c>
      <c r="I22" s="207">
        <f>H22/H34</f>
        <v>6.2068218910190799E-2</v>
      </c>
      <c r="J22" s="45">
        <v>9502229.8300000001</v>
      </c>
      <c r="K22" s="207">
        <f>J22/J34</f>
        <v>6.8250821360057237E-2</v>
      </c>
      <c r="L22" s="45">
        <f>21974771.81-L23</f>
        <v>10042746.339999998</v>
      </c>
      <c r="M22" s="207">
        <f>L22/L34</f>
        <v>5.6820339450432654E-2</v>
      </c>
      <c r="N22" s="208">
        <f>(F22+H22+J22+L22)/3.2</f>
        <v>10998935.981249999</v>
      </c>
      <c r="O22" s="208">
        <f>(H22+J22+L22+N22)/3.3</f>
        <v>11580517.99431818</v>
      </c>
      <c r="P22" s="209"/>
      <c r="Q22" s="218" t="s">
        <v>290</v>
      </c>
      <c r="R22" s="219"/>
      <c r="S22" s="212" t="s">
        <v>291</v>
      </c>
      <c r="T22" s="220">
        <f>S20+T20</f>
        <v>23733173.228871644</v>
      </c>
      <c r="U22" s="212" t="s">
        <v>292</v>
      </c>
      <c r="V22" s="221">
        <f>U20+V20</f>
        <v>29369368.698045589</v>
      </c>
      <c r="W22" s="212" t="s">
        <v>293</v>
      </c>
      <c r="X22" s="221">
        <f>W20+X20</f>
        <v>29450569.674206752</v>
      </c>
      <c r="Y22" s="212" t="s">
        <v>294</v>
      </c>
      <c r="Z22" s="221">
        <f>Y20+Z20</f>
        <v>30789682.885340687</v>
      </c>
      <c r="AA22" s="212" t="s">
        <v>295</v>
      </c>
      <c r="AB22" s="221">
        <f>AA20+AB20</f>
        <v>29138768.002778277</v>
      </c>
      <c r="AC22" s="212" t="s">
        <v>296</v>
      </c>
      <c r="AD22" s="221">
        <f>AC20+AD20</f>
        <v>37725942.390757069</v>
      </c>
      <c r="AE22" s="45">
        <f>SUM(S22:AD22)</f>
        <v>180207504.88000005</v>
      </c>
      <c r="AG22" s="118"/>
    </row>
    <row r="23" spans="1:35">
      <c r="A23" s="201" t="s">
        <v>114</v>
      </c>
      <c r="B23" s="45">
        <v>6665778.9299999997</v>
      </c>
      <c r="C23" s="207">
        <f>B23/B34</f>
        <v>6.9150674870119305E-2</v>
      </c>
      <c r="D23" s="45">
        <f>7361356.62+32710.31</f>
        <v>7394066.9299999997</v>
      </c>
      <c r="E23" s="207">
        <f>D23/D34</f>
        <v>7.0175702862337666E-2</v>
      </c>
      <c r="F23" s="45">
        <v>7902084.6200000001</v>
      </c>
      <c r="G23" s="207">
        <f>F23/F34</f>
        <v>6.7909876144551864E-2</v>
      </c>
      <c r="H23" s="45">
        <f>8682002.48</f>
        <v>8682002.4800000004</v>
      </c>
      <c r="I23" s="207">
        <f>H23/H34</f>
        <v>7.024122436398901E-2</v>
      </c>
      <c r="J23" s="45">
        <v>9870035.4800000004</v>
      </c>
      <c r="K23" s="207">
        <f>J23/J34</f>
        <v>7.0892626300842351E-2</v>
      </c>
      <c r="L23" s="45">
        <f>11932025.47</f>
        <v>11932025.470000001</v>
      </c>
      <c r="M23" s="207">
        <f>L23/L34</f>
        <v>6.7509594943787901E-2</v>
      </c>
      <c r="N23" s="208">
        <f t="shared" ref="N23:N33" si="8">(F23+H23+J23+L23)/3</f>
        <v>12795382.683333335</v>
      </c>
      <c r="O23" s="208">
        <f t="shared" ref="O23:O33" si="9">(H23+J23+L23+N23)/3.3</f>
        <v>13114983.670707073</v>
      </c>
      <c r="P23" s="209"/>
      <c r="Q23" s="94" t="s">
        <v>125</v>
      </c>
      <c r="R23" s="203" t="s">
        <v>126</v>
      </c>
      <c r="S23" s="94" t="s">
        <v>261</v>
      </c>
      <c r="T23" s="94" t="s">
        <v>262</v>
      </c>
      <c r="U23" s="94" t="s">
        <v>263</v>
      </c>
      <c r="V23" s="94" t="s">
        <v>264</v>
      </c>
      <c r="W23" s="94" t="s">
        <v>265</v>
      </c>
      <c r="X23" s="94" t="s">
        <v>266</v>
      </c>
      <c r="Y23" s="94" t="s">
        <v>267</v>
      </c>
      <c r="Z23" s="94" t="s">
        <v>268</v>
      </c>
      <c r="AA23" s="94" t="s">
        <v>269</v>
      </c>
      <c r="AB23" s="94" t="s">
        <v>270</v>
      </c>
      <c r="AC23" s="94" t="s">
        <v>271</v>
      </c>
      <c r="AD23" s="94" t="s">
        <v>272</v>
      </c>
      <c r="AE23" s="94" t="s">
        <v>273</v>
      </c>
    </row>
    <row r="24" spans="1:35">
      <c r="A24" s="201" t="s">
        <v>115</v>
      </c>
      <c r="B24" s="45">
        <v>7484694.0499999998</v>
      </c>
      <c r="C24" s="207">
        <f>B24/B34</f>
        <v>7.7646086104728729E-2</v>
      </c>
      <c r="D24" s="45">
        <v>8190765.7999999998</v>
      </c>
      <c r="E24" s="207">
        <f>D24/D34</f>
        <v>7.7737022458328961E-2</v>
      </c>
      <c r="F24" s="45">
        <f>9215305.68</f>
        <v>9215305.6799999997</v>
      </c>
      <c r="G24" s="207">
        <f>F24/F34</f>
        <v>7.9195591727665562E-2</v>
      </c>
      <c r="H24" s="45">
        <v>9514390.5500000007</v>
      </c>
      <c r="I24" s="207">
        <f>H24/H34</f>
        <v>7.6975610505603864E-2</v>
      </c>
      <c r="J24" s="45">
        <v>11697778.77</v>
      </c>
      <c r="K24" s="207">
        <f>J24/J34</f>
        <v>8.402059552591773E-2</v>
      </c>
      <c r="L24" s="45">
        <f>((D24+F24+H24+J24)/2.7)</f>
        <v>14303052.148148146</v>
      </c>
      <c r="M24" s="207">
        <f>L24/L34</f>
        <v>8.0924505182216694E-2</v>
      </c>
      <c r="N24" s="208">
        <f t="shared" si="8"/>
        <v>14910175.716049382</v>
      </c>
      <c r="O24" s="208">
        <f t="shared" si="9"/>
        <v>15280423.389150765</v>
      </c>
      <c r="P24" s="209"/>
      <c r="Q24" s="94">
        <v>1</v>
      </c>
      <c r="R24" s="101" t="s">
        <v>129</v>
      </c>
      <c r="S24" s="96">
        <f>287905.27</f>
        <v>287905.27</v>
      </c>
      <c r="T24" s="96">
        <f>344135.62</f>
        <v>344135.62</v>
      </c>
      <c r="U24" s="96">
        <v>340954.83</v>
      </c>
      <c r="V24" s="96">
        <v>304678.46000000002</v>
      </c>
      <c r="W24" s="96">
        <v>329133.08</v>
      </c>
      <c r="X24" s="96">
        <v>357057.56</v>
      </c>
      <c r="Y24" s="96">
        <v>328737.09999999998</v>
      </c>
      <c r="Z24" s="96">
        <v>318546.02</v>
      </c>
      <c r="AA24" s="96">
        <f>326428.97</f>
        <v>326428.96999999997</v>
      </c>
      <c r="AB24" s="96">
        <v>330659.77</v>
      </c>
      <c r="AC24" s="96"/>
      <c r="AD24" s="96"/>
      <c r="AE24" s="45">
        <f>SUM(S24:AD24)</f>
        <v>3268236.68</v>
      </c>
      <c r="AF24" s="212">
        <f>AE24/$AE$40</f>
        <v>2.3682716283628159E-2</v>
      </c>
    </row>
    <row r="25" spans="1:35">
      <c r="A25" s="201" t="s">
        <v>116</v>
      </c>
      <c r="B25" s="45">
        <f>7391916.3-2329.01</f>
        <v>7389587.29</v>
      </c>
      <c r="C25" s="207">
        <f>B25/B34</f>
        <v>7.6659450227995488E-2</v>
      </c>
      <c r="D25" s="45">
        <v>7513399.3099999996</v>
      </c>
      <c r="E25" s="207">
        <f>D25/D34</f>
        <v>7.1308264106374933E-2</v>
      </c>
      <c r="F25" s="45">
        <v>9663995.9100000001</v>
      </c>
      <c r="G25" s="207">
        <f>F25/F34</f>
        <v>8.3051599276540752E-2</v>
      </c>
      <c r="H25" s="45">
        <f>10634576.05</f>
        <v>10634576.050000001</v>
      </c>
      <c r="I25" s="207">
        <f>H25/H34</f>
        <v>8.6038404626665579E-2</v>
      </c>
      <c r="J25" s="45">
        <f>9795349.04</f>
        <v>9795349.0399999991</v>
      </c>
      <c r="K25" s="207">
        <f>J25/J34</f>
        <v>7.0356182648599233E-2</v>
      </c>
      <c r="L25" s="45">
        <f t="shared" ref="L25:L33" si="10">((D25+F25+H25+J25)/2.7)</f>
        <v>13928637.151851851</v>
      </c>
      <c r="M25" s="207">
        <f>L25/L34</f>
        <v>7.8806121777454941E-2</v>
      </c>
      <c r="N25" s="208">
        <f t="shared" si="8"/>
        <v>14674186.050617283</v>
      </c>
      <c r="O25" s="208">
        <f t="shared" si="9"/>
        <v>14858408.573475497</v>
      </c>
      <c r="P25" s="209"/>
      <c r="Q25" s="94">
        <v>2</v>
      </c>
      <c r="R25" s="101" t="s">
        <v>130</v>
      </c>
      <c r="S25" s="96">
        <f>183560.36</f>
        <v>183560.36</v>
      </c>
      <c r="T25" s="96">
        <f>212903.98</f>
        <v>212903.98</v>
      </c>
      <c r="U25" s="96">
        <v>211831.89</v>
      </c>
      <c r="V25" s="96">
        <v>198188.58</v>
      </c>
      <c r="W25" s="96">
        <f>200278.53</f>
        <v>200278.53</v>
      </c>
      <c r="X25" s="96">
        <v>396979.81</v>
      </c>
      <c r="Y25" s="96">
        <v>219313.14</v>
      </c>
      <c r="Z25" s="96">
        <v>204866.19</v>
      </c>
      <c r="AA25" s="96">
        <f>226553.12</f>
        <v>226553.12</v>
      </c>
      <c r="AB25" s="96">
        <v>209662.79</v>
      </c>
      <c r="AC25" s="96"/>
      <c r="AD25" s="96"/>
      <c r="AE25" s="45">
        <f t="shared" ref="AE25:AE39" si="11">SUM(S25:AD25)</f>
        <v>2264138.39</v>
      </c>
      <c r="AF25" s="212">
        <f t="shared" ref="AF25:AF40" si="12">AE25/$AE$40</f>
        <v>1.640669032490041E-2</v>
      </c>
    </row>
    <row r="26" spans="1:35">
      <c r="A26" s="201" t="s">
        <v>276</v>
      </c>
      <c r="B26" s="45">
        <v>8056881.3700000001</v>
      </c>
      <c r="C26" s="207">
        <f>B26/B34</f>
        <v>8.3581947426508998E-2</v>
      </c>
      <c r="D26" s="45">
        <v>8332242.9400000004</v>
      </c>
      <c r="E26" s="207">
        <f>D26/D34</f>
        <v>7.9079755467435411E-2</v>
      </c>
      <c r="F26" s="45">
        <f>9721771.29</f>
        <v>9721771.2899999991</v>
      </c>
      <c r="G26" s="207">
        <f>F26/F34</f>
        <v>8.3548116219686872E-2</v>
      </c>
      <c r="H26" s="45">
        <f>8693274.76</f>
        <v>8693274.7599999998</v>
      </c>
      <c r="I26" s="207">
        <f>H26/H34</f>
        <v>7.0332422074470852E-2</v>
      </c>
      <c r="J26" s="45">
        <v>11144329.4</v>
      </c>
      <c r="K26" s="207">
        <f>J26/J34</f>
        <v>8.0045383943005907E-2</v>
      </c>
      <c r="L26" s="45">
        <f t="shared" si="10"/>
        <v>14033932.737037037</v>
      </c>
      <c r="M26" s="207">
        <f>L26/L34</f>
        <v>7.9401868268534209E-2</v>
      </c>
      <c r="N26" s="208">
        <f t="shared" si="8"/>
        <v>14531102.729012346</v>
      </c>
      <c r="O26" s="208">
        <f t="shared" si="9"/>
        <v>14667466.553348299</v>
      </c>
      <c r="P26" s="209"/>
      <c r="Q26" s="94">
        <v>3</v>
      </c>
      <c r="R26" s="101" t="s">
        <v>131</v>
      </c>
      <c r="S26" s="96">
        <f>64399.21</f>
        <v>64399.21</v>
      </c>
      <c r="T26" s="96">
        <f>63086.12</f>
        <v>63086.12</v>
      </c>
      <c r="U26" s="96">
        <v>74169.84</v>
      </c>
      <c r="V26" s="96">
        <v>88227.21</v>
      </c>
      <c r="W26" s="96">
        <f>338444.64</f>
        <v>338444.64</v>
      </c>
      <c r="X26" s="96">
        <v>118439.73</v>
      </c>
      <c r="Y26" s="96">
        <v>116455.65</v>
      </c>
      <c r="Z26" s="96">
        <v>270074.74</v>
      </c>
      <c r="AA26" s="96">
        <f>105359.34</f>
        <v>105359.34</v>
      </c>
      <c r="AB26" s="96">
        <f>166749.88</f>
        <v>166749.88</v>
      </c>
      <c r="AC26" s="96"/>
      <c r="AD26" s="96"/>
      <c r="AE26" s="45">
        <f t="shared" si="11"/>
        <v>1405406.3600000003</v>
      </c>
      <c r="AF26" s="212">
        <f t="shared" si="12"/>
        <v>1.0184036024920504E-2</v>
      </c>
    </row>
    <row r="27" spans="1:35">
      <c r="A27" s="201" t="s">
        <v>277</v>
      </c>
      <c r="B27" s="45">
        <v>8550639.5099999998</v>
      </c>
      <c r="C27" s="207">
        <f>B27/B34</f>
        <v>8.8704185796873739E-2</v>
      </c>
      <c r="D27" s="45">
        <v>9391234.2699999996</v>
      </c>
      <c r="E27" s="207">
        <f>D27/D34</f>
        <v>8.9130443622062613E-2</v>
      </c>
      <c r="F27" s="45">
        <v>9467660.9700000007</v>
      </c>
      <c r="G27" s="207">
        <f>F27/F34</f>
        <v>8.1364312680735101E-2</v>
      </c>
      <c r="H27" s="45">
        <f>10697988.26</f>
        <v>10697988.26</v>
      </c>
      <c r="I27" s="207">
        <f>H27/H34</f>
        <v>8.6551437337758094E-2</v>
      </c>
      <c r="J27" s="45">
        <v>10512021.27</v>
      </c>
      <c r="K27" s="207">
        <f>J27/J34</f>
        <v>7.5503760555946473E-2</v>
      </c>
      <c r="L27" s="45">
        <f t="shared" si="10"/>
        <v>14840335.099999998</v>
      </c>
      <c r="M27" s="207">
        <f>L27/L34</f>
        <v>8.3964370839637328E-2</v>
      </c>
      <c r="N27" s="208">
        <f t="shared" si="8"/>
        <v>15172668.533333331</v>
      </c>
      <c r="O27" s="208">
        <f t="shared" si="9"/>
        <v>15522125.201010101</v>
      </c>
      <c r="P27" s="209"/>
      <c r="Q27" s="94">
        <v>4</v>
      </c>
      <c r="R27" s="101" t="s">
        <v>132</v>
      </c>
      <c r="S27" s="96">
        <f>146249.25</f>
        <v>146249.25</v>
      </c>
      <c r="T27" s="96">
        <f>165675.66</f>
        <v>165675.66</v>
      </c>
      <c r="U27" s="96">
        <v>182713.95</v>
      </c>
      <c r="V27" s="96">
        <v>174354.53</v>
      </c>
      <c r="W27" s="96">
        <f>197881.81</f>
        <v>197881.81</v>
      </c>
      <c r="X27" s="96">
        <v>240110.07999999999</v>
      </c>
      <c r="Y27" s="96">
        <v>205522.18</v>
      </c>
      <c r="Z27" s="96">
        <v>179706.54</v>
      </c>
      <c r="AA27" s="96">
        <f>182061.88</f>
        <v>182061.88</v>
      </c>
      <c r="AB27" s="96">
        <f>174203.66</f>
        <v>174203.66</v>
      </c>
      <c r="AC27" s="96"/>
      <c r="AD27" s="96"/>
      <c r="AE27" s="45">
        <f t="shared" si="11"/>
        <v>1848479.5399999998</v>
      </c>
      <c r="AF27" s="212">
        <f t="shared" si="12"/>
        <v>1.3394689793981347E-2</v>
      </c>
    </row>
    <row r="28" spans="1:35">
      <c r="A28" s="201" t="s">
        <v>278</v>
      </c>
      <c r="B28" s="45">
        <v>8123962.6100000003</v>
      </c>
      <c r="C28" s="207">
        <f>B28/B34</f>
        <v>8.427784704541888E-2</v>
      </c>
      <c r="D28" s="45">
        <f>8712975.37</f>
        <v>8712975.3699999992</v>
      </c>
      <c r="E28" s="207">
        <f>D28/D34</f>
        <v>8.2693215574123374E-2</v>
      </c>
      <c r="F28" s="45">
        <v>8718239.5999999996</v>
      </c>
      <c r="G28" s="207">
        <f>F28/F34</f>
        <v>7.4923846036278885E-2</v>
      </c>
      <c r="H28" s="45">
        <v>9134531.9900000002</v>
      </c>
      <c r="I28" s="207">
        <f>H28/H34</f>
        <v>7.3902387432815492E-2</v>
      </c>
      <c r="J28" s="45">
        <f>11281097.36</f>
        <v>11281097.359999999</v>
      </c>
      <c r="K28" s="207">
        <f>J28/J34</f>
        <v>8.10277350093071E-2</v>
      </c>
      <c r="L28" s="45">
        <f t="shared" si="10"/>
        <v>14017349.748148147</v>
      </c>
      <c r="M28" s="207">
        <f>L28/L34</f>
        <v>7.9308044226198637E-2</v>
      </c>
      <c r="N28" s="208">
        <f t="shared" si="8"/>
        <v>14383739.566049382</v>
      </c>
      <c r="O28" s="208">
        <f t="shared" si="9"/>
        <v>14792945.049756829</v>
      </c>
      <c r="P28" s="209"/>
      <c r="Q28" s="94">
        <v>5</v>
      </c>
      <c r="R28" s="101" t="s">
        <v>133</v>
      </c>
      <c r="S28" s="96">
        <f>698271.56</f>
        <v>698271.56</v>
      </c>
      <c r="T28" s="96">
        <f>900797.26</f>
        <v>900797.26</v>
      </c>
      <c r="U28" s="96">
        <v>917020.1</v>
      </c>
      <c r="V28" s="96">
        <v>924215.98</v>
      </c>
      <c r="W28" s="96">
        <f>947015.05</f>
        <v>947015.05</v>
      </c>
      <c r="X28" s="96">
        <v>1046556.6</v>
      </c>
      <c r="Y28" s="96">
        <v>993938.39</v>
      </c>
      <c r="Z28" s="96">
        <v>1000517.1</v>
      </c>
      <c r="AA28" s="96">
        <f>1050715.75</f>
        <v>1050715.75</v>
      </c>
      <c r="AB28" s="96">
        <f>1055287.08</f>
        <v>1055287.08</v>
      </c>
      <c r="AC28" s="96"/>
      <c r="AD28" s="96"/>
      <c r="AE28" s="45">
        <f t="shared" si="11"/>
        <v>9534334.8699999992</v>
      </c>
      <c r="AF28" s="212">
        <f t="shared" si="12"/>
        <v>6.9088921576913681E-2</v>
      </c>
    </row>
    <row r="29" spans="1:35">
      <c r="A29" s="201" t="s">
        <v>279</v>
      </c>
      <c r="B29" s="45">
        <v>8191361.8700000001</v>
      </c>
      <c r="C29" s="207">
        <f>B29/B34</f>
        <v>8.4977045798286396E-2</v>
      </c>
      <c r="D29" s="45">
        <f>8881833.91</f>
        <v>8881833.9100000001</v>
      </c>
      <c r="E29" s="207">
        <f>D29/D34</f>
        <v>8.429582031668123E-2</v>
      </c>
      <c r="F29" s="45">
        <v>9251295.0899999999</v>
      </c>
      <c r="G29" s="207">
        <f>F29/F34</f>
        <v>7.9504881806568256E-2</v>
      </c>
      <c r="H29" s="45">
        <f>9036456.79</f>
        <v>9036456.7899999991</v>
      </c>
      <c r="I29" s="207">
        <f>H29/H34</f>
        <v>7.3108915864060181E-2</v>
      </c>
      <c r="J29" s="45">
        <v>11242671.82</v>
      </c>
      <c r="K29" s="207">
        <f>J29/J34</f>
        <v>8.0751739299550235E-2</v>
      </c>
      <c r="L29" s="45">
        <f t="shared" si="10"/>
        <v>14226762.077777777</v>
      </c>
      <c r="M29" s="207">
        <f>L29/L34</f>
        <v>8.049286750578985E-2</v>
      </c>
      <c r="N29" s="208">
        <f t="shared" si="8"/>
        <v>14585728.592592591</v>
      </c>
      <c r="O29" s="208">
        <f t="shared" si="9"/>
        <v>14876248.266778897</v>
      </c>
      <c r="P29" s="209"/>
      <c r="Q29" s="94">
        <v>6</v>
      </c>
      <c r="R29" s="101" t="s">
        <v>134</v>
      </c>
      <c r="S29" s="96">
        <f>262956.12</f>
        <v>262956.12</v>
      </c>
      <c r="T29" s="96">
        <f>306697.57</f>
        <v>306697.57</v>
      </c>
      <c r="U29" s="96">
        <v>302867.51</v>
      </c>
      <c r="V29" s="96">
        <v>313979.37</v>
      </c>
      <c r="W29" s="96">
        <f>281346.4</f>
        <v>281346.40000000002</v>
      </c>
      <c r="X29" s="96">
        <v>395284.5</v>
      </c>
      <c r="Y29" s="96">
        <v>291842.42</v>
      </c>
      <c r="Z29" s="96">
        <v>446003.69</v>
      </c>
      <c r="AA29" s="96">
        <f>253082.08</f>
        <v>253082.08</v>
      </c>
      <c r="AB29" s="96">
        <f>255618.51</f>
        <v>255618.51</v>
      </c>
      <c r="AC29" s="96"/>
      <c r="AD29" s="96"/>
      <c r="AE29" s="45">
        <f t="shared" si="11"/>
        <v>3109678.17</v>
      </c>
      <c r="AF29" s="212">
        <f t="shared" si="12"/>
        <v>2.2533749248999313E-2</v>
      </c>
    </row>
    <row r="30" spans="1:35">
      <c r="A30" s="201" t="s">
        <v>280</v>
      </c>
      <c r="B30" s="45">
        <f>7555140.76</f>
        <v>7555140.7599999998</v>
      </c>
      <c r="C30" s="207">
        <f>B30/B34</f>
        <v>7.8376899050977986E-2</v>
      </c>
      <c r="D30" s="45">
        <v>8405663.2300000004</v>
      </c>
      <c r="E30" s="207">
        <f>D30/D34</f>
        <v>7.9776573673692397E-2</v>
      </c>
      <c r="F30" s="45">
        <f>9019781.08</f>
        <v>9019781.0800000001</v>
      </c>
      <c r="G30" s="207">
        <f>F30/F34</f>
        <v>7.7515269128283798E-2</v>
      </c>
      <c r="H30" s="45">
        <f>10105595.49</f>
        <v>10105595.49</v>
      </c>
      <c r="I30" s="207">
        <f>H30/H34</f>
        <v>8.1758718887719711E-2</v>
      </c>
      <c r="J30" s="45">
        <f>10938610.35</f>
        <v>10938610.35</v>
      </c>
      <c r="K30" s="207">
        <f>J30/J34</f>
        <v>7.8567784012978675E-2</v>
      </c>
      <c r="L30" s="45">
        <f t="shared" si="10"/>
        <v>14248018.574074075</v>
      </c>
      <c r="M30" s="207">
        <f>L30/L34</f>
        <v>8.0613133545993601E-2</v>
      </c>
      <c r="N30" s="208">
        <f t="shared" si="8"/>
        <v>14770668.498024693</v>
      </c>
      <c r="O30" s="208">
        <f t="shared" si="9"/>
        <v>15170573.609726902</v>
      </c>
      <c r="P30" s="209"/>
      <c r="Q30" s="94">
        <v>7</v>
      </c>
      <c r="R30" s="101" t="s">
        <v>135</v>
      </c>
      <c r="S30" s="96">
        <f>57439.42</f>
        <v>57439.42</v>
      </c>
      <c r="T30" s="96">
        <f>61104.79</f>
        <v>61104.79</v>
      </c>
      <c r="U30" s="96">
        <v>78507.41</v>
      </c>
      <c r="V30" s="96">
        <v>80939.03</v>
      </c>
      <c r="W30" s="96">
        <f>82312.61</f>
        <v>82312.61</v>
      </c>
      <c r="X30" s="96">
        <v>103928.27</v>
      </c>
      <c r="Y30" s="96">
        <v>94089.47</v>
      </c>
      <c r="Z30" s="96">
        <v>84931.78</v>
      </c>
      <c r="AA30" s="96">
        <f>103994.41</f>
        <v>103994.41</v>
      </c>
      <c r="AB30" s="96">
        <f>87924.99</f>
        <v>87924.99</v>
      </c>
      <c r="AC30" s="96"/>
      <c r="AD30" s="96"/>
      <c r="AE30" s="45">
        <f t="shared" si="11"/>
        <v>835172.18</v>
      </c>
      <c r="AF30" s="212">
        <f t="shared" si="12"/>
        <v>6.051931889742828E-3</v>
      </c>
    </row>
    <row r="31" spans="1:35">
      <c r="A31" s="201" t="s">
        <v>282</v>
      </c>
      <c r="B31" s="45">
        <v>7682619.8700000001</v>
      </c>
      <c r="C31" s="207">
        <f>B31/B34</f>
        <v>7.9699365124472898E-2</v>
      </c>
      <c r="D31" s="45">
        <v>8594186.0700000003</v>
      </c>
      <c r="E31" s="207">
        <f>D31/D34</f>
        <v>8.1565808600539885E-2</v>
      </c>
      <c r="F31" s="45">
        <f>9257306.49</f>
        <v>9257306.4900000002</v>
      </c>
      <c r="G31" s="207">
        <f>F31/F34</f>
        <v>7.9556543291997323E-2</v>
      </c>
      <c r="H31" s="45">
        <v>9996580.7100000009</v>
      </c>
      <c r="I31" s="207">
        <f>H31/H34</f>
        <v>8.0876741298032268E-2</v>
      </c>
      <c r="J31" s="45">
        <v>11341397.140000001</v>
      </c>
      <c r="K31" s="207">
        <f>J31/J34</f>
        <v>8.146084487788105E-2</v>
      </c>
      <c r="L31" s="45">
        <f t="shared" si="10"/>
        <v>14514618.67037037</v>
      </c>
      <c r="M31" s="207">
        <f>L31/L34</f>
        <v>8.2121516557594545E-2</v>
      </c>
      <c r="N31" s="208">
        <f t="shared" si="8"/>
        <v>15036634.336790124</v>
      </c>
      <c r="O31" s="208">
        <f t="shared" si="9"/>
        <v>15420979.047624392</v>
      </c>
      <c r="P31" s="209"/>
      <c r="Q31" s="94">
        <v>8</v>
      </c>
      <c r="R31" s="101" t="s">
        <v>136</v>
      </c>
      <c r="S31" s="96">
        <f>958534.61</f>
        <v>958534.61</v>
      </c>
      <c r="T31" s="96">
        <f>850858.73</f>
        <v>850858.73</v>
      </c>
      <c r="U31" s="96">
        <v>897542.71</v>
      </c>
      <c r="V31" s="96">
        <v>961339.85</v>
      </c>
      <c r="W31" s="96">
        <f>1051243.21</f>
        <v>1051243.21</v>
      </c>
      <c r="X31" s="96">
        <v>1175630</v>
      </c>
      <c r="Y31" s="96">
        <v>958121.39</v>
      </c>
      <c r="Z31" s="96">
        <v>912767.91</v>
      </c>
      <c r="AA31" s="96">
        <f>952409.82</f>
        <v>952409.82</v>
      </c>
      <c r="AB31" s="96">
        <v>2880576.99</v>
      </c>
      <c r="AC31" s="96"/>
      <c r="AD31" s="96"/>
      <c r="AE31" s="45">
        <f t="shared" si="11"/>
        <v>11599025.219999999</v>
      </c>
      <c r="AF31" s="212">
        <f t="shared" si="12"/>
        <v>8.4050345904540677E-2</v>
      </c>
    </row>
    <row r="32" spans="1:35">
      <c r="A32" s="201" t="s">
        <v>283</v>
      </c>
      <c r="B32" s="45">
        <v>8077679.6399999997</v>
      </c>
      <c r="C32" s="207">
        <f>B32/B34</f>
        <v>8.3797708318331873E-2</v>
      </c>
      <c r="D32" s="45">
        <v>8884947.5199999996</v>
      </c>
      <c r="E32" s="207">
        <f>D32/D34</f>
        <v>8.4325371005396624E-2</v>
      </c>
      <c r="F32" s="45">
        <v>9510627.3300000001</v>
      </c>
      <c r="G32" s="207">
        <f>F32/F34</f>
        <v>8.1733562103678159E-2</v>
      </c>
      <c r="H32" s="45">
        <f>10537885.72</f>
        <v>10537885.720000001</v>
      </c>
      <c r="I32" s="207">
        <f>H32/H34</f>
        <v>8.5256137266226148E-2</v>
      </c>
      <c r="J32" s="45">
        <v>11405835.470000001</v>
      </c>
      <c r="K32" s="207">
        <f>J32/J34</f>
        <v>8.1923680341582983E-2</v>
      </c>
      <c r="L32" s="45">
        <f t="shared" si="10"/>
        <v>14940480.014814813</v>
      </c>
      <c r="M32" s="207">
        <f>L32/L34</f>
        <v>8.4530975616992729E-2</v>
      </c>
      <c r="N32" s="208">
        <f t="shared" si="8"/>
        <v>15464942.844938273</v>
      </c>
      <c r="O32" s="208">
        <f t="shared" si="9"/>
        <v>15863376.984773664</v>
      </c>
      <c r="P32" s="209"/>
      <c r="Q32" s="94">
        <v>9</v>
      </c>
      <c r="R32" s="101" t="s">
        <v>137</v>
      </c>
      <c r="S32" s="96">
        <f>2409037.59</f>
        <v>2409037.59</v>
      </c>
      <c r="T32" s="96">
        <f>3390965.27</f>
        <v>3390965.27</v>
      </c>
      <c r="U32" s="96">
        <v>4453096.78</v>
      </c>
      <c r="V32" s="96">
        <v>3650943.12</v>
      </c>
      <c r="W32" s="96">
        <f>4451436.12</f>
        <v>4451436.12</v>
      </c>
      <c r="X32" s="96">
        <v>5321971.29</v>
      </c>
      <c r="Y32" s="96">
        <v>4410079.78</v>
      </c>
      <c r="Z32" s="96">
        <v>4391051.7699999996</v>
      </c>
      <c r="AA32" s="96">
        <f>4925784.47</f>
        <v>4925784.47</v>
      </c>
      <c r="AB32" s="96">
        <v>4440607.91</v>
      </c>
      <c r="AC32" s="96"/>
      <c r="AD32" s="96"/>
      <c r="AE32" s="45">
        <f t="shared" si="11"/>
        <v>41844974.100000009</v>
      </c>
      <c r="AF32" s="212">
        <f t="shared" si="12"/>
        <v>0.30322242436434216</v>
      </c>
    </row>
    <row r="33" spans="1:33">
      <c r="A33" s="201" t="s">
        <v>284</v>
      </c>
      <c r="B33" s="45">
        <v>12634997.68</v>
      </c>
      <c r="C33" s="207">
        <f>B33/B34</f>
        <v>0.13107524652852412</v>
      </c>
      <c r="D33" s="45">
        <v>13392877.380000001</v>
      </c>
      <c r="E33" s="207">
        <f>D33/D34</f>
        <v>0.12710928808032895</v>
      </c>
      <c r="F33" s="45">
        <f>15787827.89+865628.68</f>
        <v>16653456.57</v>
      </c>
      <c r="G33" s="207">
        <f>F33/F34</f>
        <v>0.14311845891715769</v>
      </c>
      <c r="H33" s="45">
        <v>18897584.34</v>
      </c>
      <c r="I33" s="207">
        <f>H33/H34</f>
        <v>0.15288978143246798</v>
      </c>
      <c r="J33" s="45">
        <f>20493779.25</f>
        <v>20493779.25</v>
      </c>
      <c r="K33" s="207">
        <f>J33/J34</f>
        <v>0.14719884612433098</v>
      </c>
      <c r="L33" s="45">
        <f t="shared" si="10"/>
        <v>25717665.755555555</v>
      </c>
      <c r="M33" s="207">
        <f>L33/L34</f>
        <v>0.14550666208536683</v>
      </c>
      <c r="N33" s="208">
        <f t="shared" si="8"/>
        <v>27254161.971851852</v>
      </c>
      <c r="O33" s="208">
        <f t="shared" si="9"/>
        <v>27988845.853759825</v>
      </c>
      <c r="P33" s="209"/>
      <c r="Q33" s="94">
        <v>10</v>
      </c>
      <c r="R33" s="101" t="s">
        <v>138</v>
      </c>
      <c r="S33" s="96">
        <f>2160274.39</f>
        <v>2160274.39</v>
      </c>
      <c r="T33" s="96">
        <f>2485721.26</f>
        <v>2485721.2599999998</v>
      </c>
      <c r="U33" s="96">
        <v>2241731.09</v>
      </c>
      <c r="V33" s="96">
        <v>2969516.94</v>
      </c>
      <c r="W33" s="96">
        <f>2755897.41</f>
        <v>2755897.41</v>
      </c>
      <c r="X33" s="96">
        <v>3209993.33</v>
      </c>
      <c r="Y33" s="96">
        <v>3054426.38</v>
      </c>
      <c r="Z33" s="96">
        <v>2842612.35</v>
      </c>
      <c r="AA33" s="96">
        <f>2613135</f>
        <v>2613135</v>
      </c>
      <c r="AB33" s="96">
        <v>2593923.31</v>
      </c>
      <c r="AC33" s="96"/>
      <c r="AD33" s="96"/>
      <c r="AE33" s="45">
        <f t="shared" si="11"/>
        <v>26927231.460000001</v>
      </c>
      <c r="AF33" s="212">
        <f t="shared" si="12"/>
        <v>0.19512356215608179</v>
      </c>
    </row>
    <row r="34" spans="1:33">
      <c r="A34" s="222" t="s">
        <v>251</v>
      </c>
      <c r="B34" s="208">
        <f>SUM(B22:B33)</f>
        <v>96394994.590000004</v>
      </c>
      <c r="C34" s="207">
        <f>B34/B34</f>
        <v>1</v>
      </c>
      <c r="D34" s="208">
        <f>SUM(D22:D33)</f>
        <v>105365056.96999998</v>
      </c>
      <c r="E34" s="207">
        <f>D34/D34</f>
        <v>1</v>
      </c>
      <c r="F34" s="208">
        <f>SUM(F22:F33)</f>
        <v>116361346.37</v>
      </c>
      <c r="G34" s="207">
        <f>F34/F34</f>
        <v>1</v>
      </c>
      <c r="H34" s="208">
        <f>SUM(H22:H33)</f>
        <v>123602664.37</v>
      </c>
      <c r="I34" s="207">
        <f>H34/H34</f>
        <v>1</v>
      </c>
      <c r="J34" s="208">
        <f>SUM(J22:J33)</f>
        <v>139225135.18000001</v>
      </c>
      <c r="K34" s="207">
        <f>J34/J34</f>
        <v>1</v>
      </c>
      <c r="L34" s="208">
        <f>SUM(L22:L33)</f>
        <v>176745623.78777778</v>
      </c>
      <c r="M34" s="207">
        <f>L34/L34</f>
        <v>1</v>
      </c>
      <c r="N34" s="208">
        <f>SUM(N22:N33)</f>
        <v>184578327.50384259</v>
      </c>
      <c r="O34" s="208">
        <f>SUM(O22:O33)</f>
        <v>189136894.19443044</v>
      </c>
      <c r="P34" s="209"/>
      <c r="Q34" s="94">
        <v>11</v>
      </c>
      <c r="R34" s="101" t="s">
        <v>139</v>
      </c>
      <c r="S34" s="96">
        <f>241258.57</f>
        <v>241258.57</v>
      </c>
      <c r="T34" s="96">
        <f>316961.69</f>
        <v>316961.69</v>
      </c>
      <c r="U34" s="96">
        <v>355543.58</v>
      </c>
      <c r="V34" s="96">
        <v>341250.44</v>
      </c>
      <c r="W34" s="96">
        <f>365911.56</f>
        <v>365911.56</v>
      </c>
      <c r="X34" s="96">
        <v>435485.05</v>
      </c>
      <c r="Y34" s="96">
        <v>428333.81</v>
      </c>
      <c r="Z34" s="96">
        <v>343437.32</v>
      </c>
      <c r="AA34" s="96">
        <f>353007.18</f>
        <v>353007.18</v>
      </c>
      <c r="AB34" s="96">
        <f>378621.69</f>
        <v>378621.69</v>
      </c>
      <c r="AC34" s="96"/>
      <c r="AD34" s="96"/>
      <c r="AE34" s="45">
        <f t="shared" si="11"/>
        <v>3559810.89</v>
      </c>
      <c r="AF34" s="212">
        <f t="shared" si="12"/>
        <v>2.5795558763277771E-2</v>
      </c>
    </row>
    <row r="35" spans="1:33">
      <c r="A35" s="880" t="s">
        <v>286</v>
      </c>
      <c r="B35" s="881"/>
      <c r="C35" s="223"/>
      <c r="D35" s="212">
        <v>6.0015320688915311E-2</v>
      </c>
      <c r="E35" s="215"/>
      <c r="F35" s="212">
        <v>0.20274498470762234</v>
      </c>
      <c r="G35" s="215"/>
      <c r="H35" s="212">
        <v>0.15953984091624773</v>
      </c>
      <c r="I35" s="215"/>
      <c r="J35" s="212">
        <v>6.1875221132593451E-2</v>
      </c>
      <c r="K35" s="215"/>
      <c r="L35" s="212">
        <v>0.11385731154850591</v>
      </c>
      <c r="M35" s="215"/>
      <c r="N35" s="212">
        <v>8.5121633034852109E-2</v>
      </c>
      <c r="O35" s="212">
        <v>6.910798377128255E-2</v>
      </c>
      <c r="P35" s="209"/>
      <c r="Q35" s="94">
        <v>12</v>
      </c>
      <c r="R35" s="101" t="s">
        <v>140</v>
      </c>
      <c r="S35" s="96">
        <f>95023.54</f>
        <v>95023.54</v>
      </c>
      <c r="T35" s="96">
        <f>108772.56</f>
        <v>108772.56</v>
      </c>
      <c r="U35" s="96">
        <v>141731.21</v>
      </c>
      <c r="V35" s="96">
        <v>137306</v>
      </c>
      <c r="W35" s="96">
        <f>321894.49</f>
        <v>321894.49</v>
      </c>
      <c r="X35" s="96">
        <v>245931.24</v>
      </c>
      <c r="Y35" s="96">
        <v>124085.27</v>
      </c>
      <c r="Z35" s="96">
        <v>122916.03</v>
      </c>
      <c r="AA35" s="96">
        <f>364499.17</f>
        <v>364499.17</v>
      </c>
      <c r="AB35" s="96">
        <f>148490.59</f>
        <v>148490.59</v>
      </c>
      <c r="AC35" s="96"/>
      <c r="AD35" s="96"/>
      <c r="AE35" s="45">
        <f t="shared" si="11"/>
        <v>1810650.1</v>
      </c>
      <c r="AF35" s="212">
        <f t="shared" si="12"/>
        <v>1.312056524842104E-2</v>
      </c>
    </row>
    <row r="36" spans="1:33">
      <c r="A36" s="201" t="s">
        <v>297</v>
      </c>
      <c r="B36" s="224">
        <f>B17-B34</f>
        <v>8125761.4799999893</v>
      </c>
      <c r="C36" s="207"/>
      <c r="D36" s="224">
        <f>D17-D34</f>
        <v>-11138555.429999992</v>
      </c>
      <c r="E36" s="224"/>
      <c r="F36" s="224">
        <f>F17-F34</f>
        <v>-323055.85000000894</v>
      </c>
      <c r="G36" s="224"/>
      <c r="H36" s="224">
        <f>H17-H34</f>
        <v>263135.53000000119</v>
      </c>
      <c r="I36" s="224"/>
      <c r="J36" s="224">
        <f>J17-J34</f>
        <v>14663524.25</v>
      </c>
      <c r="K36" s="224"/>
      <c r="L36" s="224">
        <f>L17-L34</f>
        <v>3461881.0880237222</v>
      </c>
      <c r="M36" s="224"/>
      <c r="N36" s="224">
        <f>N17-N34</f>
        <v>-2710074.5762865543</v>
      </c>
      <c r="O36" s="224">
        <f>O17-O34</f>
        <v>13978400.327429146</v>
      </c>
      <c r="P36" s="209"/>
      <c r="Q36" s="94">
        <v>13</v>
      </c>
      <c r="R36" s="101" t="s">
        <v>141</v>
      </c>
      <c r="S36" s="96">
        <f>293420.09</f>
        <v>293420.09000000003</v>
      </c>
      <c r="T36" s="96">
        <f>266651.89</f>
        <v>266651.89</v>
      </c>
      <c r="U36" s="96">
        <v>264776.15000000002</v>
      </c>
      <c r="V36" s="96">
        <v>375243.85</v>
      </c>
      <c r="W36" s="96">
        <f>172346.66</f>
        <v>172346.66</v>
      </c>
      <c r="X36" s="96">
        <v>255590.5</v>
      </c>
      <c r="Y36" s="96">
        <v>284184.78999999998</v>
      </c>
      <c r="Z36" s="96">
        <v>282878.43</v>
      </c>
      <c r="AA36" s="96">
        <f>276570.92</f>
        <v>276570.92</v>
      </c>
      <c r="AB36" s="96">
        <f>268994.63</f>
        <v>268994.63</v>
      </c>
      <c r="AC36" s="96"/>
      <c r="AD36" s="96"/>
      <c r="AE36" s="45">
        <f t="shared" si="11"/>
        <v>2740657.9099999997</v>
      </c>
      <c r="AF36" s="212">
        <f t="shared" si="12"/>
        <v>1.9859707257496206E-2</v>
      </c>
    </row>
    <row r="37" spans="1:33">
      <c r="L37" s="61"/>
      <c r="P37" s="209"/>
      <c r="Q37" s="94">
        <v>14</v>
      </c>
      <c r="R37" s="101" t="s">
        <v>285</v>
      </c>
      <c r="S37" s="96"/>
      <c r="T37" s="96"/>
      <c r="U37" s="96"/>
      <c r="V37" s="96"/>
      <c r="W37" s="96"/>
      <c r="X37" s="96"/>
      <c r="Y37" s="96"/>
      <c r="Z37" s="96"/>
      <c r="AA37" s="96"/>
      <c r="AB37" s="96"/>
      <c r="AC37" s="96"/>
      <c r="AD37" s="96"/>
      <c r="AE37" s="45">
        <f t="shared" si="11"/>
        <v>0</v>
      </c>
      <c r="AF37" s="212">
        <f t="shared" si="12"/>
        <v>0</v>
      </c>
    </row>
    <row r="38" spans="1:33">
      <c r="P38" s="209"/>
      <c r="Q38" s="94">
        <v>15</v>
      </c>
      <c r="R38" s="101" t="s">
        <v>142</v>
      </c>
      <c r="S38" s="96">
        <f>1954791.97</f>
        <v>1954791.97</v>
      </c>
      <c r="T38" s="96">
        <f>2261489.49</f>
        <v>2261489.4900000002</v>
      </c>
      <c r="U38" s="96">
        <v>2282313.12</v>
      </c>
      <c r="V38" s="96">
        <v>2290418.31</v>
      </c>
      <c r="W38" s="96">
        <f>2295758.82</f>
        <v>2295758.8199999998</v>
      </c>
      <c r="X38" s="96">
        <v>3580781.88</v>
      </c>
      <c r="Y38" s="96">
        <v>2403548.84</v>
      </c>
      <c r="Z38" s="96">
        <v>2412757.2799999998</v>
      </c>
      <c r="AA38" s="96">
        <f>2503083.55</f>
        <v>2503083.5499999998</v>
      </c>
      <c r="AB38" s="96">
        <f>2514623.29</f>
        <v>2514623.29</v>
      </c>
      <c r="AC38" s="96"/>
      <c r="AD38" s="96"/>
      <c r="AE38" s="45">
        <f t="shared" si="11"/>
        <v>24499566.550000001</v>
      </c>
      <c r="AF38" s="212">
        <f t="shared" si="12"/>
        <v>0.17753190496458068</v>
      </c>
      <c r="AG38" s="196"/>
    </row>
    <row r="39" spans="1:33">
      <c r="B39" s="225" t="s">
        <v>257</v>
      </c>
      <c r="C39" s="225" t="s">
        <v>298</v>
      </c>
      <c r="D39" s="94" t="s">
        <v>655</v>
      </c>
      <c r="F39" s="94" t="s">
        <v>299</v>
      </c>
      <c r="H39" s="94" t="s">
        <v>656</v>
      </c>
      <c r="I39" s="225" t="s">
        <v>298</v>
      </c>
      <c r="J39" s="94" t="s">
        <v>299</v>
      </c>
      <c r="L39" s="225" t="s">
        <v>300</v>
      </c>
      <c r="P39" s="209"/>
      <c r="Q39" s="94">
        <v>16</v>
      </c>
      <c r="R39" s="101" t="s">
        <v>143</v>
      </c>
      <c r="S39" s="96">
        <f>229624.39</f>
        <v>229624.39</v>
      </c>
      <c r="T39" s="96">
        <v>196203.58</v>
      </c>
      <c r="U39" s="96">
        <v>250913.07</v>
      </c>
      <c r="V39" s="96">
        <v>251135.32</v>
      </c>
      <c r="W39" s="96">
        <f>287922.25</f>
        <v>287922.25</v>
      </c>
      <c r="X39" s="96">
        <v>380186.83</v>
      </c>
      <c r="Y39" s="96">
        <v>257995.85</v>
      </c>
      <c r="Z39" s="96">
        <v>43507.75</v>
      </c>
      <c r="AA39" s="96">
        <f>64120.51</f>
        <v>64120.51</v>
      </c>
      <c r="AB39" s="96">
        <f>791949.92</f>
        <v>791949.92</v>
      </c>
      <c r="AC39" s="96"/>
      <c r="AD39" s="96"/>
      <c r="AE39" s="45">
        <f t="shared" si="11"/>
        <v>2753559.47</v>
      </c>
      <c r="AF39" s="212">
        <f t="shared" si="12"/>
        <v>1.9953196198173605E-2</v>
      </c>
    </row>
    <row r="40" spans="1:33">
      <c r="B40" s="94" t="s">
        <v>274</v>
      </c>
      <c r="C40" s="226" t="s">
        <v>275</v>
      </c>
      <c r="D40" s="100" t="s">
        <v>301</v>
      </c>
      <c r="F40" s="94" t="s">
        <v>302</v>
      </c>
      <c r="H40" s="94" t="s">
        <v>303</v>
      </c>
      <c r="I40" s="226" t="s">
        <v>275</v>
      </c>
      <c r="J40" s="94" t="s">
        <v>232</v>
      </c>
      <c r="L40" s="94" t="s">
        <v>304</v>
      </c>
      <c r="P40" s="209"/>
      <c r="Q40" s="217" t="s">
        <v>288</v>
      </c>
      <c r="R40" s="101" t="s">
        <v>273</v>
      </c>
      <c r="S40" s="45">
        <f t="shared" ref="S40:AC40" si="13">SUM(S24:S39)</f>
        <v>10042746.34</v>
      </c>
      <c r="T40" s="45">
        <f t="shared" si="13"/>
        <v>11932025.470000001</v>
      </c>
      <c r="U40" s="45">
        <f t="shared" si="13"/>
        <v>12995713.240000002</v>
      </c>
      <c r="V40" s="45">
        <f t="shared" si="13"/>
        <v>13061736.99</v>
      </c>
      <c r="W40" s="45">
        <f t="shared" si="13"/>
        <v>14078822.640000001</v>
      </c>
      <c r="X40" s="45">
        <f t="shared" si="13"/>
        <v>17263926.669999998</v>
      </c>
      <c r="Y40" s="45">
        <f t="shared" si="13"/>
        <v>14170674.459999999</v>
      </c>
      <c r="Z40" s="45">
        <f t="shared" si="13"/>
        <v>13856574.899999999</v>
      </c>
      <c r="AA40" s="45">
        <f t="shared" si="13"/>
        <v>14300806.17</v>
      </c>
      <c r="AB40" s="45">
        <f>SUM(AB24:AB39)</f>
        <v>16297895.010000004</v>
      </c>
      <c r="AC40" s="45">
        <f t="shared" si="13"/>
        <v>0</v>
      </c>
      <c r="AD40" s="45">
        <f>SUM(AD24:AD39)</f>
        <v>0</v>
      </c>
      <c r="AE40" s="45">
        <f>SUM(AE24:AE39)</f>
        <v>138000921.88999999</v>
      </c>
      <c r="AF40" s="212">
        <f t="shared" si="12"/>
        <v>1</v>
      </c>
    </row>
    <row r="41" spans="1:33">
      <c r="B41" s="225" t="s">
        <v>113</v>
      </c>
      <c r="C41" s="45">
        <f>D41/$D$53</f>
        <v>9.045268375256342E-2</v>
      </c>
      <c r="D41" s="45">
        <f>26446557.48-D42</f>
        <v>13016876.310000001</v>
      </c>
      <c r="F41" s="175">
        <f>D41-L5</f>
        <v>1361989.3499999996</v>
      </c>
      <c r="H41" s="45">
        <f>21974771.81-H42</f>
        <v>10042746.339999998</v>
      </c>
      <c r="I41" s="227">
        <f>H41/$H$53</f>
        <v>7.2773038052637296E-2</v>
      </c>
      <c r="J41" s="175">
        <f>H41-L22</f>
        <v>0</v>
      </c>
      <c r="L41" s="175">
        <f>D41-H41</f>
        <v>2974129.9700000025</v>
      </c>
      <c r="O41" s="118"/>
      <c r="R41" s="196"/>
      <c r="S41" s="196">
        <f>S40-$H41</f>
        <v>0</v>
      </c>
      <c r="T41" s="196">
        <f>T40-H42</f>
        <v>0</v>
      </c>
      <c r="U41" s="196">
        <f>U40-$H43</f>
        <v>0</v>
      </c>
      <c r="V41" s="196">
        <f>V40-$H44</f>
        <v>0</v>
      </c>
      <c r="W41" s="196">
        <f>W40-$H45</f>
        <v>0</v>
      </c>
      <c r="X41" s="196">
        <f>X40-$H46</f>
        <v>0</v>
      </c>
      <c r="Y41" s="196">
        <f>Y40-$H47</f>
        <v>0</v>
      </c>
      <c r="Z41" s="196">
        <f>Z40-$H48</f>
        <v>0</v>
      </c>
      <c r="AA41" s="196">
        <f>AA40-$H49</f>
        <v>0</v>
      </c>
      <c r="AB41" s="196">
        <f>AB40-$H50</f>
        <v>0</v>
      </c>
      <c r="AC41" s="196">
        <f>AC40-$H51</f>
        <v>0</v>
      </c>
      <c r="AD41" s="196">
        <f>AD40-$H52</f>
        <v>0</v>
      </c>
      <c r="AE41" s="196">
        <f>AE40-$H53</f>
        <v>0</v>
      </c>
      <c r="AF41" s="86"/>
    </row>
    <row r="42" spans="1:33">
      <c r="B42" s="225" t="s">
        <v>114</v>
      </c>
      <c r="C42" s="45">
        <f t="shared" ref="C42:C51" si="14">D42/$D$53</f>
        <v>9.3321214309653816E-2</v>
      </c>
      <c r="D42" s="45">
        <f>13429681.17</f>
        <v>13429681.17</v>
      </c>
      <c r="F42" s="175">
        <f t="shared" ref="F42:F52" si="15">D42-L6</f>
        <v>1521621.5999999996</v>
      </c>
      <c r="H42" s="45">
        <f>11932025.47</f>
        <v>11932025.470000001</v>
      </c>
      <c r="I42" s="227">
        <f t="shared" ref="I42:I52" si="16">H42/$H$53</f>
        <v>8.6463375074486606E-2</v>
      </c>
      <c r="J42" s="175">
        <f t="shared" ref="J42:J52" si="17">H42-L23</f>
        <v>0</v>
      </c>
      <c r="L42" s="175">
        <f>D42-H42</f>
        <v>1497655.6999999993</v>
      </c>
      <c r="O42" s="118"/>
      <c r="S42" s="106" t="s">
        <v>305</v>
      </c>
      <c r="W42" s="106" t="s">
        <v>654</v>
      </c>
      <c r="Y42" s="60"/>
      <c r="AE42" s="380">
        <f>85045512.97</f>
        <v>85045512.969999999</v>
      </c>
    </row>
    <row r="43" spans="1:33">
      <c r="B43" s="225" t="s">
        <v>115</v>
      </c>
      <c r="C43" s="45">
        <f t="shared" si="14"/>
        <v>0.10415581358782065</v>
      </c>
      <c r="D43" s="45">
        <f>14988868.06</f>
        <v>14988868.060000001</v>
      </c>
      <c r="F43" s="175">
        <f>D43-L7</f>
        <v>703521.71267175674</v>
      </c>
      <c r="H43" s="45">
        <v>12995713.24</v>
      </c>
      <c r="I43" s="227">
        <f t="shared" si="16"/>
        <v>9.4171205974687852E-2</v>
      </c>
      <c r="J43" s="175">
        <f>H43-L24</f>
        <v>-1307338.9081481453</v>
      </c>
      <c r="L43" s="175">
        <f>D43-H43</f>
        <v>1993154.8200000003</v>
      </c>
      <c r="O43" s="118"/>
      <c r="P43" s="228"/>
      <c r="Q43" s="229"/>
      <c r="R43" s="230"/>
      <c r="S43" s="230" t="s">
        <v>113</v>
      </c>
      <c r="T43" s="94" t="s">
        <v>114</v>
      </c>
      <c r="U43" s="94" t="s">
        <v>115</v>
      </c>
      <c r="V43" s="94" t="s">
        <v>116</v>
      </c>
      <c r="W43" s="94" t="s">
        <v>276</v>
      </c>
      <c r="X43" s="94" t="s">
        <v>277</v>
      </c>
      <c r="Y43" s="94" t="s">
        <v>278</v>
      </c>
      <c r="Z43" s="94" t="s">
        <v>279</v>
      </c>
      <c r="AA43" s="94" t="s">
        <v>280</v>
      </c>
      <c r="AB43" s="94" t="s">
        <v>282</v>
      </c>
      <c r="AC43" s="94" t="s">
        <v>283</v>
      </c>
      <c r="AD43" s="94" t="s">
        <v>284</v>
      </c>
      <c r="AE43" s="94" t="s">
        <v>273</v>
      </c>
    </row>
    <row r="44" spans="1:33">
      <c r="B44" s="225" t="s">
        <v>116</v>
      </c>
      <c r="C44" s="45">
        <f>D44/$D$53</f>
        <v>9.9770877776923006E-2</v>
      </c>
      <c r="D44" s="45">
        <v>14357840.16</v>
      </c>
      <c r="F44" s="175">
        <f t="shared" si="15"/>
        <v>-708212.01938931271</v>
      </c>
      <c r="H44" s="45">
        <v>13061736.99</v>
      </c>
      <c r="I44" s="227">
        <f t="shared" si="16"/>
        <v>9.46496357496181E-2</v>
      </c>
      <c r="J44" s="175">
        <f t="shared" si="17"/>
        <v>-866900.16185185127</v>
      </c>
      <c r="L44" s="175">
        <f>D44-H44</f>
        <v>1296103.17</v>
      </c>
      <c r="O44" s="61"/>
      <c r="P44" s="231" t="s">
        <v>306</v>
      </c>
      <c r="Q44" s="232" t="s">
        <v>307</v>
      </c>
      <c r="R44" s="233"/>
      <c r="S44" s="234">
        <f>SUM(S45:S47)</f>
        <v>10193991.731193317</v>
      </c>
      <c r="T44" s="234">
        <f t="shared" ref="T44:AC44" si="18">SUM(T45:T47)</f>
        <v>10407981.66386467</v>
      </c>
      <c r="U44" s="234">
        <f t="shared" si="18"/>
        <v>12417343.724875033</v>
      </c>
      <c r="V44" s="234">
        <f t="shared" si="18"/>
        <v>13077222.328800164</v>
      </c>
      <c r="W44" s="234">
        <f t="shared" si="18"/>
        <v>13171077.775264433</v>
      </c>
      <c r="X44" s="234">
        <f t="shared" si="18"/>
        <v>12393976.128239878</v>
      </c>
      <c r="Y44" s="234">
        <f t="shared" si="18"/>
        <v>14256486.111009941</v>
      </c>
      <c r="Z44" s="234">
        <f t="shared" si="18"/>
        <v>12471007.154593259</v>
      </c>
      <c r="AA44" s="234">
        <f t="shared" si="18"/>
        <v>12073043.301833395</v>
      </c>
      <c r="AB44" s="234">
        <f t="shared" si="18"/>
        <v>13221346.005859956</v>
      </c>
      <c r="AC44" s="234">
        <f t="shared" si="18"/>
        <v>12645423.133467343</v>
      </c>
      <c r="AD44" s="234">
        <f>SUM(AD45:AD47)</f>
        <v>20103204.870998599</v>
      </c>
      <c r="AE44" s="234">
        <f>SUM(AE45:AE47)</f>
        <v>156432103.92999998</v>
      </c>
    </row>
    <row r="45" spans="1:33">
      <c r="B45" s="225" t="s">
        <v>276</v>
      </c>
      <c r="C45" s="45">
        <f t="shared" si="14"/>
        <v>0.1131940391989161</v>
      </c>
      <c r="D45" s="45">
        <f>16289542.18</f>
        <v>16289542.18</v>
      </c>
      <c r="F45" s="175">
        <f t="shared" si="15"/>
        <v>1112449.1303816792</v>
      </c>
      <c r="H45" s="45">
        <f>14078822.64</f>
        <v>14078822.640000001</v>
      </c>
      <c r="I45" s="227">
        <f t="shared" si="16"/>
        <v>0.10201977238400026</v>
      </c>
      <c r="J45" s="175">
        <f t="shared" si="17"/>
        <v>44889.902962964028</v>
      </c>
      <c r="L45" s="175">
        <f>D45-H45</f>
        <v>2210719.5399999991</v>
      </c>
      <c r="P45" s="101" t="s">
        <v>308</v>
      </c>
      <c r="Q45" s="235" t="s">
        <v>309</v>
      </c>
      <c r="R45" s="236"/>
      <c r="S45" s="234">
        <f t="shared" ref="S45:AD45" si="19">119478722.02*S21</f>
        <v>7785902.469677439</v>
      </c>
      <c r="T45" s="234">
        <f t="shared" si="19"/>
        <v>7949342.3457540274</v>
      </c>
      <c r="U45" s="234">
        <f t="shared" si="19"/>
        <v>9484040.1801091824</v>
      </c>
      <c r="V45" s="234">
        <f t="shared" si="19"/>
        <v>9988038.0827430058</v>
      </c>
      <c r="W45" s="234">
        <f t="shared" si="19"/>
        <v>10059722.401475849</v>
      </c>
      <c r="X45" s="234">
        <f t="shared" si="19"/>
        <v>9466192.62508367</v>
      </c>
      <c r="Y45" s="234">
        <f t="shared" si="19"/>
        <v>10888728.708792144</v>
      </c>
      <c r="Z45" s="234">
        <f t="shared" si="19"/>
        <v>9525026.8947340325</v>
      </c>
      <c r="AA45" s="234">
        <f t="shared" si="19"/>
        <v>9221072.5826499797</v>
      </c>
      <c r="AB45" s="234">
        <f t="shared" si="19"/>
        <v>10098115.952408638</v>
      </c>
      <c r="AC45" s="234">
        <f t="shared" si="19"/>
        <v>9658241.2269088887</v>
      </c>
      <c r="AD45" s="234">
        <f t="shared" si="19"/>
        <v>15354298.549663134</v>
      </c>
      <c r="AE45" s="45">
        <f>SUM(S45:AD45)</f>
        <v>119478722.01999998</v>
      </c>
      <c r="AF45" s="118"/>
    </row>
    <row r="46" spans="1:33">
      <c r="B46" s="225" t="s">
        <v>277</v>
      </c>
      <c r="C46" s="45">
        <f t="shared" si="14"/>
        <v>0.10673514074244386</v>
      </c>
      <c r="D46" s="45">
        <f>15360054.2</f>
        <v>15360054.199999999</v>
      </c>
      <c r="F46" s="175">
        <f t="shared" si="15"/>
        <v>1102354.1786259543</v>
      </c>
      <c r="H46" s="45">
        <f>17263926.67</f>
        <v>17263926.670000002</v>
      </c>
      <c r="I46" s="227">
        <f t="shared" si="16"/>
        <v>0.12510008218467561</v>
      </c>
      <c r="J46" s="175">
        <f>H46-L27</f>
        <v>2423591.570000004</v>
      </c>
      <c r="L46" s="175">
        <f t="shared" ref="L46:L52" si="20">D46-H46</f>
        <v>-1903872.4700000025</v>
      </c>
      <c r="P46" s="101" t="s">
        <v>310</v>
      </c>
      <c r="Q46" s="232" t="s">
        <v>311</v>
      </c>
      <c r="R46" s="233"/>
      <c r="S46" s="234">
        <f t="shared" ref="S46:AD46" si="21">608541*S21</f>
        <v>39655.938686780231</v>
      </c>
      <c r="T46" s="234">
        <f t="shared" si="21"/>
        <v>40488.38704198505</v>
      </c>
      <c r="U46" s="234">
        <f t="shared" si="21"/>
        <v>48305.063844570759</v>
      </c>
      <c r="V46" s="234">
        <f t="shared" si="21"/>
        <v>50872.076468085004</v>
      </c>
      <c r="W46" s="234">
        <f t="shared" si="21"/>
        <v>51237.186223767698</v>
      </c>
      <c r="X46" s="234">
        <f t="shared" si="21"/>
        <v>48214.16088880461</v>
      </c>
      <c r="Y46" s="234">
        <f t="shared" si="21"/>
        <v>55459.564223225359</v>
      </c>
      <c r="Z46" s="234">
        <f t="shared" si="21"/>
        <v>48513.821486792156</v>
      </c>
      <c r="AA46" s="234">
        <f t="shared" si="21"/>
        <v>46965.690925109557</v>
      </c>
      <c r="AB46" s="234">
        <f t="shared" si="21"/>
        <v>51432.736104810785</v>
      </c>
      <c r="AC46" s="234">
        <f t="shared" si="21"/>
        <v>49192.322072883537</v>
      </c>
      <c r="AD46" s="234">
        <f t="shared" si="21"/>
        <v>78204.052033185217</v>
      </c>
      <c r="AE46" s="45">
        <f t="shared" ref="AE46:AE53" si="22">SUM(S46:AD46)</f>
        <v>608541</v>
      </c>
      <c r="AF46" s="118"/>
    </row>
    <row r="47" spans="1:33">
      <c r="B47" s="225" t="s">
        <v>278</v>
      </c>
      <c r="C47" s="45">
        <f t="shared" si="14"/>
        <v>0.11301356773755135</v>
      </c>
      <c r="D47" s="45">
        <f>16263570.87</f>
        <v>16263570.869999999</v>
      </c>
      <c r="F47" s="175">
        <f t="shared" si="15"/>
        <v>-197674.46587786265</v>
      </c>
      <c r="H47" s="45">
        <v>14170674.460000001</v>
      </c>
      <c r="I47" s="227">
        <f t="shared" si="16"/>
        <v>0.10268536083617898</v>
      </c>
      <c r="J47" s="175">
        <f t="shared" si="17"/>
        <v>153324.71185185388</v>
      </c>
      <c r="L47" s="175">
        <f t="shared" si="20"/>
        <v>2092896.4099999983</v>
      </c>
      <c r="P47" s="101" t="s">
        <v>312</v>
      </c>
      <c r="Q47" s="235" t="s">
        <v>313</v>
      </c>
      <c r="R47" s="236"/>
      <c r="S47" s="234">
        <f t="shared" ref="S47:AD47" si="23">36344840.91*S21</f>
        <v>2368433.322829097</v>
      </c>
      <c r="T47" s="234">
        <f t="shared" si="23"/>
        <v>2418150.9310686574</v>
      </c>
      <c r="U47" s="234">
        <f t="shared" si="23"/>
        <v>2884998.4809212806</v>
      </c>
      <c r="V47" s="234">
        <f t="shared" si="23"/>
        <v>3038312.1695890729</v>
      </c>
      <c r="W47" s="234">
        <f t="shared" si="23"/>
        <v>3060118.1875648159</v>
      </c>
      <c r="X47" s="234">
        <f t="shared" si="23"/>
        <v>2879569.3422674029</v>
      </c>
      <c r="Y47" s="234">
        <f t="shared" si="23"/>
        <v>3312297.8379945694</v>
      </c>
      <c r="Z47" s="234">
        <f t="shared" si="23"/>
        <v>2897466.4383724355</v>
      </c>
      <c r="AA47" s="234">
        <f t="shared" si="23"/>
        <v>2805005.0282583055</v>
      </c>
      <c r="AB47" s="234">
        <f t="shared" si="23"/>
        <v>3071797.3173465072</v>
      </c>
      <c r="AC47" s="234">
        <f t="shared" si="23"/>
        <v>2937989.5844855704</v>
      </c>
      <c r="AD47" s="234">
        <f t="shared" si="23"/>
        <v>4670702.2693022797</v>
      </c>
      <c r="AE47" s="45">
        <f t="shared" si="22"/>
        <v>36344840.909999996</v>
      </c>
      <c r="AF47" s="118"/>
    </row>
    <row r="48" spans="1:33">
      <c r="B48" s="225" t="s">
        <v>279</v>
      </c>
      <c r="C48" s="45">
        <f t="shared" si="14"/>
        <v>9.6167018144731317E-2</v>
      </c>
      <c r="D48" s="45">
        <f>13839215.47</f>
        <v>13839215.470000001</v>
      </c>
      <c r="F48" s="175">
        <f t="shared" si="15"/>
        <v>-509620.36206106655</v>
      </c>
      <c r="H48" s="45">
        <f>13856574.9</f>
        <v>13856574.9</v>
      </c>
      <c r="I48" s="227">
        <f t="shared" si="16"/>
        <v>0.1004092922730257</v>
      </c>
      <c r="J48" s="175">
        <f t="shared" si="17"/>
        <v>-370187.17777777649</v>
      </c>
      <c r="L48" s="175">
        <f>D48-H48</f>
        <v>-17359.429999999702</v>
      </c>
      <c r="P48" s="101" t="s">
        <v>314</v>
      </c>
      <c r="Q48" s="232" t="s">
        <v>315</v>
      </c>
      <c r="R48" s="233"/>
      <c r="S48" s="234">
        <f>SUM(S49:S51)</f>
        <v>668946.42175656755</v>
      </c>
      <c r="T48" s="234">
        <f>SUM(T49:T51)</f>
        <v>682988.79137262295</v>
      </c>
      <c r="U48" s="234">
        <f t="shared" ref="U48:AD48" si="24">SUM(U49:U51)</f>
        <v>814846.41850932234</v>
      </c>
      <c r="V48" s="234">
        <f t="shared" si="24"/>
        <v>858148.73251245159</v>
      </c>
      <c r="W48" s="234">
        <f t="shared" si="24"/>
        <v>864307.68052125943</v>
      </c>
      <c r="X48" s="234">
        <f t="shared" si="24"/>
        <v>813312.99857272336</v>
      </c>
      <c r="Y48" s="234">
        <f t="shared" si="24"/>
        <v>935533.9519846671</v>
      </c>
      <c r="Z48" s="234">
        <f t="shared" si="24"/>
        <v>818367.900597575</v>
      </c>
      <c r="AA48" s="234">
        <f t="shared" si="24"/>
        <v>792252.86123791442</v>
      </c>
      <c r="AB48" s="234">
        <f t="shared" si="24"/>
        <v>867606.36408620828</v>
      </c>
      <c r="AC48" s="234">
        <f t="shared" si="24"/>
        <v>829813.36259534815</v>
      </c>
      <c r="AD48" s="234">
        <f t="shared" si="24"/>
        <v>1319205.2062533391</v>
      </c>
      <c r="AE48" s="234">
        <f t="shared" ref="AE48" si="25">SUM(AE49:AE51)</f>
        <v>10265330.689999999</v>
      </c>
    </row>
    <row r="49" spans="1:34">
      <c r="B49" s="225" t="s">
        <v>280</v>
      </c>
      <c r="C49" s="45">
        <f t="shared" si="14"/>
        <v>9.7680937923901312E-2</v>
      </c>
      <c r="D49" s="45">
        <f>14057080.83</f>
        <v>14057080.83</v>
      </c>
      <c r="F49" s="175">
        <f t="shared" si="15"/>
        <v>179078.11625954323</v>
      </c>
      <c r="H49" s="45">
        <f>14300806.17</f>
        <v>14300806.17</v>
      </c>
      <c r="I49" s="227">
        <f t="shared" si="16"/>
        <v>0.10362833794254733</v>
      </c>
      <c r="J49" s="175">
        <f t="shared" si="17"/>
        <v>52787.5959259253</v>
      </c>
      <c r="L49" s="175">
        <f t="shared" si="20"/>
        <v>-243725.33999999985</v>
      </c>
      <c r="N49" s="196"/>
      <c r="P49" s="101" t="s">
        <v>316</v>
      </c>
      <c r="Q49" s="235" t="s">
        <v>317</v>
      </c>
      <c r="R49" s="236"/>
      <c r="S49" s="234">
        <f t="shared" ref="S49:AD49" si="26">10263193.69*S21</f>
        <v>668807.16287183564</v>
      </c>
      <c r="T49" s="234">
        <f t="shared" si="26"/>
        <v>682846.60919737315</v>
      </c>
      <c r="U49" s="234">
        <f t="shared" si="26"/>
        <v>814676.7866826487</v>
      </c>
      <c r="V49" s="234">
        <f t="shared" si="26"/>
        <v>857970.08616419847</v>
      </c>
      <c r="W49" s="234">
        <f t="shared" si="26"/>
        <v>864127.75202513486</v>
      </c>
      <c r="X49" s="234">
        <f t="shared" si="26"/>
        <v>813143.68596795329</v>
      </c>
      <c r="Y49" s="234">
        <f t="shared" si="26"/>
        <v>935339.19585690403</v>
      </c>
      <c r="Z49" s="234">
        <f t="shared" si="26"/>
        <v>818197.53568129614</v>
      </c>
      <c r="AA49" s="234">
        <f t="shared" si="26"/>
        <v>792087.93285756372</v>
      </c>
      <c r="AB49" s="234">
        <f t="shared" si="26"/>
        <v>867425.74888188182</v>
      </c>
      <c r="AC49" s="234">
        <f t="shared" si="26"/>
        <v>829640.61500353471</v>
      </c>
      <c r="AD49" s="234">
        <f t="shared" si="26"/>
        <v>1318930.5788096746</v>
      </c>
      <c r="AE49" s="45">
        <f t="shared" si="22"/>
        <v>10263193.689999999</v>
      </c>
    </row>
    <row r="50" spans="1:34">
      <c r="B50" s="225" t="s">
        <v>282</v>
      </c>
      <c r="C50" s="45">
        <f>D50/$D$53</f>
        <v>8.550870682549519E-2</v>
      </c>
      <c r="D50" s="45">
        <f>12305397.85</f>
        <v>12305397.85</v>
      </c>
      <c r="F50" s="175">
        <f t="shared" si="15"/>
        <v>-2931167.8064885512</v>
      </c>
      <c r="H50" s="45">
        <f>16297895.01</f>
        <v>16297895.01</v>
      </c>
      <c r="I50" s="227">
        <f t="shared" si="16"/>
        <v>0.11809989952814219</v>
      </c>
      <c r="J50" s="175">
        <f t="shared" si="17"/>
        <v>1783276.3396296296</v>
      </c>
      <c r="L50" s="175">
        <f t="shared" si="20"/>
        <v>-3992497.16</v>
      </c>
      <c r="N50" s="196"/>
      <c r="P50" s="101" t="s">
        <v>318</v>
      </c>
      <c r="Q50" s="235" t="s">
        <v>319</v>
      </c>
      <c r="R50" s="236"/>
      <c r="S50" s="234">
        <f t="shared" ref="S50:AD50" si="27">283*S21</f>
        <v>18.441864473155967</v>
      </c>
      <c r="T50" s="234">
        <f t="shared" si="27"/>
        <v>18.828991855736536</v>
      </c>
      <c r="U50" s="234">
        <f t="shared" si="27"/>
        <v>22.464111815002646</v>
      </c>
      <c r="V50" s="234">
        <f t="shared" si="27"/>
        <v>23.657892632489933</v>
      </c>
      <c r="W50" s="234">
        <f t="shared" si="27"/>
        <v>23.827685729188765</v>
      </c>
      <c r="X50" s="234">
        <f t="shared" si="27"/>
        <v>22.421837692993087</v>
      </c>
      <c r="Y50" s="234">
        <f t="shared" si="27"/>
        <v>25.791288795944361</v>
      </c>
      <c r="Z50" s="234">
        <f t="shared" si="27"/>
        <v>22.561193873152639</v>
      </c>
      <c r="AA50" s="234">
        <f t="shared" si="27"/>
        <v>21.841240823224737</v>
      </c>
      <c r="AB50" s="234">
        <f t="shared" si="27"/>
        <v>23.918625561238194</v>
      </c>
      <c r="AC50" s="234">
        <f t="shared" si="27"/>
        <v>22.876728349652762</v>
      </c>
      <c r="AD50" s="234">
        <f t="shared" si="27"/>
        <v>36.368538398220366</v>
      </c>
      <c r="AE50" s="45">
        <f t="shared" si="22"/>
        <v>282.99999999999994</v>
      </c>
    </row>
    <row r="51" spans="1:34">
      <c r="B51" s="225" t="s">
        <v>283</v>
      </c>
      <c r="C51" s="45">
        <f t="shared" si="14"/>
        <v>0</v>
      </c>
      <c r="D51" s="45"/>
      <c r="F51" s="175">
        <f t="shared" si="15"/>
        <v>-14555188.290076336</v>
      </c>
      <c r="H51" s="45"/>
      <c r="I51" s="227">
        <f t="shared" si="16"/>
        <v>0</v>
      </c>
      <c r="J51" s="175">
        <f t="shared" si="17"/>
        <v>-14940480.014814813</v>
      </c>
      <c r="L51" s="175">
        <f t="shared" si="20"/>
        <v>0</v>
      </c>
      <c r="P51" s="237" t="s">
        <v>320</v>
      </c>
      <c r="Q51" s="232" t="s">
        <v>321</v>
      </c>
      <c r="R51" s="233"/>
      <c r="S51" s="234">
        <f t="shared" ref="S51:AD51" si="28">1854*S21</f>
        <v>120.81702025876736</v>
      </c>
      <c r="T51" s="234">
        <f t="shared" si="28"/>
        <v>123.35318339411852</v>
      </c>
      <c r="U51" s="234">
        <f t="shared" si="28"/>
        <v>147.1677148587099</v>
      </c>
      <c r="V51" s="234">
        <f t="shared" si="28"/>
        <v>154.98845562062311</v>
      </c>
      <c r="W51" s="234">
        <f t="shared" si="28"/>
        <v>156.10081039546279</v>
      </c>
      <c r="X51" s="234">
        <f t="shared" si="28"/>
        <v>146.89076707706425</v>
      </c>
      <c r="Y51" s="234">
        <f t="shared" si="28"/>
        <v>168.96483896707011</v>
      </c>
      <c r="Z51" s="234">
        <f t="shared" si="28"/>
        <v>147.80372240574201</v>
      </c>
      <c r="AA51" s="234">
        <f t="shared" si="28"/>
        <v>143.08713952741576</v>
      </c>
      <c r="AB51" s="234">
        <f t="shared" si="28"/>
        <v>156.6965787651435</v>
      </c>
      <c r="AC51" s="234">
        <f t="shared" si="28"/>
        <v>149.87086346380289</v>
      </c>
      <c r="AD51" s="234">
        <f t="shared" si="28"/>
        <v>238.25890526607969</v>
      </c>
      <c r="AE51" s="45">
        <f t="shared" si="22"/>
        <v>1854</v>
      </c>
    </row>
    <row r="52" spans="1:34">
      <c r="B52" s="225" t="s">
        <v>284</v>
      </c>
      <c r="C52" s="45">
        <f>D52/$D$53</f>
        <v>0</v>
      </c>
      <c r="D52" s="45"/>
      <c r="F52" s="175">
        <f t="shared" si="15"/>
        <v>-23378528.919847324</v>
      </c>
      <c r="H52" s="45"/>
      <c r="I52" s="227">
        <f t="shared" si="16"/>
        <v>0</v>
      </c>
      <c r="J52" s="175">
        <f t="shared" si="17"/>
        <v>-25717665.755555555</v>
      </c>
      <c r="L52" s="175">
        <f t="shared" si="20"/>
        <v>0</v>
      </c>
      <c r="P52" s="238" t="s">
        <v>322</v>
      </c>
      <c r="Q52" s="239"/>
      <c r="R52" s="219"/>
      <c r="S52" s="234">
        <f>S44+S48</f>
        <v>10862938.152949885</v>
      </c>
      <c r="T52" s="234">
        <f t="shared" ref="T52:AC52" si="29">T44+T48</f>
        <v>11090970.455237294</v>
      </c>
      <c r="U52" s="234">
        <f t="shared" si="29"/>
        <v>13232190.143384356</v>
      </c>
      <c r="V52" s="234">
        <f t="shared" si="29"/>
        <v>13935371.061312616</v>
      </c>
      <c r="W52" s="234">
        <f t="shared" si="29"/>
        <v>14035385.455785692</v>
      </c>
      <c r="X52" s="234">
        <f>X44+X48</f>
        <v>13207289.126812601</v>
      </c>
      <c r="Y52" s="234">
        <f t="shared" si="29"/>
        <v>15192020.062994607</v>
      </c>
      <c r="Z52" s="234">
        <f t="shared" si="29"/>
        <v>13289375.055190833</v>
      </c>
      <c r="AA52" s="234">
        <f t="shared" si="29"/>
        <v>12865296.16307131</v>
      </c>
      <c r="AB52" s="234">
        <f t="shared" si="29"/>
        <v>14088952.369946165</v>
      </c>
      <c r="AC52" s="234">
        <f t="shared" si="29"/>
        <v>13475236.49606269</v>
      </c>
      <c r="AD52" s="234">
        <f>AD44+AD48</f>
        <v>21422410.077251937</v>
      </c>
      <c r="AE52" s="234">
        <f t="shared" ref="AE52" si="30">AE44+AE48</f>
        <v>166697434.61999997</v>
      </c>
    </row>
    <row r="53" spans="1:34">
      <c r="B53" s="101" t="s">
        <v>251</v>
      </c>
      <c r="C53" s="166">
        <f>SUM(C41:C52)</f>
        <v>0.99999999999999989</v>
      </c>
      <c r="D53" s="45">
        <f>SUM(D41:D52)</f>
        <v>143908127.09999999</v>
      </c>
      <c r="F53" s="45">
        <f>SUM(F41:F52)</f>
        <v>-36299377.775801525</v>
      </c>
      <c r="G53" s="212">
        <f>(H53-H34)/H34</f>
        <v>0.11648824556806768</v>
      </c>
      <c r="H53" s="45">
        <f>SUM(H41:H52)</f>
        <v>138000921.89000002</v>
      </c>
      <c r="I53" s="166">
        <f>SUM(I41:I52)</f>
        <v>0.99999999999999978</v>
      </c>
      <c r="J53" s="45">
        <f>SUM(J41:J52)</f>
        <v>-38744701.897777766</v>
      </c>
      <c r="L53" s="166">
        <f>SUM(L41:L52)</f>
        <v>5907205.2099999972</v>
      </c>
      <c r="P53" s="101" t="s">
        <v>323</v>
      </c>
      <c r="Q53" s="240" t="s">
        <v>324</v>
      </c>
      <c r="R53" s="236"/>
      <c r="S53" s="175">
        <f>S20-S52</f>
        <v>880391.8189319279</v>
      </c>
      <c r="T53" s="175">
        <f t="shared" ref="T53:AD53" si="31">T20-T52</f>
        <v>898872.80175253935</v>
      </c>
      <c r="U53" s="175">
        <f t="shared" si="31"/>
        <v>1072408.9362161923</v>
      </c>
      <c r="V53" s="175">
        <f t="shared" si="31"/>
        <v>1129398.5571324248</v>
      </c>
      <c r="W53" s="175">
        <f t="shared" si="31"/>
        <v>1137504.2697333582</v>
      </c>
      <c r="X53" s="175">
        <f t="shared" si="31"/>
        <v>1070390.821875101</v>
      </c>
      <c r="Y53" s="175">
        <f t="shared" si="31"/>
        <v>1231244.2534599286</v>
      </c>
      <c r="Z53" s="175">
        <f t="shared" si="31"/>
        <v>1077043.5136953183</v>
      </c>
      <c r="AA53" s="175">
        <f t="shared" si="31"/>
        <v>1042673.8448316138</v>
      </c>
      <c r="AB53" s="175">
        <f t="shared" si="31"/>
        <v>1141845.6249291897</v>
      </c>
      <c r="AC53" s="175">
        <f t="shared" si="31"/>
        <v>1092106.7396563385</v>
      </c>
      <c r="AD53" s="175">
        <f t="shared" si="31"/>
        <v>1736189.0777860992</v>
      </c>
      <c r="AE53" s="45">
        <f t="shared" si="22"/>
        <v>13510070.260000031</v>
      </c>
    </row>
    <row r="54" spans="1:34">
      <c r="C54" s="196"/>
      <c r="D54" s="61">
        <f>143908127.1-D53</f>
        <v>0</v>
      </c>
      <c r="H54" s="61">
        <f>138000921.89-H53</f>
        <v>0</v>
      </c>
      <c r="P54" s="113" t="s">
        <v>325</v>
      </c>
      <c r="Q54" s="240"/>
      <c r="R54" s="236"/>
      <c r="S54" s="175">
        <f>S52+S53</f>
        <v>11743329.971881812</v>
      </c>
      <c r="T54" s="175">
        <f t="shared" ref="T54:AD54" si="32">T52+T53</f>
        <v>11989843.256989833</v>
      </c>
      <c r="U54" s="175">
        <f t="shared" si="32"/>
        <v>14304599.079600548</v>
      </c>
      <c r="V54" s="175">
        <f t="shared" si="32"/>
        <v>15064769.618445041</v>
      </c>
      <c r="W54" s="175">
        <f t="shared" si="32"/>
        <v>15172889.72551905</v>
      </c>
      <c r="X54" s="175">
        <f>X52+X53</f>
        <v>14277679.948687702</v>
      </c>
      <c r="Y54" s="175">
        <f t="shared" si="32"/>
        <v>16423264.316454535</v>
      </c>
      <c r="Z54" s="175">
        <f t="shared" si="32"/>
        <v>14366418.568886152</v>
      </c>
      <c r="AA54" s="175">
        <f t="shared" si="32"/>
        <v>13907970.007902924</v>
      </c>
      <c r="AB54" s="175">
        <f t="shared" si="32"/>
        <v>15230797.994875355</v>
      </c>
      <c r="AC54" s="175">
        <f t="shared" si="32"/>
        <v>14567343.235719029</v>
      </c>
      <c r="AD54" s="175">
        <f t="shared" si="32"/>
        <v>23158599.155038036</v>
      </c>
      <c r="AE54" s="45">
        <f>SUM(S54:AD54)</f>
        <v>180207504.88</v>
      </c>
    </row>
    <row r="55" spans="1:34">
      <c r="D55" s="61"/>
      <c r="F55" s="196"/>
      <c r="H55" s="225" t="s">
        <v>300</v>
      </c>
      <c r="I55" s="226" t="s">
        <v>326</v>
      </c>
      <c r="J55" s="175">
        <f>D53-H53</f>
        <v>5907205.2099999785</v>
      </c>
      <c r="K55" s="238" t="s">
        <v>327</v>
      </c>
      <c r="L55" s="236"/>
    </row>
    <row r="56" spans="1:34">
      <c r="D56" s="196"/>
      <c r="P56" s="101" t="s">
        <v>306</v>
      </c>
      <c r="Q56" s="174" t="s">
        <v>307</v>
      </c>
      <c r="R56" s="225"/>
      <c r="S56" s="234">
        <f>SUM(S57:S59)</f>
        <v>10042746.34</v>
      </c>
      <c r="T56" s="45">
        <f>SUM(T57:T59)</f>
        <v>11870250.32</v>
      </c>
      <c r="U56" s="45">
        <f>SUM(U57:U59)</f>
        <v>12841334.529999999</v>
      </c>
      <c r="V56" s="45">
        <f t="shared" ref="V56:AD56" si="33">SUM(V57:V59)</f>
        <v>13001149.34</v>
      </c>
      <c r="W56" s="45">
        <f>SUM(W57:W59)</f>
        <v>13810267.559999999</v>
      </c>
      <c r="X56" s="45">
        <f t="shared" si="33"/>
        <v>16938780.09</v>
      </c>
      <c r="Y56" s="45">
        <f t="shared" si="33"/>
        <v>13982092.74</v>
      </c>
      <c r="Z56" s="45">
        <f>SUM(Z57:Z59)</f>
        <v>13556054.579999998</v>
      </c>
      <c r="AA56" s="45">
        <f t="shared" si="33"/>
        <v>13736584.940000001</v>
      </c>
      <c r="AB56" s="45">
        <f>SUM(AB57:AB59)</f>
        <v>14489589.5</v>
      </c>
      <c r="AC56" s="45">
        <f t="shared" si="33"/>
        <v>0</v>
      </c>
      <c r="AD56" s="45">
        <f t="shared" si="33"/>
        <v>0</v>
      </c>
      <c r="AE56" s="45">
        <f>SUM(AE57:AE59)</f>
        <v>134268849.94</v>
      </c>
      <c r="AF56" s="212">
        <f>AE56/$AE$64</f>
        <v>0.97295618102482817</v>
      </c>
      <c r="AG56" s="60"/>
      <c r="AH56" s="61"/>
    </row>
    <row r="57" spans="1:34">
      <c r="D57" s="196"/>
      <c r="I57" s="85" t="s">
        <v>328</v>
      </c>
      <c r="J57" s="241">
        <f>Exec_Orç!K19-J58</f>
        <v>6839095.4100000001</v>
      </c>
      <c r="K57" s="85" t="s">
        <v>329</v>
      </c>
      <c r="L57" s="241">
        <f>Exec_Orç!L19</f>
        <v>18512818.210000005</v>
      </c>
      <c r="N57" s="196"/>
      <c r="P57" s="101" t="s">
        <v>308</v>
      </c>
      <c r="Q57" s="235" t="s">
        <v>309</v>
      </c>
      <c r="R57" s="236"/>
      <c r="S57" s="234">
        <f>8005499.8</f>
        <v>8005499.7999999998</v>
      </c>
      <c r="T57" s="234">
        <f>9733196.11</f>
        <v>9733196.1099999994</v>
      </c>
      <c r="U57" s="45">
        <v>9780954.5299999993</v>
      </c>
      <c r="V57" s="45">
        <f>10060591.48</f>
        <v>10060591.48</v>
      </c>
      <c r="W57" s="45">
        <f>9988176.85</f>
        <v>9988176.8499999996</v>
      </c>
      <c r="X57" s="45">
        <f>13508004.78</f>
        <v>13508004.779999999</v>
      </c>
      <c r="Y57" s="45">
        <v>10438961.25</v>
      </c>
      <c r="Z57" s="45">
        <f>10505678.54</f>
        <v>10505678.539999999</v>
      </c>
      <c r="AA57" s="45">
        <f>10529006.73</f>
        <v>10529006.73</v>
      </c>
      <c r="AB57" s="45">
        <f>10704995.94</f>
        <v>10704995.939999999</v>
      </c>
      <c r="AC57" s="45"/>
      <c r="AD57" s="45"/>
      <c r="AE57" s="45">
        <f>SUM(S57:AD57)</f>
        <v>103255066.01000001</v>
      </c>
      <c r="AF57" s="212">
        <f>AE57/$AE$64</f>
        <v>0.74822011763301288</v>
      </c>
      <c r="AH57" s="61"/>
    </row>
    <row r="58" spans="1:34">
      <c r="B58" s="61"/>
      <c r="D58" s="61"/>
      <c r="I58" s="85" t="s">
        <v>330</v>
      </c>
      <c r="J58" s="196">
        <f>-Exec_Orç!H26</f>
        <v>1059816.3499999987</v>
      </c>
      <c r="K58" s="85" t="s">
        <v>616</v>
      </c>
      <c r="L58" s="196">
        <f>Exec_Orç!J19</f>
        <v>25754.86</v>
      </c>
      <c r="P58" s="101" t="s">
        <v>310</v>
      </c>
      <c r="Q58" s="232" t="s">
        <v>311</v>
      </c>
      <c r="R58" s="233"/>
      <c r="S58" s="234"/>
      <c r="T58" s="234"/>
      <c r="U58" s="45">
        <v>10160.719999999999</v>
      </c>
      <c r="V58" s="45"/>
      <c r="W58" s="45"/>
      <c r="X58" s="45"/>
      <c r="Y58" s="45"/>
      <c r="Z58" s="45"/>
      <c r="AA58" s="45"/>
      <c r="AB58" s="45"/>
      <c r="AC58" s="45"/>
      <c r="AD58" s="45"/>
      <c r="AE58" s="45">
        <f>SUM(S58:AD58)</f>
        <v>10160.719999999999</v>
      </c>
      <c r="AF58" s="212">
        <f t="shared" ref="AF58:AF63" si="34">AE58/$AE$64</f>
        <v>7.3627913935959578E-5</v>
      </c>
      <c r="AH58" s="61"/>
    </row>
    <row r="59" spans="1:34">
      <c r="B59" s="61"/>
      <c r="D59" s="61"/>
      <c r="H59" s="61"/>
      <c r="I59" s="121" t="s">
        <v>331</v>
      </c>
      <c r="J59" s="387">
        <f>SUM(J57:J58)</f>
        <v>7898911.7599999988</v>
      </c>
      <c r="N59" s="60"/>
      <c r="P59" s="101" t="s">
        <v>312</v>
      </c>
      <c r="Q59" s="235" t="s">
        <v>313</v>
      </c>
      <c r="R59" s="236"/>
      <c r="S59" s="234">
        <f>2037246.54</f>
        <v>2037246.54</v>
      </c>
      <c r="T59" s="234">
        <f>2137054.21</f>
        <v>2137054.21</v>
      </c>
      <c r="U59" s="45">
        <v>3050219.28</v>
      </c>
      <c r="V59" s="45">
        <f>2940557.86</f>
        <v>2940557.86</v>
      </c>
      <c r="W59" s="45">
        <f>3822090.71</f>
        <v>3822090.71</v>
      </c>
      <c r="X59" s="45">
        <f>3430775.31</f>
        <v>3430775.31</v>
      </c>
      <c r="Y59" s="45">
        <f>3543131.49</f>
        <v>3543131.49</v>
      </c>
      <c r="Z59" s="45">
        <f>3050376.04</f>
        <v>3050376.04</v>
      </c>
      <c r="AA59" s="45">
        <f>3207578.21</f>
        <v>3207578.21</v>
      </c>
      <c r="AB59" s="45">
        <f>3784593.56</f>
        <v>3784593.56</v>
      </c>
      <c r="AC59" s="45"/>
      <c r="AD59" s="45"/>
      <c r="AE59" s="45">
        <f>SUM(S59:AD59)</f>
        <v>31003623.209999997</v>
      </c>
      <c r="AF59" s="212">
        <f t="shared" si="34"/>
        <v>0.2246624354778794</v>
      </c>
      <c r="AH59" s="61"/>
    </row>
    <row r="60" spans="1:34">
      <c r="B60" s="61"/>
      <c r="D60" s="61"/>
      <c r="H60" s="61"/>
      <c r="J60" s="118"/>
      <c r="P60" s="101" t="s">
        <v>314</v>
      </c>
      <c r="Q60" s="232" t="s">
        <v>315</v>
      </c>
      <c r="R60" s="233"/>
      <c r="S60" s="234">
        <f>SUM(S61:S63)</f>
        <v>0</v>
      </c>
      <c r="T60" s="234">
        <f t="shared" ref="T60:AD60" si="35">SUM(T61:T63)</f>
        <v>61775.15</v>
      </c>
      <c r="U60" s="234">
        <f t="shared" si="35"/>
        <v>154378.71</v>
      </c>
      <c r="V60" s="234">
        <f t="shared" si="35"/>
        <v>60587.65</v>
      </c>
      <c r="W60" s="234">
        <f t="shared" si="35"/>
        <v>268555.08</v>
      </c>
      <c r="X60" s="234">
        <f t="shared" si="35"/>
        <v>325146.58</v>
      </c>
      <c r="Y60" s="234">
        <f t="shared" si="35"/>
        <v>188581.72</v>
      </c>
      <c r="Z60" s="234">
        <f t="shared" si="35"/>
        <v>300520.32000000001</v>
      </c>
      <c r="AA60" s="234">
        <f t="shared" si="35"/>
        <v>564221.23</v>
      </c>
      <c r="AB60" s="234">
        <f t="shared" si="35"/>
        <v>1808305.51</v>
      </c>
      <c r="AC60" s="234">
        <f t="shared" si="35"/>
        <v>0</v>
      </c>
      <c r="AD60" s="234">
        <f t="shared" si="35"/>
        <v>0</v>
      </c>
      <c r="AE60" s="234">
        <f>SUM(AE61:AE63)</f>
        <v>3732071.95</v>
      </c>
      <c r="AF60" s="212">
        <f t="shared" si="34"/>
        <v>2.7043818975171923E-2</v>
      </c>
      <c r="AH60" s="61"/>
    </row>
    <row r="61" spans="1:34">
      <c r="B61" s="196"/>
      <c r="D61" s="196"/>
      <c r="J61" s="61"/>
      <c r="P61" s="101" t="s">
        <v>316</v>
      </c>
      <c r="Q61" s="235" t="s">
        <v>317</v>
      </c>
      <c r="R61" s="236"/>
      <c r="S61" s="234"/>
      <c r="T61" s="234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>
        <f>SUM(S61:AD61)</f>
        <v>0</v>
      </c>
      <c r="AF61" s="212">
        <f t="shared" si="34"/>
        <v>0</v>
      </c>
      <c r="AH61" s="61"/>
    </row>
    <row r="62" spans="1:34">
      <c r="L62" s="118"/>
      <c r="P62" s="101" t="s">
        <v>318</v>
      </c>
      <c r="Q62" s="235" t="s">
        <v>622</v>
      </c>
      <c r="R62" s="236"/>
      <c r="S62" s="234"/>
      <c r="T62" s="234">
        <f>61775.15</f>
        <v>61775.15</v>
      </c>
      <c r="U62" s="45">
        <v>154378.71</v>
      </c>
      <c r="V62" s="45">
        <f>60587.65</f>
        <v>60587.65</v>
      </c>
      <c r="W62" s="45">
        <f>268555.08</f>
        <v>268555.08</v>
      </c>
      <c r="X62" s="45">
        <f>325146.58</f>
        <v>325146.58</v>
      </c>
      <c r="Y62" s="45">
        <f>188581.72</f>
        <v>188581.72</v>
      </c>
      <c r="Z62" s="45">
        <f>300520.32</f>
        <v>300520.32000000001</v>
      </c>
      <c r="AA62" s="45">
        <f>564221.23</f>
        <v>564221.23</v>
      </c>
      <c r="AB62" s="45">
        <f>1808305.51</f>
        <v>1808305.51</v>
      </c>
      <c r="AC62" s="45"/>
      <c r="AD62" s="45"/>
      <c r="AE62" s="45">
        <f>SUM(S62:AD62)</f>
        <v>3732071.95</v>
      </c>
      <c r="AF62" s="212">
        <f t="shared" si="34"/>
        <v>2.7043818975171923E-2</v>
      </c>
      <c r="AH62" s="61"/>
    </row>
    <row r="63" spans="1:34">
      <c r="B63" s="342" t="s">
        <v>95</v>
      </c>
      <c r="C63" s="343"/>
      <c r="D63" s="343"/>
      <c r="E63" s="344" t="s">
        <v>96</v>
      </c>
      <c r="F63" s="344"/>
      <c r="H63" s="342"/>
      <c r="I63" s="345" t="s">
        <v>97</v>
      </c>
      <c r="L63" s="60"/>
      <c r="P63" s="237" t="s">
        <v>320</v>
      </c>
      <c r="Q63" s="232" t="s">
        <v>321</v>
      </c>
      <c r="R63" s="233"/>
      <c r="S63" s="234"/>
      <c r="T63" s="234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>
        <f>SUM(S63:AD63)</f>
        <v>0</v>
      </c>
      <c r="AF63" s="212">
        <f t="shared" si="34"/>
        <v>0</v>
      </c>
      <c r="AH63" s="61"/>
    </row>
    <row r="64" spans="1:34">
      <c r="A64" s="346"/>
      <c r="B64" s="342" t="s">
        <v>98</v>
      </c>
      <c r="C64" s="343"/>
      <c r="D64" s="343"/>
      <c r="E64" s="344" t="s">
        <v>99</v>
      </c>
      <c r="F64" s="344"/>
      <c r="H64" s="342"/>
      <c r="I64" s="345" t="s">
        <v>100</v>
      </c>
      <c r="J64" s="346"/>
      <c r="K64" s="346"/>
      <c r="L64" s="118"/>
      <c r="P64" s="238" t="s">
        <v>332</v>
      </c>
      <c r="Q64" s="239"/>
      <c r="R64" s="219"/>
      <c r="S64" s="234">
        <f>S56+S60</f>
        <v>10042746.34</v>
      </c>
      <c r="T64" s="234">
        <f t="shared" ref="T64:AD64" si="36">T56+T60</f>
        <v>11932025.470000001</v>
      </c>
      <c r="U64" s="234">
        <f>U56+U60</f>
        <v>12995713.24</v>
      </c>
      <c r="V64" s="234">
        <f t="shared" si="36"/>
        <v>13061736.99</v>
      </c>
      <c r="W64" s="234">
        <f t="shared" si="36"/>
        <v>14078822.639999999</v>
      </c>
      <c r="X64" s="234">
        <f t="shared" si="36"/>
        <v>17263926.669999998</v>
      </c>
      <c r="Y64" s="234">
        <f t="shared" si="36"/>
        <v>14170674.460000001</v>
      </c>
      <c r="Z64" s="234">
        <f>Z56+Z60</f>
        <v>13856574.899999999</v>
      </c>
      <c r="AA64" s="234">
        <f t="shared" si="36"/>
        <v>14300806.170000002</v>
      </c>
      <c r="AB64" s="234">
        <f t="shared" si="36"/>
        <v>16297895.01</v>
      </c>
      <c r="AC64" s="234">
        <f t="shared" si="36"/>
        <v>0</v>
      </c>
      <c r="AD64" s="234">
        <f t="shared" si="36"/>
        <v>0</v>
      </c>
      <c r="AE64" s="234">
        <f>AE56+AE60</f>
        <v>138000921.88999999</v>
      </c>
      <c r="AF64" s="212">
        <f>AF56+AF60</f>
        <v>1</v>
      </c>
      <c r="AH64" s="61"/>
    </row>
    <row r="65" spans="1:33">
      <c r="A65" s="347"/>
      <c r="B65" s="348"/>
      <c r="C65" s="348"/>
      <c r="D65" s="348"/>
      <c r="E65" s="348"/>
      <c r="F65" s="348"/>
      <c r="G65" s="348"/>
      <c r="H65" s="348"/>
      <c r="I65" s="348"/>
      <c r="J65" s="348"/>
      <c r="K65" s="348"/>
      <c r="L65" s="60"/>
      <c r="S65" s="196">
        <f>H41-S64</f>
        <v>0</v>
      </c>
      <c r="T65" s="196">
        <f>H42-T64</f>
        <v>0</v>
      </c>
      <c r="U65" s="196">
        <f>H43-U64</f>
        <v>0</v>
      </c>
      <c r="V65" s="196">
        <f>H44-V64</f>
        <v>0</v>
      </c>
      <c r="W65" s="196">
        <f>H45-W64</f>
        <v>0</v>
      </c>
      <c r="X65" s="196">
        <f>H46-X64</f>
        <v>0</v>
      </c>
      <c r="Y65" s="196">
        <f>H47-Y64</f>
        <v>0</v>
      </c>
      <c r="Z65" s="196">
        <f>H48-Z64</f>
        <v>0</v>
      </c>
      <c r="AA65" s="196">
        <f>H49-AA64</f>
        <v>0</v>
      </c>
      <c r="AB65" s="196">
        <f>H50-AB64</f>
        <v>0</v>
      </c>
      <c r="AC65" s="196">
        <f>H51-AC64</f>
        <v>0</v>
      </c>
      <c r="AD65" s="196">
        <f>H52-AD64</f>
        <v>0</v>
      </c>
      <c r="AE65" s="196">
        <f>AE64-H53</f>
        <v>0</v>
      </c>
    </row>
    <row r="66" spans="1:33">
      <c r="A66" s="347"/>
      <c r="B66" s="348"/>
      <c r="C66" s="348"/>
      <c r="D66" s="348"/>
      <c r="E66" s="348"/>
      <c r="F66" s="348"/>
      <c r="G66" s="348"/>
      <c r="H66" s="348"/>
      <c r="I66" s="348"/>
      <c r="J66" s="348"/>
      <c r="K66" s="348"/>
      <c r="L66" s="60"/>
      <c r="R66" s="342" t="s">
        <v>95</v>
      </c>
      <c r="S66" s="343"/>
      <c r="T66" s="343"/>
      <c r="U66" s="344" t="s">
        <v>96</v>
      </c>
      <c r="V66" s="344"/>
      <c r="X66" s="342"/>
      <c r="Y66" s="345" t="s">
        <v>97</v>
      </c>
      <c r="Z66" s="346"/>
      <c r="AA66" s="349"/>
      <c r="AB66" s="346"/>
      <c r="AD66" s="84" t="s">
        <v>333</v>
      </c>
      <c r="AE66" s="196">
        <f>146517691.12-AE64</f>
        <v>8516769.2300000191</v>
      </c>
    </row>
    <row r="67" spans="1:33">
      <c r="A67" s="347"/>
      <c r="E67" s="196"/>
      <c r="R67" s="342" t="s">
        <v>98</v>
      </c>
      <c r="S67" s="343"/>
      <c r="T67" s="343"/>
      <c r="U67" s="344" t="s">
        <v>99</v>
      </c>
      <c r="V67" s="344"/>
      <c r="X67" s="342"/>
      <c r="Y67" s="345" t="s">
        <v>100</v>
      </c>
      <c r="Z67" s="348"/>
      <c r="AA67" s="348"/>
      <c r="AB67" s="348"/>
      <c r="AD67" s="85" t="s">
        <v>334</v>
      </c>
      <c r="AE67" s="243">
        <f>AE66+AE64</f>
        <v>146517691.12</v>
      </c>
      <c r="AG67" s="60"/>
    </row>
    <row r="68" spans="1:33">
      <c r="A68" s="347"/>
      <c r="E68" s="61"/>
      <c r="R68" s="342"/>
      <c r="S68" s="343"/>
      <c r="T68" s="350"/>
      <c r="U68" s="344"/>
      <c r="V68" s="344"/>
      <c r="X68" s="342"/>
      <c r="Y68" s="345"/>
      <c r="Z68" s="348"/>
      <c r="AA68" s="348"/>
      <c r="AB68" s="348"/>
      <c r="AE68" s="196"/>
      <c r="AG68" s="118"/>
    </row>
    <row r="69" spans="1:33">
      <c r="S69" s="206"/>
      <c r="U69" s="88"/>
      <c r="V69" s="88"/>
      <c r="W69" s="88"/>
      <c r="X69" s="89" t="s">
        <v>613</v>
      </c>
      <c r="Y69" s="206"/>
      <c r="Z69" s="206"/>
      <c r="AA69" s="88"/>
      <c r="AB69" s="206"/>
      <c r="AC69" s="206"/>
      <c r="AD69" s="206"/>
      <c r="AE69" s="88"/>
      <c r="AG69" s="118"/>
    </row>
    <row r="70" spans="1:33">
      <c r="C70" s="106" t="s">
        <v>662</v>
      </c>
      <c r="R70" s="85" t="s">
        <v>611</v>
      </c>
      <c r="S70" s="94" t="s">
        <v>113</v>
      </c>
      <c r="T70" s="94" t="s">
        <v>114</v>
      </c>
      <c r="U70" s="94" t="s">
        <v>115</v>
      </c>
      <c r="V70" s="94" t="s">
        <v>116</v>
      </c>
      <c r="W70" s="94" t="s">
        <v>276</v>
      </c>
      <c r="X70" s="94" t="s">
        <v>277</v>
      </c>
      <c r="Y70" s="94" t="s">
        <v>278</v>
      </c>
      <c r="Z70" s="94" t="s">
        <v>279</v>
      </c>
      <c r="AA70" s="94" t="s">
        <v>280</v>
      </c>
      <c r="AB70" s="94" t="s">
        <v>282</v>
      </c>
      <c r="AC70" s="94" t="s">
        <v>283</v>
      </c>
      <c r="AD70" s="94" t="s">
        <v>284</v>
      </c>
      <c r="AE70" s="96" t="s">
        <v>10</v>
      </c>
    </row>
    <row r="71" spans="1:33">
      <c r="A71" s="452" t="s">
        <v>473</v>
      </c>
      <c r="B71" s="203" t="s">
        <v>337</v>
      </c>
      <c r="C71" s="452" t="s">
        <v>338</v>
      </c>
      <c r="D71" s="453" t="s">
        <v>114</v>
      </c>
      <c r="E71" s="452" t="s">
        <v>115</v>
      </c>
      <c r="F71" s="468" t="s">
        <v>116</v>
      </c>
      <c r="G71" s="452" t="s">
        <v>276</v>
      </c>
      <c r="H71" s="453" t="s">
        <v>277</v>
      </c>
      <c r="I71" s="457"/>
      <c r="J71" s="453" t="s">
        <v>278</v>
      </c>
      <c r="K71" s="452" t="s">
        <v>279</v>
      </c>
      <c r="L71" s="453" t="s">
        <v>280</v>
      </c>
      <c r="M71" s="452" t="s">
        <v>282</v>
      </c>
      <c r="N71" s="453" t="s">
        <v>283</v>
      </c>
      <c r="O71" s="452" t="s">
        <v>284</v>
      </c>
      <c r="R71" s="85" t="s">
        <v>614</v>
      </c>
      <c r="S71" s="175">
        <f>S56</f>
        <v>10042746.34</v>
      </c>
      <c r="T71" s="175">
        <f t="shared" ref="T71:AD71" si="37">T56</f>
        <v>11870250.32</v>
      </c>
      <c r="U71" s="175">
        <f t="shared" si="37"/>
        <v>12841334.529999999</v>
      </c>
      <c r="V71" s="175">
        <f t="shared" si="37"/>
        <v>13001149.34</v>
      </c>
      <c r="W71" s="175">
        <f>W56</f>
        <v>13810267.559999999</v>
      </c>
      <c r="X71" s="175">
        <f t="shared" si="37"/>
        <v>16938780.09</v>
      </c>
      <c r="Y71" s="175">
        <f t="shared" si="37"/>
        <v>13982092.74</v>
      </c>
      <c r="Z71" s="175">
        <f t="shared" si="37"/>
        <v>13556054.579999998</v>
      </c>
      <c r="AA71" s="175">
        <f t="shared" si="37"/>
        <v>13736584.940000001</v>
      </c>
      <c r="AB71" s="175">
        <f t="shared" si="37"/>
        <v>14489589.5</v>
      </c>
      <c r="AC71" s="175">
        <f>AC56</f>
        <v>0</v>
      </c>
      <c r="AD71" s="175">
        <f t="shared" si="37"/>
        <v>0</v>
      </c>
      <c r="AE71" s="175">
        <f>SUM(S71:AD71)</f>
        <v>134268849.94</v>
      </c>
    </row>
    <row r="72" spans="1:33">
      <c r="A72" s="359">
        <f t="shared" ref="A72:A88" si="38">O101</f>
        <v>4383.53</v>
      </c>
      <c r="B72" s="249">
        <v>4383.53</v>
      </c>
      <c r="C72" s="456">
        <v>2004</v>
      </c>
      <c r="D72" s="249">
        <v>4383.53</v>
      </c>
      <c r="E72" s="455">
        <v>4383.53</v>
      </c>
      <c r="F72" s="469">
        <v>4383.53</v>
      </c>
      <c r="G72" s="455">
        <v>4383.53</v>
      </c>
      <c r="H72" s="249">
        <v>4383.53</v>
      </c>
      <c r="I72" s="457"/>
      <c r="J72" s="249">
        <v>4383.53</v>
      </c>
      <c r="K72" s="455">
        <v>4383.53</v>
      </c>
      <c r="L72" s="249">
        <v>4383.53</v>
      </c>
      <c r="M72" s="248">
        <v>4383.53</v>
      </c>
      <c r="N72" s="249"/>
      <c r="O72" s="433"/>
      <c r="R72" s="85" t="s">
        <v>612</v>
      </c>
      <c r="S72" s="384">
        <f>RCL!E5</f>
        <v>10920544.790000001</v>
      </c>
      <c r="T72" s="384">
        <f>RCL!D5</f>
        <v>11519412.220000001</v>
      </c>
      <c r="U72" s="384">
        <f>RCL!D5</f>
        <v>11519412.220000001</v>
      </c>
      <c r="V72" s="384">
        <f>RCL!H5</f>
        <v>11668765.83</v>
      </c>
      <c r="W72" s="385">
        <f>RCL!G5</f>
        <v>11950113.09</v>
      </c>
      <c r="X72" s="385">
        <f>RCL!F5</f>
        <v>10723446.91</v>
      </c>
      <c r="Y72" s="385">
        <f>RCL!E5</f>
        <v>10920544.790000001</v>
      </c>
      <c r="Z72" s="385">
        <f>RCL!D5</f>
        <v>11519412.220000001</v>
      </c>
      <c r="AA72" s="385">
        <f>RCL!E5</f>
        <v>10920544.790000001</v>
      </c>
      <c r="AB72" s="385">
        <f>RCL!D5</f>
        <v>11519412.220000001</v>
      </c>
      <c r="AC72" s="385">
        <f>RCL!E38</f>
        <v>9547770.7800000012</v>
      </c>
      <c r="AD72" s="385">
        <f>RCL!D38</f>
        <v>9847039.040000001</v>
      </c>
      <c r="AE72" s="175">
        <f>SUM(S72:AD72)</f>
        <v>132576418.90000002</v>
      </c>
    </row>
    <row r="73" spans="1:33">
      <c r="A73" s="246">
        <f t="shared" si="38"/>
        <v>57.84</v>
      </c>
      <c r="B73" s="251">
        <v>57.84</v>
      </c>
      <c r="C73" s="63">
        <v>2005</v>
      </c>
      <c r="D73" s="251">
        <v>57.84</v>
      </c>
      <c r="E73" s="242">
        <v>57.84</v>
      </c>
      <c r="F73" s="251">
        <v>57.84</v>
      </c>
      <c r="G73" s="242">
        <v>57.84</v>
      </c>
      <c r="H73" s="251">
        <v>57.84</v>
      </c>
      <c r="I73" s="242"/>
      <c r="J73" s="251">
        <v>57.84</v>
      </c>
      <c r="K73" s="360">
        <v>57.84</v>
      </c>
      <c r="L73" s="247">
        <v>57.84</v>
      </c>
      <c r="M73" s="252">
        <v>57.84</v>
      </c>
      <c r="N73" s="247"/>
      <c r="O73" s="233"/>
      <c r="R73" s="85" t="s">
        <v>339</v>
      </c>
      <c r="S73" s="212">
        <f>S71/S72</f>
        <v>0.91961953667331642</v>
      </c>
      <c r="T73" s="212">
        <f t="shared" ref="T73:AD73" si="39">T71/T72</f>
        <v>1.0304562501366932</v>
      </c>
      <c r="U73" s="212">
        <f t="shared" si="39"/>
        <v>1.1147560556696527</v>
      </c>
      <c r="V73" s="212">
        <f t="shared" si="39"/>
        <v>1.1141837559696748</v>
      </c>
      <c r="W73" s="212">
        <f t="shared" si="39"/>
        <v>1.1556599888210763</v>
      </c>
      <c r="X73" s="212">
        <f t="shared" si="39"/>
        <v>1.5796021775613938</v>
      </c>
      <c r="Y73" s="212">
        <f t="shared" si="39"/>
        <v>1.2803475475695567</v>
      </c>
      <c r="Z73" s="212">
        <f t="shared" si="39"/>
        <v>1.176800892363586</v>
      </c>
      <c r="AA73" s="212">
        <f t="shared" si="39"/>
        <v>1.257866269874985</v>
      </c>
      <c r="AB73" s="212">
        <f t="shared" si="39"/>
        <v>1.2578410446014927</v>
      </c>
      <c r="AC73" s="212">
        <f t="shared" si="39"/>
        <v>0</v>
      </c>
      <c r="AD73" s="212">
        <f t="shared" si="39"/>
        <v>0</v>
      </c>
      <c r="AE73" s="212">
        <f>AE71/AE72</f>
        <v>1.0127657018800345</v>
      </c>
      <c r="AF73" s="118"/>
    </row>
    <row r="74" spans="1:33">
      <c r="A74" s="246">
        <f t="shared" si="38"/>
        <v>1022.7</v>
      </c>
      <c r="B74" s="247">
        <v>1022.7</v>
      </c>
      <c r="C74" s="63">
        <v>2006</v>
      </c>
      <c r="D74" s="247">
        <v>1022.7</v>
      </c>
      <c r="E74" s="360">
        <v>1022.7</v>
      </c>
      <c r="F74" s="247">
        <v>376.17</v>
      </c>
      <c r="G74" s="360">
        <v>1022.7</v>
      </c>
      <c r="H74" s="247">
        <v>1022.7</v>
      </c>
      <c r="I74" s="242"/>
      <c r="J74" s="247">
        <v>1022.7</v>
      </c>
      <c r="K74" s="360">
        <v>1022.7</v>
      </c>
      <c r="L74" s="247">
        <v>1022.7</v>
      </c>
      <c r="M74" s="252">
        <v>376.17</v>
      </c>
      <c r="N74" s="247"/>
      <c r="O74" s="419"/>
    </row>
    <row r="75" spans="1:33">
      <c r="A75" s="246">
        <f t="shared" si="38"/>
        <v>776.55</v>
      </c>
      <c r="B75" s="247">
        <v>776.55</v>
      </c>
      <c r="C75" s="63">
        <v>2007</v>
      </c>
      <c r="D75" s="247">
        <v>776.55</v>
      </c>
      <c r="E75" s="360">
        <v>776.55</v>
      </c>
      <c r="F75" s="247">
        <v>776.55</v>
      </c>
      <c r="G75" s="360">
        <v>776.55</v>
      </c>
      <c r="H75" s="247">
        <v>776.55</v>
      </c>
      <c r="I75" s="242"/>
      <c r="J75" s="247">
        <v>776.55</v>
      </c>
      <c r="K75" s="360">
        <v>776.55</v>
      </c>
      <c r="L75" s="247">
        <v>776.55</v>
      </c>
      <c r="M75" s="252">
        <v>776.55</v>
      </c>
      <c r="N75" s="247"/>
      <c r="O75" s="233"/>
      <c r="T75" s="106" t="s">
        <v>340</v>
      </c>
    </row>
    <row r="76" spans="1:33">
      <c r="A76" s="246">
        <f t="shared" si="38"/>
        <v>2046.08</v>
      </c>
      <c r="B76" s="247">
        <v>2046.08</v>
      </c>
      <c r="C76" s="63">
        <v>2008</v>
      </c>
      <c r="D76" s="247">
        <v>2046.08</v>
      </c>
      <c r="E76" s="360">
        <v>2046.08</v>
      </c>
      <c r="F76" s="247">
        <v>1737.19</v>
      </c>
      <c r="G76" s="360">
        <v>2046.08</v>
      </c>
      <c r="H76" s="247">
        <v>2046.08</v>
      </c>
      <c r="I76" s="242"/>
      <c r="J76" s="247">
        <v>2046.08</v>
      </c>
      <c r="K76" s="360">
        <v>2046.08</v>
      </c>
      <c r="L76" s="247">
        <v>2046.08</v>
      </c>
      <c r="M76" s="252">
        <v>1737.19</v>
      </c>
      <c r="N76" s="247"/>
      <c r="O76" s="419"/>
    </row>
    <row r="77" spans="1:33">
      <c r="A77" s="246">
        <f t="shared" si="38"/>
        <v>2230.9</v>
      </c>
      <c r="B77" s="247">
        <v>2230.9</v>
      </c>
      <c r="C77" s="63">
        <v>2009</v>
      </c>
      <c r="D77" s="247">
        <v>2230.9</v>
      </c>
      <c r="E77" s="360">
        <v>2230.9</v>
      </c>
      <c r="F77" s="247">
        <v>1779.08</v>
      </c>
      <c r="G77" s="360">
        <v>2230.9</v>
      </c>
      <c r="H77" s="247">
        <v>2230.9</v>
      </c>
      <c r="I77" s="242"/>
      <c r="J77" s="247">
        <v>2230.9</v>
      </c>
      <c r="K77" s="360">
        <v>2230.9</v>
      </c>
      <c r="L77" s="247">
        <v>2230.9</v>
      </c>
      <c r="M77" s="252">
        <v>1779.08</v>
      </c>
      <c r="N77" s="247"/>
      <c r="O77" s="419"/>
      <c r="T77" s="106" t="s">
        <v>341</v>
      </c>
    </row>
    <row r="78" spans="1:33">
      <c r="A78" s="246">
        <f t="shared" si="38"/>
        <v>7980.88</v>
      </c>
      <c r="B78" s="247">
        <v>7980.88</v>
      </c>
      <c r="C78" s="63">
        <v>2010</v>
      </c>
      <c r="D78" s="247">
        <v>7980.88</v>
      </c>
      <c r="E78" s="360">
        <v>7980.88</v>
      </c>
      <c r="F78" s="247">
        <v>6480.66</v>
      </c>
      <c r="G78" s="360">
        <v>7980.88</v>
      </c>
      <c r="H78" s="247">
        <v>7980.88</v>
      </c>
      <c r="I78" s="242"/>
      <c r="J78" s="247">
        <v>7980.88</v>
      </c>
      <c r="K78" s="360">
        <v>7980.88</v>
      </c>
      <c r="L78" s="247">
        <v>7980.88</v>
      </c>
      <c r="M78" s="252">
        <v>6480.66</v>
      </c>
      <c r="N78" s="247"/>
      <c r="O78" s="419"/>
      <c r="Q78" s="94" t="s">
        <v>125</v>
      </c>
      <c r="R78" s="94" t="s">
        <v>342</v>
      </c>
      <c r="S78" s="94" t="str">
        <f t="shared" ref="S78:AE78" si="40">S3</f>
        <v>JANEIRO</v>
      </c>
      <c r="T78" s="94" t="str">
        <f t="shared" si="40"/>
        <v>FEVEREIRO</v>
      </c>
      <c r="U78" s="94" t="str">
        <f t="shared" si="40"/>
        <v>MARÇO</v>
      </c>
      <c r="V78" s="94" t="str">
        <f t="shared" si="40"/>
        <v>ABRIL</v>
      </c>
      <c r="W78" s="94" t="str">
        <f t="shared" si="40"/>
        <v>MAIO</v>
      </c>
      <c r="X78" s="94" t="str">
        <f t="shared" si="40"/>
        <v>JUNHO</v>
      </c>
      <c r="Y78" s="94" t="str">
        <f t="shared" si="40"/>
        <v>JULHO</v>
      </c>
      <c r="Z78" s="94" t="str">
        <f t="shared" si="40"/>
        <v>AGOSTO</v>
      </c>
      <c r="AA78" s="94" t="str">
        <f t="shared" si="40"/>
        <v>SETEMBRO</v>
      </c>
      <c r="AB78" s="94" t="str">
        <f t="shared" si="40"/>
        <v>OUTUBRO</v>
      </c>
      <c r="AC78" s="94" t="str">
        <f t="shared" si="40"/>
        <v>NOVEMBRO</v>
      </c>
      <c r="AD78" s="94" t="str">
        <f t="shared" si="40"/>
        <v>DEZEMBRO</v>
      </c>
      <c r="AE78" s="94" t="str">
        <f t="shared" si="40"/>
        <v>TOTAL</v>
      </c>
    </row>
    <row r="79" spans="1:33">
      <c r="A79" s="246">
        <f t="shared" si="38"/>
        <v>172953.87</v>
      </c>
      <c r="B79" s="247">
        <v>172953.87</v>
      </c>
      <c r="C79" s="63">
        <v>2011</v>
      </c>
      <c r="D79" s="247">
        <v>172953.87</v>
      </c>
      <c r="E79" s="360">
        <v>172953.87</v>
      </c>
      <c r="F79" s="247">
        <v>169801.14</v>
      </c>
      <c r="G79" s="360">
        <v>172953.87</v>
      </c>
      <c r="H79" s="247">
        <v>172953.87</v>
      </c>
      <c r="I79" s="242"/>
      <c r="J79" s="247">
        <v>172953.87</v>
      </c>
      <c r="K79" s="360">
        <v>172953.87</v>
      </c>
      <c r="L79" s="247">
        <v>172953.87</v>
      </c>
      <c r="M79" s="252">
        <v>169801.14</v>
      </c>
      <c r="N79" s="247"/>
      <c r="O79" s="419"/>
      <c r="Q79" s="203" t="s">
        <v>343</v>
      </c>
      <c r="R79" s="94" t="s">
        <v>273</v>
      </c>
      <c r="S79" s="96">
        <f t="shared" ref="S79:AE79" si="41">S20</f>
        <v>11743329.971881812</v>
      </c>
      <c r="T79" s="96">
        <f t="shared" si="41"/>
        <v>11989843.256989833</v>
      </c>
      <c r="U79" s="96">
        <f t="shared" si="41"/>
        <v>14304599.079600548</v>
      </c>
      <c r="V79" s="96">
        <f t="shared" si="41"/>
        <v>15064769.618445041</v>
      </c>
      <c r="W79" s="96">
        <f t="shared" si="41"/>
        <v>15172889.72551905</v>
      </c>
      <c r="X79" s="96">
        <f t="shared" si="41"/>
        <v>14277679.948687702</v>
      </c>
      <c r="Y79" s="96">
        <f t="shared" si="41"/>
        <v>16423264.316454535</v>
      </c>
      <c r="Z79" s="96">
        <f t="shared" si="41"/>
        <v>14366418.568886152</v>
      </c>
      <c r="AA79" s="96">
        <f t="shared" si="41"/>
        <v>13907970.007902924</v>
      </c>
      <c r="AB79" s="96">
        <f t="shared" si="41"/>
        <v>15230797.994875355</v>
      </c>
      <c r="AC79" s="96">
        <f t="shared" si="41"/>
        <v>14567343.235719029</v>
      </c>
      <c r="AD79" s="96">
        <f t="shared" si="41"/>
        <v>23158599.155038036</v>
      </c>
      <c r="AE79" s="96">
        <f t="shared" si="41"/>
        <v>180207504.88000003</v>
      </c>
      <c r="AG79" s="61"/>
    </row>
    <row r="80" spans="1:33">
      <c r="A80" s="246">
        <f t="shared" si="38"/>
        <v>1853617.76</v>
      </c>
      <c r="B80" s="247">
        <v>1840064.14</v>
      </c>
      <c r="C80" s="63">
        <v>2012</v>
      </c>
      <c r="D80" s="247">
        <v>1826510.52</v>
      </c>
      <c r="E80" s="360">
        <v>1812792.97</v>
      </c>
      <c r="F80" s="247">
        <v>1798786.57</v>
      </c>
      <c r="G80" s="360">
        <v>1782458.96</v>
      </c>
      <c r="H80" s="247">
        <v>1768905.34</v>
      </c>
      <c r="I80" s="242"/>
      <c r="J80" s="247">
        <v>1755351.72</v>
      </c>
      <c r="K80" s="360">
        <v>1741666.83</v>
      </c>
      <c r="L80" s="247">
        <v>1727981.94</v>
      </c>
      <c r="M80" s="252">
        <v>1681493.98</v>
      </c>
      <c r="N80" s="247"/>
      <c r="O80" s="419"/>
    </row>
    <row r="81" spans="1:32">
      <c r="A81" s="246">
        <f t="shared" si="38"/>
        <v>10667.58</v>
      </c>
      <c r="B81" s="247">
        <v>10667.58</v>
      </c>
      <c r="C81" s="63">
        <v>2013</v>
      </c>
      <c r="D81" s="247">
        <v>10667.58</v>
      </c>
      <c r="E81" s="360">
        <v>10667.58</v>
      </c>
      <c r="F81" s="247">
        <v>9489.8700000000008</v>
      </c>
      <c r="G81" s="360">
        <v>10667.58</v>
      </c>
      <c r="H81" s="247">
        <v>10667.58</v>
      </c>
      <c r="I81" s="242"/>
      <c r="J81" s="247">
        <v>10667.58</v>
      </c>
      <c r="K81" s="360">
        <v>10667.58</v>
      </c>
      <c r="L81" s="247">
        <v>10667.58</v>
      </c>
      <c r="M81" s="252">
        <v>9489.8700000000008</v>
      </c>
      <c r="N81" s="247"/>
      <c r="O81" s="419"/>
      <c r="Q81" s="203">
        <f t="shared" ref="Q81:AE81" si="42">Q13</f>
        <v>10</v>
      </c>
      <c r="R81" s="203" t="str">
        <f t="shared" si="42"/>
        <v>SMS</v>
      </c>
      <c r="S81" s="96">
        <f t="shared" si="42"/>
        <v>1909501.6614223479</v>
      </c>
      <c r="T81" s="96">
        <f t="shared" si="42"/>
        <v>1950980.7011660014</v>
      </c>
      <c r="U81" s="96">
        <f t="shared" si="42"/>
        <v>2340468.2240021438</v>
      </c>
      <c r="V81" s="96">
        <f t="shared" si="42"/>
        <v>2468376.7218296276</v>
      </c>
      <c r="W81" s="96">
        <f t="shared" si="42"/>
        <v>2486569.3243761626</v>
      </c>
      <c r="X81" s="96">
        <f t="shared" si="42"/>
        <v>2335938.7330235578</v>
      </c>
      <c r="Y81" s="96">
        <f t="shared" si="42"/>
        <v>2696960.9766116212</v>
      </c>
      <c r="Z81" s="96">
        <f t="shared" si="42"/>
        <v>2350870.1504211859</v>
      </c>
      <c r="AA81" s="96">
        <f t="shared" si="42"/>
        <v>2273730.2669738848</v>
      </c>
      <c r="AB81" s="96">
        <f t="shared" si="42"/>
        <v>2496313.1375952503</v>
      </c>
      <c r="AC81" s="96">
        <f t="shared" si="42"/>
        <v>2384678.3171388102</v>
      </c>
      <c r="AD81" s="96">
        <f t="shared" si="42"/>
        <v>3830267.9354394069</v>
      </c>
      <c r="AE81" s="96">
        <f t="shared" si="42"/>
        <v>29524656.150000002</v>
      </c>
    </row>
    <row r="82" spans="1:32">
      <c r="A82" s="246">
        <f t="shared" si="38"/>
        <v>262666.27</v>
      </c>
      <c r="B82" s="247">
        <v>239850.34</v>
      </c>
      <c r="C82" s="63">
        <v>2014</v>
      </c>
      <c r="D82" s="247">
        <v>217034.41</v>
      </c>
      <c r="E82" s="360">
        <v>194218.48</v>
      </c>
      <c r="F82" s="247">
        <v>191899.2</v>
      </c>
      <c r="G82" s="360">
        <v>148586.62</v>
      </c>
      <c r="H82" s="247">
        <v>125770.69</v>
      </c>
      <c r="I82" s="242"/>
      <c r="J82" s="247">
        <v>102954.76</v>
      </c>
      <c r="K82" s="360">
        <v>79925.05</v>
      </c>
      <c r="L82" s="247">
        <v>56895.34</v>
      </c>
      <c r="M82" s="252">
        <v>50378.79</v>
      </c>
      <c r="N82" s="247"/>
      <c r="O82" s="419"/>
      <c r="Q82" s="225"/>
      <c r="R82" s="225" t="s">
        <v>344</v>
      </c>
      <c r="S82" s="96">
        <f>(S81/S79)*100</f>
        <v>16.26030832816971</v>
      </c>
      <c r="T82" s="96">
        <f t="shared" ref="T82:AD82" si="43">(T81/T79)*100</f>
        <v>16.271945006692391</v>
      </c>
      <c r="U82" s="96">
        <f t="shared" si="43"/>
        <v>16.361648522815507</v>
      </c>
      <c r="V82" s="96">
        <f t="shared" si="43"/>
        <v>16.38509439140304</v>
      </c>
      <c r="W82" s="96">
        <f t="shared" si="43"/>
        <v>16.388238294476231</v>
      </c>
      <c r="X82" s="96">
        <f t="shared" si="43"/>
        <v>16.360772488377986</v>
      </c>
      <c r="Y82" s="96">
        <f t="shared" si="43"/>
        <v>16.421589061984012</v>
      </c>
      <c r="Z82" s="96">
        <f t="shared" si="43"/>
        <v>16.3636478997803</v>
      </c>
      <c r="AA82" s="96">
        <f t="shared" si="43"/>
        <v>16.348397830034745</v>
      </c>
      <c r="AB82" s="96">
        <f t="shared" si="43"/>
        <v>16.389903788594495</v>
      </c>
      <c r="AC82" s="96">
        <f t="shared" si="43"/>
        <v>16.370029033788363</v>
      </c>
      <c r="AD82" s="96">
        <f t="shared" si="43"/>
        <v>16.539290264481092</v>
      </c>
      <c r="AE82" s="96">
        <f>(AE81/AE79)*100</f>
        <v>16.383699541070964</v>
      </c>
    </row>
    <row r="83" spans="1:32">
      <c r="A83" s="246">
        <f t="shared" si="38"/>
        <v>2976030.69</v>
      </c>
      <c r="B83" s="247">
        <v>2963376.61</v>
      </c>
      <c r="C83" s="63">
        <v>2015</v>
      </c>
      <c r="D83" s="247">
        <v>2950722.53</v>
      </c>
      <c r="E83" s="360">
        <v>2938068.45</v>
      </c>
      <c r="F83" s="247">
        <v>2938068.45</v>
      </c>
      <c r="G83" s="360">
        <v>2912760.29</v>
      </c>
      <c r="H83" s="247">
        <v>2900106.21</v>
      </c>
      <c r="I83" s="242"/>
      <c r="J83" s="247">
        <v>2887452.13</v>
      </c>
      <c r="K83" s="360">
        <v>2874662.04</v>
      </c>
      <c r="L83" s="247">
        <v>2861871.95</v>
      </c>
      <c r="M83" s="252">
        <v>2849217.87</v>
      </c>
      <c r="N83" s="247"/>
      <c r="O83" s="419"/>
      <c r="U83" s="118"/>
      <c r="V83" s="118"/>
      <c r="W83" s="118"/>
      <c r="X83" s="61"/>
      <c r="Y83" s="118"/>
      <c r="Z83" s="61"/>
    </row>
    <row r="84" spans="1:32">
      <c r="A84" s="246">
        <f t="shared" si="38"/>
        <v>3090443.38</v>
      </c>
      <c r="B84" s="247">
        <v>3076165.72</v>
      </c>
      <c r="C84" s="63">
        <v>2016</v>
      </c>
      <c r="D84" s="247">
        <v>3061888.06</v>
      </c>
      <c r="E84" s="360">
        <v>3047610.4</v>
      </c>
      <c r="F84" s="247">
        <v>3046096.7</v>
      </c>
      <c r="G84" s="360">
        <v>3019055.08</v>
      </c>
      <c r="H84" s="247">
        <v>3004777.42</v>
      </c>
      <c r="I84" s="242"/>
      <c r="J84" s="247">
        <v>2990499.76</v>
      </c>
      <c r="K84" s="360">
        <v>2976151.94</v>
      </c>
      <c r="L84" s="247">
        <v>2961804.12</v>
      </c>
      <c r="M84" s="252">
        <v>2946012.76</v>
      </c>
      <c r="N84" s="247"/>
      <c r="O84" s="419"/>
      <c r="R84" s="94" t="s">
        <v>345</v>
      </c>
      <c r="S84" s="225" t="s">
        <v>346</v>
      </c>
      <c r="T84" s="225" t="s">
        <v>347</v>
      </c>
      <c r="U84" s="225" t="s">
        <v>348</v>
      </c>
      <c r="V84" s="94" t="s">
        <v>128</v>
      </c>
      <c r="W84" s="94" t="s">
        <v>349</v>
      </c>
      <c r="X84" s="94" t="s">
        <v>350</v>
      </c>
      <c r="Y84" s="94" t="s">
        <v>144</v>
      </c>
      <c r="Z84" s="225" t="s">
        <v>351</v>
      </c>
      <c r="AA84" s="94" t="s">
        <v>352</v>
      </c>
    </row>
    <row r="85" spans="1:32">
      <c r="A85" s="246">
        <f t="shared" si="38"/>
        <v>1983979.69</v>
      </c>
      <c r="B85" s="247">
        <v>1946694.19</v>
      </c>
      <c r="C85" s="63">
        <v>2017</v>
      </c>
      <c r="D85" s="247">
        <v>1909408.69</v>
      </c>
      <c r="E85" s="360">
        <v>1872123.19</v>
      </c>
      <c r="F85" s="247">
        <v>1872123.19</v>
      </c>
      <c r="G85" s="360">
        <v>1797552.19</v>
      </c>
      <c r="H85" s="247">
        <v>1760285.38</v>
      </c>
      <c r="I85" s="242"/>
      <c r="J85" s="247">
        <v>1723018.57</v>
      </c>
      <c r="K85" s="360">
        <v>1685664.02</v>
      </c>
      <c r="L85" s="247">
        <v>1648309.47</v>
      </c>
      <c r="M85" s="252">
        <v>1611141.94</v>
      </c>
      <c r="N85" s="247"/>
      <c r="O85" s="419"/>
      <c r="R85" s="94" t="s">
        <v>353</v>
      </c>
      <c r="S85" s="45">
        <f>Cruz!I27</f>
        <v>191311776.60999998</v>
      </c>
      <c r="T85" s="175">
        <f>S85-U85</f>
        <v>44794085.48999998</v>
      </c>
      <c r="U85" s="45">
        <f>AE67</f>
        <v>146517691.12</v>
      </c>
      <c r="V85" s="45">
        <f>AE64</f>
        <v>138000921.88999999</v>
      </c>
      <c r="W85" s="45">
        <f>U85-V85</f>
        <v>8516769.2300000191</v>
      </c>
      <c r="X85" s="45">
        <f>128168366.9</f>
        <v>128168366.90000001</v>
      </c>
      <c r="Y85" s="175">
        <f>V85-X85</f>
        <v>9832554.9899999797</v>
      </c>
      <c r="Z85" s="175">
        <f>W85+Y85</f>
        <v>18349324.219999999</v>
      </c>
      <c r="AA85" s="253">
        <f>Z85-W85</f>
        <v>9832554.9899999797</v>
      </c>
    </row>
    <row r="86" spans="1:32">
      <c r="A86" s="246">
        <f t="shared" si="38"/>
        <v>1947123.88</v>
      </c>
      <c r="B86" s="247">
        <v>1947123.88</v>
      </c>
      <c r="C86" s="63">
        <v>2018</v>
      </c>
      <c r="D86" s="247">
        <v>1947123.88</v>
      </c>
      <c r="E86" s="360">
        <v>1947123.88</v>
      </c>
      <c r="F86" s="247">
        <v>1945507.17</v>
      </c>
      <c r="G86" s="360">
        <v>1942352.88</v>
      </c>
      <c r="H86" s="247">
        <v>1942352.88</v>
      </c>
      <c r="I86" s="242"/>
      <c r="J86" s="247">
        <v>1942352.88</v>
      </c>
      <c r="K86" s="360">
        <v>1942352.88</v>
      </c>
      <c r="L86" s="247">
        <v>1942352.88</v>
      </c>
      <c r="M86" s="252">
        <v>1940736.17</v>
      </c>
      <c r="N86" s="247"/>
      <c r="O86" s="419"/>
      <c r="T86" s="106" t="s">
        <v>354</v>
      </c>
    </row>
    <row r="87" spans="1:32">
      <c r="A87" s="246">
        <f t="shared" si="38"/>
        <v>1589682.36</v>
      </c>
      <c r="B87" s="247">
        <v>1589682.36</v>
      </c>
      <c r="C87" s="63">
        <v>2019</v>
      </c>
      <c r="D87" s="247">
        <v>1589682.36</v>
      </c>
      <c r="E87" s="360">
        <v>1589682.36</v>
      </c>
      <c r="F87" s="247">
        <v>1586108.09</v>
      </c>
      <c r="G87" s="360">
        <v>1587718.75</v>
      </c>
      <c r="H87" s="247">
        <v>1581519.24</v>
      </c>
      <c r="I87" s="242"/>
      <c r="J87" s="247">
        <v>1581519.24</v>
      </c>
      <c r="K87" s="360">
        <v>1581519.24</v>
      </c>
      <c r="L87" s="247">
        <v>1581519.24</v>
      </c>
      <c r="M87" s="252">
        <v>1577944.97</v>
      </c>
      <c r="N87" s="247"/>
      <c r="O87" s="419"/>
      <c r="Q87" s="94" t="s">
        <v>125</v>
      </c>
      <c r="R87" s="94" t="s">
        <v>355</v>
      </c>
      <c r="S87" s="175">
        <f>S40</f>
        <v>10042746.34</v>
      </c>
      <c r="T87" s="175">
        <f t="shared" ref="T87:AE87" si="44">T40</f>
        <v>11932025.470000001</v>
      </c>
      <c r="U87" s="175">
        <f t="shared" si="44"/>
        <v>12995713.240000002</v>
      </c>
      <c r="V87" s="175">
        <f t="shared" si="44"/>
        <v>13061736.99</v>
      </c>
      <c r="W87" s="175">
        <f t="shared" si="44"/>
        <v>14078822.640000001</v>
      </c>
      <c r="X87" s="175">
        <f t="shared" si="44"/>
        <v>17263926.669999998</v>
      </c>
      <c r="Y87" s="175">
        <f t="shared" si="44"/>
        <v>14170674.459999999</v>
      </c>
      <c r="Z87" s="175">
        <f t="shared" si="44"/>
        <v>13856574.899999999</v>
      </c>
      <c r="AA87" s="175">
        <f t="shared" si="44"/>
        <v>14300806.17</v>
      </c>
      <c r="AB87" s="175">
        <f t="shared" si="44"/>
        <v>16297895.010000004</v>
      </c>
      <c r="AC87" s="175">
        <f t="shared" si="44"/>
        <v>0</v>
      </c>
      <c r="AD87" s="175">
        <f t="shared" si="44"/>
        <v>0</v>
      </c>
      <c r="AE87" s="175">
        <f t="shared" si="44"/>
        <v>138000921.88999999</v>
      </c>
      <c r="AF87" s="61"/>
    </row>
    <row r="88" spans="1:32">
      <c r="A88" s="246">
        <f t="shared" si="38"/>
        <v>5680688.5700000003</v>
      </c>
      <c r="B88" s="247">
        <v>5574403.1600000001</v>
      </c>
      <c r="C88" s="63">
        <v>2020</v>
      </c>
      <c r="D88" s="247">
        <v>5452349.8099999996</v>
      </c>
      <c r="E88" s="360">
        <v>5428351.1900000004</v>
      </c>
      <c r="F88" s="247">
        <v>5425688.5499999998</v>
      </c>
      <c r="G88" s="360">
        <v>5160820.26</v>
      </c>
      <c r="H88" s="247">
        <v>5071879.8</v>
      </c>
      <c r="I88" s="242"/>
      <c r="J88" s="247">
        <v>4974185.5599999996</v>
      </c>
      <c r="K88" s="360">
        <v>4878471.75</v>
      </c>
      <c r="L88" s="247">
        <v>4765345.7</v>
      </c>
      <c r="M88" s="247">
        <v>4667432.97</v>
      </c>
      <c r="N88" s="247"/>
      <c r="O88" s="419"/>
    </row>
    <row r="89" spans="1:32">
      <c r="A89" s="354">
        <v>1358407.71</v>
      </c>
      <c r="B89" s="454">
        <v>1358407.71</v>
      </c>
      <c r="C89" s="41">
        <v>2021</v>
      </c>
      <c r="D89" s="454">
        <v>1101746.45</v>
      </c>
      <c r="E89" s="358">
        <v>1192060.05</v>
      </c>
      <c r="F89" s="454">
        <v>1191267.1599999999</v>
      </c>
      <c r="G89" s="358">
        <v>774491.43</v>
      </c>
      <c r="H89" s="454">
        <v>721135.3</v>
      </c>
      <c r="I89" s="458"/>
      <c r="J89" s="454">
        <v>545689.11</v>
      </c>
      <c r="K89" s="358">
        <v>531930.01</v>
      </c>
      <c r="L89" s="454">
        <v>462235.07</v>
      </c>
      <c r="M89" s="454">
        <v>458930.18</v>
      </c>
      <c r="N89" s="454"/>
      <c r="O89" s="355"/>
      <c r="Q89" s="94">
        <f t="shared" ref="Q89:AE89" si="45">Q33</f>
        <v>10</v>
      </c>
      <c r="R89" s="94" t="str">
        <f t="shared" si="45"/>
        <v>SMSMA</v>
      </c>
      <c r="S89" s="96">
        <f t="shared" si="45"/>
        <v>2160274.39</v>
      </c>
      <c r="T89" s="96">
        <f t="shared" si="45"/>
        <v>2485721.2599999998</v>
      </c>
      <c r="U89" s="96">
        <f t="shared" si="45"/>
        <v>2241731.09</v>
      </c>
      <c r="V89" s="96">
        <f t="shared" si="45"/>
        <v>2969516.94</v>
      </c>
      <c r="W89" s="96">
        <f t="shared" si="45"/>
        <v>2755897.41</v>
      </c>
      <c r="X89" s="96">
        <f t="shared" si="45"/>
        <v>3209993.33</v>
      </c>
      <c r="Y89" s="96">
        <f t="shared" si="45"/>
        <v>3054426.38</v>
      </c>
      <c r="Z89" s="96">
        <f t="shared" si="45"/>
        <v>2842612.35</v>
      </c>
      <c r="AA89" s="96">
        <f t="shared" si="45"/>
        <v>2613135</v>
      </c>
      <c r="AB89" s="96">
        <f t="shared" si="45"/>
        <v>2593923.31</v>
      </c>
      <c r="AC89" s="96">
        <f t="shared" si="45"/>
        <v>0</v>
      </c>
      <c r="AD89" s="96">
        <f t="shared" si="45"/>
        <v>0</v>
      </c>
      <c r="AE89" s="96">
        <f t="shared" si="45"/>
        <v>26927231.460000001</v>
      </c>
    </row>
    <row r="90" spans="1:32">
      <c r="A90" s="354">
        <f>SUM(A72:A89)</f>
        <v>20944760.240000002</v>
      </c>
      <c r="B90" s="454">
        <f>SUM(B72:B89)</f>
        <v>20737888.039999999</v>
      </c>
      <c r="C90" s="459">
        <f>20737888.04-B90</f>
        <v>0</v>
      </c>
      <c r="D90" s="454">
        <f>SUM(D72:D89)</f>
        <v>20258586.639999997</v>
      </c>
      <c r="E90" s="358">
        <f>SUM(E72:E89)</f>
        <v>20224150.900000002</v>
      </c>
      <c r="F90" s="358">
        <f>SUM(F72:F89)</f>
        <v>20190427.109999999</v>
      </c>
      <c r="G90" s="358">
        <f t="shared" ref="G90" si="46">SUM(G72:G89)</f>
        <v>19327916.390000001</v>
      </c>
      <c r="H90" s="358">
        <f>SUM(H72:H89)</f>
        <v>19078852.189999998</v>
      </c>
      <c r="I90" s="458"/>
      <c r="J90" s="454">
        <f>SUM(J72:J89)</f>
        <v>18705143.66</v>
      </c>
      <c r="K90" s="656">
        <f>SUM(K72:K89)</f>
        <v>18494463.690000001</v>
      </c>
      <c r="L90" s="656">
        <f>SUM(L72:L89)</f>
        <v>18210435.640000001</v>
      </c>
      <c r="M90" s="656">
        <f t="shared" ref="M90:O90" si="47">SUM(M72:M89)</f>
        <v>17978171.66</v>
      </c>
      <c r="N90" s="656"/>
      <c r="O90" s="656">
        <f t="shared" si="47"/>
        <v>0</v>
      </c>
      <c r="Q90" s="203" t="s">
        <v>356</v>
      </c>
      <c r="R90" s="225" t="s">
        <v>344</v>
      </c>
      <c r="S90" s="96">
        <f t="shared" ref="S90:AD90" si="48">(S89/S87)*100</f>
        <v>21.510793132309665</v>
      </c>
      <c r="T90" s="96">
        <f t="shared" si="48"/>
        <v>20.832349597725084</v>
      </c>
      <c r="U90" s="96">
        <f>(U89/U87)*100</f>
        <v>17.249773433751141</v>
      </c>
      <c r="V90" s="96">
        <f t="shared" si="48"/>
        <v>22.734472009912977</v>
      </c>
      <c r="W90" s="96">
        <f t="shared" si="48"/>
        <v>19.574771843279645</v>
      </c>
      <c r="X90" s="96">
        <f t="shared" si="48"/>
        <v>18.593645532439002</v>
      </c>
      <c r="Y90" s="96">
        <f t="shared" si="48"/>
        <v>21.55455894934164</v>
      </c>
      <c r="Z90" s="96">
        <f t="shared" si="48"/>
        <v>20.514538192262798</v>
      </c>
      <c r="AA90" s="96">
        <f t="shared" si="48"/>
        <v>18.272641198940185</v>
      </c>
      <c r="AB90" s="96">
        <f t="shared" si="48"/>
        <v>15.915695299352647</v>
      </c>
      <c r="AC90" s="96" t="e">
        <f t="shared" si="48"/>
        <v>#DIV/0!</v>
      </c>
      <c r="AD90" s="96" t="e">
        <f t="shared" si="48"/>
        <v>#DIV/0!</v>
      </c>
      <c r="AE90" s="95">
        <f>(AE89/AE87)*100</f>
        <v>19.512356215608179</v>
      </c>
    </row>
    <row r="91" spans="1:32">
      <c r="A91" s="85" t="s">
        <v>357</v>
      </c>
      <c r="B91" s="61">
        <f>A90-B90</f>
        <v>206872.20000000298</v>
      </c>
      <c r="C91" s="61"/>
      <c r="D91" s="327">
        <f>B90-D90</f>
        <v>479301.40000000224</v>
      </c>
      <c r="E91" s="61">
        <f>D90-E90</f>
        <v>34435.739999994636</v>
      </c>
      <c r="F91" s="252">
        <f>E90-F90</f>
        <v>33723.790000002831</v>
      </c>
      <c r="G91" s="61">
        <f>F90-G90</f>
        <v>862510.71999999881</v>
      </c>
      <c r="H91" s="252">
        <f>G90-H90</f>
        <v>249064.20000000298</v>
      </c>
      <c r="J91" s="252">
        <f>H90-J90</f>
        <v>373708.52999999747</v>
      </c>
      <c r="K91" s="61">
        <f>J90-K90</f>
        <v>210679.96999999881</v>
      </c>
      <c r="L91" s="252">
        <f>K90-L90</f>
        <v>284028.05000000075</v>
      </c>
      <c r="M91" s="61">
        <f>L90-M90</f>
        <v>232263.98000000045</v>
      </c>
      <c r="N91" s="252"/>
      <c r="O91" s="61">
        <f>N90-O90</f>
        <v>0</v>
      </c>
    </row>
    <row r="92" spans="1:32">
      <c r="A92" s="257" t="s">
        <v>358</v>
      </c>
      <c r="B92" s="254">
        <f>B90-20622652.63</f>
        <v>115235.41000000015</v>
      </c>
      <c r="C92" s="234"/>
      <c r="D92" s="254">
        <f>D90-20190158.89</f>
        <v>68427.749999996275</v>
      </c>
      <c r="E92" s="254"/>
      <c r="F92" s="97"/>
      <c r="G92" s="478">
        <f>19327916.39-G90</f>
        <v>0</v>
      </c>
      <c r="H92" s="385">
        <f>19078852.19-H90</f>
        <v>0</v>
      </c>
      <c r="I92" s="240"/>
      <c r="J92" s="97">
        <f>18705143.66-J90</f>
        <v>0</v>
      </c>
      <c r="K92" s="478">
        <f>18494463.69-K90</f>
        <v>0</v>
      </c>
      <c r="L92" s="97"/>
      <c r="M92" s="255"/>
      <c r="N92" s="97"/>
      <c r="O92" s="236"/>
    </row>
    <row r="93" spans="1:32">
      <c r="D93" s="60"/>
      <c r="L93" s="118"/>
      <c r="N93" s="118"/>
      <c r="O93" s="118"/>
    </row>
    <row r="94" spans="1:32">
      <c r="R94" s="203" t="s">
        <v>359</v>
      </c>
      <c r="S94" s="94" t="str">
        <f t="shared" ref="S94:AE94" si="49">S43</f>
        <v>Janeiro</v>
      </c>
      <c r="T94" s="94" t="str">
        <f t="shared" si="49"/>
        <v>Fevereiro</v>
      </c>
      <c r="U94" s="94" t="str">
        <f t="shared" si="49"/>
        <v>Março</v>
      </c>
      <c r="V94" s="94" t="str">
        <f t="shared" si="49"/>
        <v>Abril</v>
      </c>
      <c r="W94" s="94" t="str">
        <f t="shared" si="49"/>
        <v>Maio</v>
      </c>
      <c r="X94" s="94" t="str">
        <f t="shared" si="49"/>
        <v>Junho</v>
      </c>
      <c r="Y94" s="94" t="str">
        <f t="shared" si="49"/>
        <v>Julho</v>
      </c>
      <c r="Z94" s="94" t="str">
        <f t="shared" si="49"/>
        <v>Agosto</v>
      </c>
      <c r="AA94" s="94" t="str">
        <f t="shared" si="49"/>
        <v>Setembro</v>
      </c>
      <c r="AB94" s="94" t="str">
        <f t="shared" si="49"/>
        <v>Outubro</v>
      </c>
      <c r="AC94" s="94" t="str">
        <f t="shared" si="49"/>
        <v>Novembro</v>
      </c>
      <c r="AD94" s="94" t="str">
        <f t="shared" si="49"/>
        <v>Dezembro</v>
      </c>
      <c r="AE94" s="94" t="str">
        <f t="shared" si="49"/>
        <v>TOTAL</v>
      </c>
    </row>
    <row r="95" spans="1:32">
      <c r="Q95" s="330"/>
      <c r="R95" s="331" t="s">
        <v>289</v>
      </c>
      <c r="S95" s="212">
        <f>S89/$AE$89</f>
        <v>8.0226383213924363E-2</v>
      </c>
      <c r="T95" s="212">
        <f t="shared" ref="T95:AD95" si="50">T89/$AE$89</f>
        <v>9.2312544781757516E-2</v>
      </c>
      <c r="U95" s="212">
        <f t="shared" si="50"/>
        <v>8.3251450982996814E-2</v>
      </c>
      <c r="V95" s="212">
        <f t="shared" si="50"/>
        <v>0.11027932613165868</v>
      </c>
      <c r="W95" s="212">
        <f t="shared" si="50"/>
        <v>0.10234611063130811</v>
      </c>
      <c r="X95" s="212">
        <f t="shared" si="50"/>
        <v>0.11920992823819995</v>
      </c>
      <c r="Y95" s="212">
        <f t="shared" si="50"/>
        <v>0.11343261874275135</v>
      </c>
      <c r="Z95" s="212">
        <f t="shared" si="50"/>
        <v>0.1055664543242278</v>
      </c>
      <c r="AA95" s="212">
        <f t="shared" si="50"/>
        <v>9.7044324957126504E-2</v>
      </c>
      <c r="AB95" s="212">
        <f t="shared" si="50"/>
        <v>9.6330857996048874E-2</v>
      </c>
      <c r="AC95" s="212">
        <f t="shared" si="50"/>
        <v>0</v>
      </c>
      <c r="AD95" s="212">
        <f t="shared" si="50"/>
        <v>0</v>
      </c>
      <c r="AE95" s="212">
        <f>AE89/$AE$20</f>
        <v>0.14942347422173574</v>
      </c>
    </row>
    <row r="98" spans="1:31">
      <c r="S98" s="106" t="s">
        <v>360</v>
      </c>
    </row>
    <row r="99" spans="1:31">
      <c r="C99" s="106" t="s">
        <v>335</v>
      </c>
      <c r="Q99" s="218" t="s">
        <v>290</v>
      </c>
      <c r="R99" s="219"/>
      <c r="S99" s="212" t="s">
        <v>291</v>
      </c>
      <c r="T99" s="220">
        <f>S89+T89</f>
        <v>4645995.6500000004</v>
      </c>
      <c r="U99" s="212" t="s">
        <v>292</v>
      </c>
      <c r="V99" s="221">
        <f>U89+V89</f>
        <v>5211248.0299999993</v>
      </c>
      <c r="W99" s="212" t="s">
        <v>293</v>
      </c>
      <c r="X99" s="221">
        <f>W89+X89</f>
        <v>5965890.7400000002</v>
      </c>
      <c r="Y99" s="212" t="s">
        <v>294</v>
      </c>
      <c r="Z99" s="221">
        <f>Y89+Z89</f>
        <v>5897038.7300000004</v>
      </c>
      <c r="AA99" s="212" t="s">
        <v>295</v>
      </c>
      <c r="AB99" s="221">
        <f>AA89+AB89</f>
        <v>5207058.3100000005</v>
      </c>
      <c r="AC99" s="212" t="s">
        <v>296</v>
      </c>
      <c r="AD99" s="221">
        <f>AC89+AD89</f>
        <v>0</v>
      </c>
      <c r="AE99" s="45">
        <f>SUM(S99:AD99)</f>
        <v>26927231.460000001</v>
      </c>
    </row>
    <row r="100" spans="1:31">
      <c r="A100" s="121" t="s">
        <v>336</v>
      </c>
      <c r="B100" s="244" t="s">
        <v>337</v>
      </c>
      <c r="C100" s="121" t="s">
        <v>338</v>
      </c>
      <c r="D100" s="121" t="s">
        <v>114</v>
      </c>
      <c r="E100" s="244" t="s">
        <v>115</v>
      </c>
      <c r="F100" s="244" t="s">
        <v>116</v>
      </c>
      <c r="G100" s="356" t="s">
        <v>276</v>
      </c>
      <c r="H100" s="203" t="s">
        <v>277</v>
      </c>
      <c r="I100" s="357"/>
      <c r="J100" s="121" t="s">
        <v>278</v>
      </c>
      <c r="K100" s="203" t="s">
        <v>279</v>
      </c>
      <c r="L100" s="245" t="s">
        <v>280</v>
      </c>
      <c r="M100" s="121" t="s">
        <v>282</v>
      </c>
      <c r="N100" s="203" t="s">
        <v>283</v>
      </c>
      <c r="O100" s="121" t="s">
        <v>284</v>
      </c>
    </row>
    <row r="101" spans="1:31">
      <c r="A101" s="246">
        <v>4383.53</v>
      </c>
      <c r="B101" s="246">
        <v>4383.53</v>
      </c>
      <c r="C101" s="86">
        <v>2004</v>
      </c>
      <c r="D101" s="60">
        <v>4383.53</v>
      </c>
      <c r="E101" s="246">
        <v>4383.53</v>
      </c>
      <c r="F101" s="246">
        <v>4383.53</v>
      </c>
      <c r="G101" s="359">
        <v>4383.53</v>
      </c>
      <c r="H101" s="246">
        <v>4383.53</v>
      </c>
      <c r="I101" s="357"/>
      <c r="J101" s="433">
        <v>4383.53</v>
      </c>
      <c r="K101" s="360">
        <v>57.84</v>
      </c>
      <c r="L101" s="248">
        <v>4383.53</v>
      </c>
      <c r="M101" s="60">
        <v>4383.53</v>
      </c>
      <c r="N101" s="249">
        <v>4383.53</v>
      </c>
      <c r="O101" s="249">
        <v>4383.53</v>
      </c>
      <c r="T101" s="106" t="s">
        <v>1221</v>
      </c>
    </row>
    <row r="102" spans="1:31">
      <c r="A102" s="250">
        <v>57.84</v>
      </c>
      <c r="B102" s="250">
        <v>57.84</v>
      </c>
      <c r="C102" s="86">
        <v>2005</v>
      </c>
      <c r="D102" s="59">
        <v>57.84</v>
      </c>
      <c r="E102" s="250">
        <v>57.84</v>
      </c>
      <c r="F102" s="250">
        <v>57.84</v>
      </c>
      <c r="G102" s="250">
        <v>57.84</v>
      </c>
      <c r="H102" s="250">
        <v>57.84</v>
      </c>
      <c r="I102" s="233"/>
      <c r="J102" s="233">
        <v>57.84</v>
      </c>
      <c r="K102" s="360">
        <v>1022.7</v>
      </c>
      <c r="L102" s="252">
        <v>57.84</v>
      </c>
      <c r="M102" s="59">
        <v>57.84</v>
      </c>
      <c r="N102" s="251">
        <v>57.84</v>
      </c>
      <c r="O102" s="251">
        <v>57.84</v>
      </c>
      <c r="R102" s="225" t="s">
        <v>361</v>
      </c>
      <c r="S102" s="45">
        <f t="shared" ref="S102:AE102" si="51">S81-S89</f>
        <v>-250772.72857765225</v>
      </c>
      <c r="T102" s="45">
        <f t="shared" si="51"/>
        <v>-534740.5588339984</v>
      </c>
      <c r="U102" s="45">
        <f t="shared" si="51"/>
        <v>98737.134002143983</v>
      </c>
      <c r="V102" s="45">
        <f t="shared" si="51"/>
        <v>-501140.2181703723</v>
      </c>
      <c r="W102" s="45">
        <f t="shared" si="51"/>
        <v>-269328.08562383754</v>
      </c>
      <c r="X102" s="45">
        <f t="shared" si="51"/>
        <v>-874054.59697644226</v>
      </c>
      <c r="Y102" s="45">
        <f t="shared" si="51"/>
        <v>-357465.40338837868</v>
      </c>
      <c r="Z102" s="45">
        <f t="shared" si="51"/>
        <v>-491742.19957881421</v>
      </c>
      <c r="AA102" s="45">
        <f t="shared" si="51"/>
        <v>-339404.73302611522</v>
      </c>
      <c r="AB102" s="45">
        <f t="shared" si="51"/>
        <v>-97610.172404749785</v>
      </c>
      <c r="AC102" s="45">
        <f t="shared" si="51"/>
        <v>2384678.3171388102</v>
      </c>
      <c r="AD102" s="45">
        <f t="shared" si="51"/>
        <v>3830267.9354394069</v>
      </c>
      <c r="AE102" s="45">
        <f t="shared" si="51"/>
        <v>2597424.6900000013</v>
      </c>
    </row>
    <row r="103" spans="1:31">
      <c r="A103" s="246">
        <v>1022.7</v>
      </c>
      <c r="B103" s="246">
        <v>1022.7</v>
      </c>
      <c r="C103" s="86">
        <v>2006</v>
      </c>
      <c r="D103" s="60">
        <v>1022.7</v>
      </c>
      <c r="E103" s="246">
        <v>1022.7</v>
      </c>
      <c r="F103" s="246">
        <v>1022.7</v>
      </c>
      <c r="G103" s="246">
        <v>1022.7</v>
      </c>
      <c r="H103" s="246">
        <v>1022.7</v>
      </c>
      <c r="I103" s="233"/>
      <c r="J103" s="419">
        <v>1022.7</v>
      </c>
      <c r="K103" s="360">
        <v>776.55</v>
      </c>
      <c r="L103" s="252">
        <v>1022.7</v>
      </c>
      <c r="M103" s="60">
        <v>376.17</v>
      </c>
      <c r="N103" s="247">
        <v>376.17</v>
      </c>
      <c r="O103" s="247">
        <v>1022.7</v>
      </c>
    </row>
    <row r="104" spans="1:31">
      <c r="A104" s="246">
        <v>776.55</v>
      </c>
      <c r="B104" s="246">
        <v>776.55</v>
      </c>
      <c r="C104" s="86">
        <v>2007</v>
      </c>
      <c r="D104" s="60">
        <v>776.55</v>
      </c>
      <c r="E104" s="246">
        <v>776.55</v>
      </c>
      <c r="F104" s="246">
        <v>776.55</v>
      </c>
      <c r="G104" s="246">
        <v>776.55</v>
      </c>
      <c r="H104" s="246">
        <v>776.55</v>
      </c>
      <c r="I104" s="233"/>
      <c r="J104" s="419">
        <v>776.55</v>
      </c>
      <c r="K104" s="360">
        <v>2046.08</v>
      </c>
      <c r="L104" s="252">
        <v>776.55</v>
      </c>
      <c r="M104" s="60">
        <v>776.55</v>
      </c>
      <c r="N104" s="247">
        <v>776.55</v>
      </c>
      <c r="O104" s="251">
        <v>776.55</v>
      </c>
    </row>
    <row r="105" spans="1:31">
      <c r="A105" s="246">
        <v>2046.08</v>
      </c>
      <c r="B105" s="246">
        <v>2046.08</v>
      </c>
      <c r="C105" s="86">
        <v>2008</v>
      </c>
      <c r="D105" s="60">
        <v>2046.08</v>
      </c>
      <c r="E105" s="246">
        <v>2046.08</v>
      </c>
      <c r="F105" s="246">
        <v>2046.08</v>
      </c>
      <c r="G105" s="246">
        <v>2046.08</v>
      </c>
      <c r="H105" s="246">
        <v>2046.08</v>
      </c>
      <c r="I105" s="233"/>
      <c r="J105" s="419">
        <v>2046.08</v>
      </c>
      <c r="K105" s="360">
        <v>2230.9</v>
      </c>
      <c r="L105" s="252">
        <v>2046.08</v>
      </c>
      <c r="M105" s="60">
        <v>1737.19</v>
      </c>
      <c r="N105" s="247">
        <v>1737.19</v>
      </c>
      <c r="O105" s="247">
        <v>2046.08</v>
      </c>
    </row>
    <row r="106" spans="1:31">
      <c r="A106" s="246">
        <v>2230.9</v>
      </c>
      <c r="B106" s="246">
        <v>2230.9</v>
      </c>
      <c r="C106" s="86">
        <v>2009</v>
      </c>
      <c r="D106" s="60">
        <v>2230.9</v>
      </c>
      <c r="E106" s="246">
        <v>2230.9</v>
      </c>
      <c r="F106" s="246">
        <v>2230.9</v>
      </c>
      <c r="G106" s="246">
        <v>2230.9</v>
      </c>
      <c r="H106" s="246">
        <v>2230.9</v>
      </c>
      <c r="I106" s="233"/>
      <c r="J106" s="419">
        <v>2230.9</v>
      </c>
      <c r="K106" s="360">
        <v>7980.88</v>
      </c>
      <c r="L106" s="252">
        <v>2230.9</v>
      </c>
      <c r="M106" s="60">
        <v>1779.08</v>
      </c>
      <c r="N106" s="247">
        <v>1779.08</v>
      </c>
      <c r="O106" s="247">
        <v>2230.9</v>
      </c>
      <c r="T106" s="106" t="s">
        <v>362</v>
      </c>
    </row>
    <row r="107" spans="1:31">
      <c r="A107" s="246">
        <v>7980.88</v>
      </c>
      <c r="B107" s="246">
        <v>7980.88</v>
      </c>
      <c r="C107" s="86">
        <v>2010</v>
      </c>
      <c r="D107" s="60">
        <v>7980.88</v>
      </c>
      <c r="E107" s="246">
        <v>7980.88</v>
      </c>
      <c r="F107" s="246">
        <v>7980.88</v>
      </c>
      <c r="G107" s="246">
        <v>7980.88</v>
      </c>
      <c r="H107" s="246">
        <v>7980.88</v>
      </c>
      <c r="I107" s="233"/>
      <c r="J107" s="419">
        <v>7980.88</v>
      </c>
      <c r="K107" s="360">
        <v>172953.87</v>
      </c>
      <c r="L107" s="252">
        <v>7980.88</v>
      </c>
      <c r="M107" s="60">
        <v>6480.66</v>
      </c>
      <c r="N107" s="247">
        <v>6480.66</v>
      </c>
      <c r="O107" s="247">
        <v>7980.88</v>
      </c>
    </row>
    <row r="108" spans="1:31">
      <c r="A108" s="246">
        <v>172953.87</v>
      </c>
      <c r="B108" s="246">
        <v>172953.87</v>
      </c>
      <c r="C108" s="86">
        <v>2011</v>
      </c>
      <c r="D108" s="60">
        <v>172953.87</v>
      </c>
      <c r="E108" s="246">
        <v>172953.87</v>
      </c>
      <c r="F108" s="246">
        <v>172953.87</v>
      </c>
      <c r="G108" s="246">
        <v>172953.87</v>
      </c>
      <c r="H108" s="246">
        <v>172953.87</v>
      </c>
      <c r="I108" s="233"/>
      <c r="J108" s="419">
        <v>172953.87</v>
      </c>
      <c r="K108" s="360">
        <v>1907832.24</v>
      </c>
      <c r="L108" s="252">
        <v>172953.87</v>
      </c>
      <c r="M108" s="60">
        <v>169801.14</v>
      </c>
      <c r="N108" s="247">
        <v>169801.14</v>
      </c>
      <c r="O108" s="247">
        <v>172953.87</v>
      </c>
      <c r="S108" s="106" t="s">
        <v>363</v>
      </c>
    </row>
    <row r="109" spans="1:31">
      <c r="A109" s="246">
        <v>2016261.2</v>
      </c>
      <c r="B109" s="246">
        <v>2002707.58</v>
      </c>
      <c r="C109" s="86">
        <v>2012</v>
      </c>
      <c r="D109" s="60">
        <v>1989153.96</v>
      </c>
      <c r="E109" s="246">
        <v>1975600.34</v>
      </c>
      <c r="F109" s="246">
        <v>1962046.72</v>
      </c>
      <c r="G109" s="246">
        <v>1948493.1</v>
      </c>
      <c r="H109" s="246">
        <v>1934939.48</v>
      </c>
      <c r="I109" s="233"/>
      <c r="J109" s="419">
        <v>1921385.86</v>
      </c>
      <c r="K109" s="360">
        <v>10667.58</v>
      </c>
      <c r="L109" s="252">
        <v>1894278.62</v>
      </c>
      <c r="M109" s="60">
        <v>1866718.6</v>
      </c>
      <c r="N109" s="247">
        <v>1853164.98</v>
      </c>
      <c r="O109" s="247">
        <v>1853617.76</v>
      </c>
      <c r="S109" s="94" t="s">
        <v>364</v>
      </c>
      <c r="T109" s="94" t="s">
        <v>365</v>
      </c>
      <c r="U109" s="94" t="s">
        <v>366</v>
      </c>
      <c r="V109" s="94" t="s">
        <v>367</v>
      </c>
      <c r="W109" s="94" t="s">
        <v>368</v>
      </c>
      <c r="X109" s="94" t="s">
        <v>369</v>
      </c>
      <c r="Y109" s="94" t="s">
        <v>370</v>
      </c>
      <c r="Z109" s="94" t="s">
        <v>371</v>
      </c>
      <c r="AA109" s="94" t="s">
        <v>372</v>
      </c>
      <c r="AB109" s="94" t="s">
        <v>373</v>
      </c>
      <c r="AC109" s="94" t="s">
        <v>374</v>
      </c>
      <c r="AD109" s="94" t="s">
        <v>375</v>
      </c>
      <c r="AE109" s="94" t="s">
        <v>376</v>
      </c>
    </row>
    <row r="110" spans="1:31">
      <c r="A110" s="246">
        <v>10667.58</v>
      </c>
      <c r="B110" s="246">
        <v>10667.58</v>
      </c>
      <c r="C110" s="86">
        <v>2013</v>
      </c>
      <c r="D110" s="60">
        <v>10667.58</v>
      </c>
      <c r="E110" s="246">
        <v>10667.58</v>
      </c>
      <c r="F110" s="246">
        <v>10667.58</v>
      </c>
      <c r="G110" s="246">
        <v>10667.58</v>
      </c>
      <c r="H110" s="246">
        <v>10667.58</v>
      </c>
      <c r="I110" s="233"/>
      <c r="J110" s="419">
        <v>10667.58</v>
      </c>
      <c r="K110" s="360">
        <v>353929.99</v>
      </c>
      <c r="L110" s="252">
        <v>10667.58</v>
      </c>
      <c r="M110" s="60">
        <v>9489.8700000000008</v>
      </c>
      <c r="N110" s="247">
        <v>9489.8700000000008</v>
      </c>
      <c r="O110" s="247">
        <v>10667.58</v>
      </c>
      <c r="Q110" s="203" t="s">
        <v>343</v>
      </c>
      <c r="R110" s="94" t="s">
        <v>273</v>
      </c>
      <c r="S110" s="96">
        <f t="shared" ref="S110:AE110" si="52">S12</f>
        <v>2996712.9070728417</v>
      </c>
      <c r="T110" s="96">
        <f t="shared" si="52"/>
        <v>3061808.8304145397</v>
      </c>
      <c r="U110" s="96">
        <f t="shared" si="52"/>
        <v>3673058.5142495814</v>
      </c>
      <c r="V110" s="96">
        <f t="shared" si="52"/>
        <v>3873794.1585843465</v>
      </c>
      <c r="W110" s="96">
        <f t="shared" si="52"/>
        <v>3902345.0669003087</v>
      </c>
      <c r="X110" s="96">
        <f t="shared" si="52"/>
        <v>3665950.0710613783</v>
      </c>
      <c r="Y110" s="96">
        <f t="shared" si="52"/>
        <v>4232527.2251733448</v>
      </c>
      <c r="Z110" s="96">
        <f t="shared" si="52"/>
        <v>3689382.9761697385</v>
      </c>
      <c r="AA110" s="96">
        <f t="shared" si="52"/>
        <v>3568322.026579136</v>
      </c>
      <c r="AB110" s="96">
        <f t="shared" si="52"/>
        <v>3917636.7062990391</v>
      </c>
      <c r="AC110" s="96">
        <f t="shared" si="52"/>
        <v>3742440.4684013547</v>
      </c>
      <c r="AD110" s="96">
        <f t="shared" si="52"/>
        <v>6011104.1490943953</v>
      </c>
      <c r="AE110" s="96">
        <f t="shared" si="52"/>
        <v>46335083.100000009</v>
      </c>
    </row>
    <row r="111" spans="1:31">
      <c r="A111" s="246">
        <v>536457.43000000005</v>
      </c>
      <c r="B111" s="246">
        <v>513641.5</v>
      </c>
      <c r="C111" s="86">
        <v>2014</v>
      </c>
      <c r="D111" s="60">
        <v>490825.57</v>
      </c>
      <c r="E111" s="246">
        <v>468009.64</v>
      </c>
      <c r="F111" s="246">
        <v>445193.71</v>
      </c>
      <c r="G111" s="246">
        <v>422377.78</v>
      </c>
      <c r="H111" s="246">
        <v>399561.85</v>
      </c>
      <c r="I111" s="233"/>
      <c r="J111" s="419">
        <v>376745.92</v>
      </c>
      <c r="K111" s="360">
        <v>3106976.28</v>
      </c>
      <c r="L111" s="252">
        <v>331114.06</v>
      </c>
      <c r="M111" s="60">
        <v>305978.84999999998</v>
      </c>
      <c r="N111" s="247">
        <v>283162.92</v>
      </c>
      <c r="O111" s="247">
        <v>262666.27</v>
      </c>
      <c r="R111" s="225" t="s">
        <v>344</v>
      </c>
      <c r="S111" s="96">
        <f t="shared" ref="S111:AE111" si="53">(S110/S79)*100</f>
        <v>25.518425474274846</v>
      </c>
      <c r="T111" s="96">
        <f t="shared" si="53"/>
        <v>25.53668771799471</v>
      </c>
      <c r="U111" s="96">
        <f t="shared" si="53"/>
        <v>25.677465644511795</v>
      </c>
      <c r="V111" s="96">
        <f t="shared" si="53"/>
        <v>25.714260866235488</v>
      </c>
      <c r="W111" s="96">
        <f t="shared" si="53"/>
        <v>25.719194810577278</v>
      </c>
      <c r="X111" s="96">
        <f t="shared" si="53"/>
        <v>25.676090823133524</v>
      </c>
      <c r="Y111" s="96">
        <f t="shared" si="53"/>
        <v>25.771534474621827</v>
      </c>
      <c r="Z111" s="96">
        <f t="shared" si="53"/>
        <v>25.680603404942985</v>
      </c>
      <c r="AA111" s="96">
        <f t="shared" si="53"/>
        <v>25.656670416685607</v>
      </c>
      <c r="AB111" s="96">
        <f t="shared" si="53"/>
        <v>25.721808585585539</v>
      </c>
      <c r="AC111" s="96">
        <f t="shared" si="53"/>
        <v>25.690617759489015</v>
      </c>
      <c r="AD111" s="96">
        <f t="shared" si="53"/>
        <v>25.956251105053173</v>
      </c>
      <c r="AE111" s="95">
        <f t="shared" si="53"/>
        <v>25.712071831222836</v>
      </c>
    </row>
    <row r="112" spans="1:31">
      <c r="A112" s="246">
        <v>3209482.31</v>
      </c>
      <c r="B112" s="246">
        <v>3196828.23</v>
      </c>
      <c r="C112" s="86">
        <v>2015</v>
      </c>
      <c r="D112" s="60">
        <v>3184060.76</v>
      </c>
      <c r="E112" s="246">
        <v>3171406.68</v>
      </c>
      <c r="F112" s="246">
        <v>3157592.6</v>
      </c>
      <c r="G112" s="246">
        <v>3144938.52</v>
      </c>
      <c r="H112" s="246">
        <v>3132284.44</v>
      </c>
      <c r="I112" s="233"/>
      <c r="J112" s="419">
        <v>3119630.36</v>
      </c>
      <c r="K112" s="360">
        <v>3147554.02</v>
      </c>
      <c r="L112" s="252">
        <v>3094309.4</v>
      </c>
      <c r="M112" s="60">
        <v>3081655.32</v>
      </c>
      <c r="N112" s="247">
        <v>3013743.68</v>
      </c>
      <c r="O112" s="247">
        <v>2976030.69</v>
      </c>
    </row>
    <row r="113" spans="1:31">
      <c r="A113" s="246">
        <v>3398020.7</v>
      </c>
      <c r="B113" s="246">
        <v>3376054.18</v>
      </c>
      <c r="C113" s="86">
        <v>2016</v>
      </c>
      <c r="D113" s="60">
        <v>3354087.66</v>
      </c>
      <c r="E113" s="246">
        <v>3332121.14</v>
      </c>
      <c r="F113" s="246">
        <v>3255394.06</v>
      </c>
      <c r="G113" s="246">
        <v>3241116.4</v>
      </c>
      <c r="H113" s="246">
        <v>3183940.86</v>
      </c>
      <c r="I113" s="233"/>
      <c r="J113" s="419">
        <v>3161831.68</v>
      </c>
      <c r="K113" s="360">
        <v>2133121.69</v>
      </c>
      <c r="L113" s="252">
        <v>3133276.36</v>
      </c>
      <c r="M113" s="60">
        <v>3117485</v>
      </c>
      <c r="N113" s="247">
        <v>3103207.34</v>
      </c>
      <c r="O113" s="247">
        <v>3090443.38</v>
      </c>
      <c r="T113" s="106" t="s">
        <v>377</v>
      </c>
    </row>
    <row r="114" spans="1:31">
      <c r="A114" s="246">
        <v>2431405.69</v>
      </c>
      <c r="B114" s="246">
        <v>2394120.19</v>
      </c>
      <c r="C114" s="86">
        <v>2017</v>
      </c>
      <c r="D114" s="60">
        <v>2356834.69</v>
      </c>
      <c r="E114" s="246">
        <v>2319549.19</v>
      </c>
      <c r="F114" s="246">
        <v>2282263.69</v>
      </c>
      <c r="G114" s="246">
        <v>2244978.19</v>
      </c>
      <c r="H114" s="246">
        <v>2207692.69</v>
      </c>
      <c r="I114" s="233"/>
      <c r="J114" s="419">
        <v>2170407.19</v>
      </c>
      <c r="K114" s="360">
        <v>1950038.57</v>
      </c>
      <c r="L114" s="252">
        <v>2095836.19</v>
      </c>
      <c r="M114" s="60">
        <v>2058550.69</v>
      </c>
      <c r="N114" s="247">
        <v>2021265.19</v>
      </c>
      <c r="O114" s="247">
        <v>1983979.69</v>
      </c>
      <c r="S114" s="94" t="s">
        <v>364</v>
      </c>
      <c r="T114" s="94" t="s">
        <v>365</v>
      </c>
      <c r="U114" s="94" t="s">
        <v>366</v>
      </c>
      <c r="V114" s="94" t="s">
        <v>367</v>
      </c>
      <c r="W114" s="94" t="s">
        <v>368</v>
      </c>
      <c r="X114" s="94" t="s">
        <v>369</v>
      </c>
      <c r="Y114" s="94" t="s">
        <v>370</v>
      </c>
      <c r="Z114" s="94" t="s">
        <v>371</v>
      </c>
      <c r="AA114" s="94" t="s">
        <v>372</v>
      </c>
      <c r="AB114" s="94" t="s">
        <v>373</v>
      </c>
      <c r="AC114" s="94" t="s">
        <v>374</v>
      </c>
      <c r="AD114" s="94" t="s">
        <v>375</v>
      </c>
      <c r="AE114" s="94" t="s">
        <v>376</v>
      </c>
    </row>
    <row r="115" spans="1:31">
      <c r="A115" s="246">
        <v>1951977.07</v>
      </c>
      <c r="B115" s="246">
        <v>1951977.07</v>
      </c>
      <c r="C115" s="86">
        <v>2018</v>
      </c>
      <c r="D115" s="60">
        <v>1950772.37</v>
      </c>
      <c r="E115" s="246">
        <v>1950772.37</v>
      </c>
      <c r="F115" s="246">
        <v>1950772.37</v>
      </c>
      <c r="G115" s="246">
        <v>1950038.57</v>
      </c>
      <c r="H115" s="246">
        <v>1950038.57</v>
      </c>
      <c r="I115" s="233"/>
      <c r="J115" s="419">
        <v>1950038.57</v>
      </c>
      <c r="K115" s="360">
        <v>1591853.37</v>
      </c>
      <c r="L115" s="252">
        <v>1950038.57</v>
      </c>
      <c r="M115" s="60">
        <v>1948421.86</v>
      </c>
      <c r="N115" s="247">
        <v>1945722.09</v>
      </c>
      <c r="O115" s="247">
        <v>1947123.88</v>
      </c>
      <c r="Q115" s="94" t="s">
        <v>125</v>
      </c>
      <c r="R115" s="94" t="s">
        <v>259</v>
      </c>
      <c r="S115" s="175">
        <f>S12</f>
        <v>2996712.9070728417</v>
      </c>
      <c r="T115" s="175">
        <f t="shared" ref="T115:AD115" si="54">T12</f>
        <v>3061808.8304145397</v>
      </c>
      <c r="U115" s="175">
        <f t="shared" si="54"/>
        <v>3673058.5142495814</v>
      </c>
      <c r="V115" s="175">
        <f t="shared" si="54"/>
        <v>3873794.1585843465</v>
      </c>
      <c r="W115" s="175">
        <f t="shared" si="54"/>
        <v>3902345.0669003087</v>
      </c>
      <c r="X115" s="175">
        <f t="shared" si="54"/>
        <v>3665950.0710613783</v>
      </c>
      <c r="Y115" s="175">
        <f t="shared" si="54"/>
        <v>4232527.2251733448</v>
      </c>
      <c r="Z115" s="175">
        <f t="shared" si="54"/>
        <v>3689382.9761697385</v>
      </c>
      <c r="AA115" s="175">
        <f t="shared" si="54"/>
        <v>3568322.026579136</v>
      </c>
      <c r="AB115" s="175">
        <f t="shared" si="54"/>
        <v>3917636.7062990391</v>
      </c>
      <c r="AC115" s="175">
        <f t="shared" si="54"/>
        <v>3742440.4684013547</v>
      </c>
      <c r="AD115" s="175">
        <f t="shared" si="54"/>
        <v>6011104.1490943953</v>
      </c>
      <c r="AE115" s="175">
        <f>SUM(S115:AD115)</f>
        <v>46335083.100000009</v>
      </c>
    </row>
    <row r="116" spans="1:31">
      <c r="A116" s="246">
        <v>1602004.85</v>
      </c>
      <c r="B116" s="246">
        <v>1602004.85</v>
      </c>
      <c r="C116" s="86">
        <v>2019</v>
      </c>
      <c r="D116" s="60">
        <v>1597163.51</v>
      </c>
      <c r="E116" s="246">
        <v>1595013.1</v>
      </c>
      <c r="F116" s="246">
        <v>1595013.1</v>
      </c>
      <c r="G116" s="246">
        <v>1590916.36</v>
      </c>
      <c r="H116" s="246">
        <v>1590916.36</v>
      </c>
      <c r="I116" s="233"/>
      <c r="J116" s="419">
        <v>1590916.36</v>
      </c>
      <c r="K116" s="360">
        <v>6154226.1600000001</v>
      </c>
      <c r="L116" s="252">
        <v>1589832.36</v>
      </c>
      <c r="M116" s="60">
        <v>1586258.09</v>
      </c>
      <c r="N116" s="247">
        <v>1586258.09</v>
      </c>
      <c r="O116" s="247">
        <v>1589682.36</v>
      </c>
    </row>
    <row r="117" spans="1:31">
      <c r="A117" s="60">
        <v>11681226.07</v>
      </c>
      <c r="B117" s="60">
        <v>8367616.3600000003</v>
      </c>
      <c r="C117" s="86">
        <v>2020</v>
      </c>
      <c r="D117" s="60">
        <v>7165670.71</v>
      </c>
      <c r="E117" s="60">
        <v>7195049.4699999997</v>
      </c>
      <c r="F117" s="246">
        <v>6792191.1500000004</v>
      </c>
      <c r="G117" s="354">
        <v>6524062.2000000002</v>
      </c>
      <c r="H117" s="246">
        <v>6409256.2400000002</v>
      </c>
      <c r="I117" s="355"/>
      <c r="J117" s="434">
        <v>6297433.3700000001</v>
      </c>
      <c r="L117" s="247">
        <v>6043305.2300000004</v>
      </c>
      <c r="M117" s="60">
        <v>5949903.7199999997</v>
      </c>
      <c r="N117" s="247">
        <v>5867876.3899999997</v>
      </c>
      <c r="O117" s="247">
        <v>5680688.5700000003</v>
      </c>
    </row>
    <row r="118" spans="1:31">
      <c r="A118" s="254">
        <f>SUM(A101:A117)</f>
        <v>27028955.25</v>
      </c>
      <c r="B118" s="254">
        <f>SUM(B101:B117)</f>
        <v>23607069.890000001</v>
      </c>
      <c r="C118" s="234">
        <f>23607069.89-B118</f>
        <v>0</v>
      </c>
      <c r="D118" s="255">
        <f>SUM(D101:D117)</f>
        <v>22290689.159999996</v>
      </c>
      <c r="E118" s="255">
        <f>SUM(E101:E117)</f>
        <v>22209641.859999999</v>
      </c>
      <c r="F118" s="254">
        <f>SUM(F101:F117)</f>
        <v>21642587.329999998</v>
      </c>
      <c r="G118" s="358">
        <f>SUM(G101:G117)</f>
        <v>21269041.050000001</v>
      </c>
      <c r="H118" s="97">
        <f>SUM(H101:H117)</f>
        <v>21010750.420000002</v>
      </c>
      <c r="I118" s="355"/>
      <c r="J118" s="255">
        <f t="shared" ref="J118:O118" si="55">SUM(J101:J117)</f>
        <v>20790509.239999998</v>
      </c>
      <c r="K118" s="254">
        <f t="shared" si="55"/>
        <v>20543268.719999999</v>
      </c>
      <c r="L118" s="175">
        <f t="shared" si="55"/>
        <v>20334110.719999999</v>
      </c>
      <c r="M118" s="256">
        <f t="shared" si="55"/>
        <v>20109854.16</v>
      </c>
      <c r="N118" s="175">
        <f t="shared" si="55"/>
        <v>19869282.709999997</v>
      </c>
      <c r="O118" s="175">
        <f t="shared" si="55"/>
        <v>19586352.530000001</v>
      </c>
      <c r="R118" s="203" t="s">
        <v>359</v>
      </c>
      <c r="S118" s="94" t="s">
        <v>364</v>
      </c>
      <c r="T118" s="94" t="s">
        <v>365</v>
      </c>
      <c r="U118" s="94" t="s">
        <v>366</v>
      </c>
      <c r="V118" s="94" t="s">
        <v>367</v>
      </c>
      <c r="W118" s="94" t="s">
        <v>368</v>
      </c>
      <c r="X118" s="94" t="s">
        <v>369</v>
      </c>
      <c r="Y118" s="94" t="s">
        <v>370</v>
      </c>
      <c r="Z118" s="94" t="s">
        <v>371</v>
      </c>
      <c r="AA118" s="94" t="s">
        <v>372</v>
      </c>
      <c r="AB118" s="94" t="s">
        <v>373</v>
      </c>
      <c r="AC118" s="94" t="s">
        <v>374</v>
      </c>
      <c r="AD118" s="94" t="s">
        <v>375</v>
      </c>
      <c r="AE118" s="94" t="s">
        <v>376</v>
      </c>
    </row>
    <row r="119" spans="1:31">
      <c r="A119" s="85" t="s">
        <v>357</v>
      </c>
      <c r="B119" s="61">
        <f>A118-B118</f>
        <v>3421885.3599999994</v>
      </c>
      <c r="C119" s="61"/>
      <c r="D119" s="61">
        <f>B118-D118</f>
        <v>1316380.7300000042</v>
      </c>
      <c r="E119" s="61">
        <f>D118-E118</f>
        <v>81047.29999999702</v>
      </c>
      <c r="F119" s="61">
        <f>E118-F118</f>
        <v>567054.53000000119</v>
      </c>
      <c r="G119" s="61">
        <f>F118-G118</f>
        <v>373546.27999999747</v>
      </c>
      <c r="H119" s="61">
        <f>G118-H118</f>
        <v>258290.62999999896</v>
      </c>
      <c r="J119" s="61">
        <f>H118-J118</f>
        <v>220241.18000000343</v>
      </c>
      <c r="K119" s="61">
        <f>J118-K118</f>
        <v>247240.51999999955</v>
      </c>
      <c r="L119" s="61">
        <f>K118-L118</f>
        <v>209158</v>
      </c>
      <c r="M119" s="61">
        <f>L118-M118</f>
        <v>224256.55999999866</v>
      </c>
      <c r="N119" s="61">
        <f>M118-N118</f>
        <v>240571.45000000298</v>
      </c>
      <c r="O119" s="61">
        <f>N118-O118</f>
        <v>282930.17999999598</v>
      </c>
      <c r="Q119" s="94">
        <v>9</v>
      </c>
      <c r="R119" s="94" t="s">
        <v>137</v>
      </c>
      <c r="S119" s="96">
        <f t="shared" ref="S119:AD119" si="56">S32</f>
        <v>2409037.59</v>
      </c>
      <c r="T119" s="96">
        <f t="shared" si="56"/>
        <v>3390965.27</v>
      </c>
      <c r="U119" s="96">
        <f t="shared" si="56"/>
        <v>4453096.78</v>
      </c>
      <c r="V119" s="96">
        <f t="shared" si="56"/>
        <v>3650943.12</v>
      </c>
      <c r="W119" s="96">
        <f t="shared" si="56"/>
        <v>4451436.12</v>
      </c>
      <c r="X119" s="96">
        <f t="shared" si="56"/>
        <v>5321971.29</v>
      </c>
      <c r="Y119" s="96">
        <f t="shared" si="56"/>
        <v>4410079.78</v>
      </c>
      <c r="Z119" s="96">
        <f t="shared" si="56"/>
        <v>4391051.7699999996</v>
      </c>
      <c r="AA119" s="96">
        <f t="shared" si="56"/>
        <v>4925784.47</v>
      </c>
      <c r="AB119" s="96">
        <f t="shared" si="56"/>
        <v>4440607.91</v>
      </c>
      <c r="AC119" s="96">
        <f t="shared" si="56"/>
        <v>0</v>
      </c>
      <c r="AD119" s="96">
        <f t="shared" si="56"/>
        <v>0</v>
      </c>
      <c r="AE119" s="175">
        <f>SUM(S119:AD119)</f>
        <v>41844974.100000009</v>
      </c>
    </row>
    <row r="120" spans="1:31">
      <c r="A120" s="257" t="s">
        <v>358</v>
      </c>
      <c r="B120" s="254">
        <f>22290689.16-B118</f>
        <v>-1316380.7300000004</v>
      </c>
      <c r="C120" s="234"/>
      <c r="D120" s="254"/>
      <c r="E120" s="254"/>
      <c r="F120" s="254"/>
      <c r="G120" s="236"/>
      <c r="H120" s="254"/>
      <c r="I120" s="236"/>
      <c r="J120" s="97"/>
      <c r="K120" s="97"/>
      <c r="L120" s="97"/>
      <c r="M120" s="97"/>
      <c r="N120" s="97"/>
      <c r="O120" s="225"/>
      <c r="Q120" s="203" t="s">
        <v>356</v>
      </c>
      <c r="R120" s="225" t="s">
        <v>344</v>
      </c>
      <c r="S120" s="96">
        <f t="shared" ref="S120:AE120" si="57">(S119/S87)*100</f>
        <v>23.987836677750838</v>
      </c>
      <c r="T120" s="96">
        <f t="shared" si="57"/>
        <v>28.41902473746563</v>
      </c>
      <c r="U120" s="96">
        <f t="shared" si="57"/>
        <v>34.265889818910772</v>
      </c>
      <c r="V120" s="96">
        <f t="shared" si="57"/>
        <v>27.951436495736697</v>
      </c>
      <c r="W120" s="96">
        <f t="shared" si="57"/>
        <v>31.617957224298127</v>
      </c>
      <c r="X120" s="96">
        <f t="shared" si="57"/>
        <v>30.827119413384306</v>
      </c>
      <c r="Y120" s="96">
        <f t="shared" si="57"/>
        <v>31.121170643277914</v>
      </c>
      <c r="Z120" s="96">
        <f t="shared" si="57"/>
        <v>31.689301300568872</v>
      </c>
      <c r="AA120" s="96">
        <f t="shared" si="57"/>
        <v>34.444103440358703</v>
      </c>
      <c r="AB120" s="96">
        <f t="shared" si="57"/>
        <v>27.246511940807988</v>
      </c>
      <c r="AC120" s="96" t="e">
        <f t="shared" si="57"/>
        <v>#DIV/0!</v>
      </c>
      <c r="AD120" s="96" t="e">
        <f t="shared" si="57"/>
        <v>#DIV/0!</v>
      </c>
      <c r="AE120" s="95">
        <f t="shared" si="57"/>
        <v>30.322242436434216</v>
      </c>
    </row>
    <row r="121" spans="1:31">
      <c r="D121" s="60"/>
      <c r="L121" s="118">
        <f>20334110.72-L118</f>
        <v>0</v>
      </c>
      <c r="N121" s="118">
        <f>19869282.71-N118</f>
        <v>0</v>
      </c>
      <c r="O121" s="118">
        <f>19586352.53-O118</f>
        <v>0</v>
      </c>
      <c r="R121" s="245"/>
      <c r="S121" s="94"/>
      <c r="T121" s="94"/>
      <c r="U121" s="94"/>
      <c r="V121" s="94"/>
      <c r="W121" s="94"/>
      <c r="X121" s="94"/>
      <c r="Y121" s="94"/>
      <c r="Z121" s="94"/>
      <c r="AA121" s="94"/>
      <c r="AB121" s="94"/>
      <c r="AC121" s="94"/>
      <c r="AD121" s="94"/>
      <c r="AE121" s="94"/>
    </row>
    <row r="122" spans="1:31" ht="12.75" customHeight="1">
      <c r="Q122" s="882" t="s">
        <v>378</v>
      </c>
      <c r="R122" s="883"/>
      <c r="S122" s="212">
        <f t="shared" ref="S122:AE122" si="58">S119/$AE$119</f>
        <v>5.757053605154458E-2</v>
      </c>
      <c r="T122" s="212">
        <f t="shared" si="58"/>
        <v>8.1036381140931313E-2</v>
      </c>
      <c r="U122" s="212">
        <f t="shared" si="58"/>
        <v>0.10641891590990372</v>
      </c>
      <c r="V122" s="212">
        <f t="shared" si="58"/>
        <v>8.7249262271618888E-2</v>
      </c>
      <c r="W122" s="212">
        <f t="shared" si="58"/>
        <v>0.1063792299013515</v>
      </c>
      <c r="X122" s="212">
        <f t="shared" si="58"/>
        <v>0.12718304657762947</v>
      </c>
      <c r="Y122" s="212">
        <f t="shared" si="58"/>
        <v>0.10539090714839275</v>
      </c>
      <c r="Z122" s="212">
        <f t="shared" si="58"/>
        <v>0.1049361808542737</v>
      </c>
      <c r="AA122" s="212">
        <f t="shared" si="58"/>
        <v>0.11771507990968021</v>
      </c>
      <c r="AB122" s="212">
        <f t="shared" si="58"/>
        <v>0.10612046023467366</v>
      </c>
      <c r="AC122" s="212">
        <f t="shared" si="58"/>
        <v>0</v>
      </c>
      <c r="AD122" s="212">
        <f t="shared" si="58"/>
        <v>0</v>
      </c>
      <c r="AE122" s="212">
        <f t="shared" si="58"/>
        <v>1</v>
      </c>
    </row>
    <row r="125" spans="1:31">
      <c r="S125" s="106" t="s">
        <v>1220</v>
      </c>
      <c r="AE125" s="86" t="s">
        <v>379</v>
      </c>
    </row>
    <row r="126" spans="1:31">
      <c r="Q126" s="218" t="s">
        <v>290</v>
      </c>
      <c r="R126" s="219"/>
      <c r="S126" s="212" t="s">
        <v>291</v>
      </c>
      <c r="T126" s="220">
        <f>S119+T119</f>
        <v>5800002.8599999994</v>
      </c>
      <c r="U126" s="212" t="s">
        <v>292</v>
      </c>
      <c r="V126" s="221">
        <f>U119+V119</f>
        <v>8104039.9000000004</v>
      </c>
      <c r="W126" s="212" t="s">
        <v>293</v>
      </c>
      <c r="X126" s="221">
        <f>W119+X119</f>
        <v>9773407.4100000001</v>
      </c>
      <c r="Y126" s="212" t="s">
        <v>294</v>
      </c>
      <c r="Z126" s="221">
        <f>Y119+Z119</f>
        <v>8801131.5500000007</v>
      </c>
      <c r="AA126" s="212" t="s">
        <v>295</v>
      </c>
      <c r="AB126" s="221">
        <f>AA119+AB119</f>
        <v>9366392.379999999</v>
      </c>
      <c r="AC126" s="212" t="s">
        <v>296</v>
      </c>
      <c r="AD126" s="221">
        <f>AC119+AD119</f>
        <v>0</v>
      </c>
      <c r="AE126" s="45">
        <f>SUM(S126:AD126)</f>
        <v>41844974.100000001</v>
      </c>
    </row>
    <row r="128" spans="1:31">
      <c r="B128" s="342" t="s">
        <v>95</v>
      </c>
      <c r="E128" s="344" t="s">
        <v>96</v>
      </c>
      <c r="F128" s="344"/>
      <c r="H128" s="342"/>
      <c r="I128" s="345" t="s">
        <v>97</v>
      </c>
    </row>
    <row r="129" spans="2:28">
      <c r="B129" s="342" t="s">
        <v>98</v>
      </c>
      <c r="E129" s="344" t="s">
        <v>99</v>
      </c>
      <c r="F129" s="344"/>
      <c r="H129" s="342"/>
      <c r="I129" s="345" t="s">
        <v>100</v>
      </c>
    </row>
    <row r="130" spans="2:28">
      <c r="S130" s="342" t="s">
        <v>95</v>
      </c>
      <c r="T130" s="343"/>
      <c r="U130" s="343"/>
      <c r="V130" s="344" t="s">
        <v>96</v>
      </c>
      <c r="W130" s="344"/>
      <c r="Y130" s="342"/>
      <c r="Z130" s="345" t="s">
        <v>97</v>
      </c>
      <c r="AA130" s="348"/>
    </row>
    <row r="131" spans="2:28">
      <c r="R131" s="346"/>
      <c r="S131" s="342" t="s">
        <v>98</v>
      </c>
      <c r="T131" s="343"/>
      <c r="U131" s="343"/>
      <c r="V131" s="344" t="s">
        <v>99</v>
      </c>
      <c r="W131" s="344"/>
      <c r="Y131" s="342"/>
      <c r="Z131" s="345" t="s">
        <v>100</v>
      </c>
      <c r="AA131" s="348"/>
      <c r="AB131" s="346"/>
    </row>
    <row r="132" spans="2:28">
      <c r="R132" s="348"/>
      <c r="S132" s="348"/>
      <c r="T132" s="348"/>
      <c r="U132" s="348"/>
      <c r="V132" s="348"/>
      <c r="W132" s="348"/>
      <c r="X132" s="348"/>
      <c r="Y132" s="348"/>
      <c r="Z132" s="348"/>
      <c r="AA132" s="348"/>
      <c r="AB132" s="348"/>
    </row>
    <row r="133" spans="2:28">
      <c r="R133" s="348"/>
      <c r="AB133" s="348"/>
    </row>
    <row r="134" spans="2:28">
      <c r="J134" s="346"/>
    </row>
  </sheetData>
  <mergeCells count="9">
    <mergeCell ref="A35:B35"/>
    <mergeCell ref="Q122:R122"/>
    <mergeCell ref="B3:K3"/>
    <mergeCell ref="L3:M3"/>
    <mergeCell ref="N3:O3"/>
    <mergeCell ref="A18:B18"/>
    <mergeCell ref="B20:K20"/>
    <mergeCell ref="L20:M20"/>
    <mergeCell ref="N20:O20"/>
  </mergeCells>
  <pageMargins left="0.23622047244094491" right="0.23622047244094491" top="0.74803149606299213" bottom="0.19685039370078741" header="0.31496062992125984" footer="0.31496062992125984"/>
  <pageSetup paperSize="9" orientation="landscape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U84"/>
  <sheetViews>
    <sheetView topLeftCell="A7" workbookViewId="0">
      <selection activeCell="H27" sqref="H27"/>
    </sheetView>
  </sheetViews>
  <sheetFormatPr defaultRowHeight="12.75"/>
  <cols>
    <col min="1" max="1" width="2.7109375" style="64" bestFit="1" customWidth="1"/>
    <col min="2" max="3" width="9.140625" style="64"/>
    <col min="4" max="4" width="10" style="64" customWidth="1"/>
    <col min="5" max="5" width="13" style="64" customWidth="1"/>
    <col min="6" max="6" width="13.85546875" style="64" customWidth="1"/>
    <col min="7" max="7" width="13.28515625" style="64" bestFit="1" customWidth="1"/>
    <col min="8" max="8" width="14.28515625" style="64" customWidth="1"/>
    <col min="9" max="9" width="14.7109375" style="64" customWidth="1"/>
    <col min="10" max="10" width="13.42578125" style="64" customWidth="1"/>
    <col min="11" max="11" width="12.85546875" style="64" bestFit="1" customWidth="1"/>
    <col min="12" max="12" width="9.28515625" style="64" bestFit="1" customWidth="1"/>
    <col min="13" max="13" width="11.85546875" style="64" bestFit="1" customWidth="1"/>
    <col min="14" max="14" width="2.7109375" style="64" bestFit="1" customWidth="1"/>
    <col min="15" max="15" width="40.7109375" style="64" bestFit="1" customWidth="1"/>
    <col min="16" max="16" width="12.5703125" style="64" customWidth="1"/>
    <col min="17" max="17" width="7" style="64" bestFit="1" customWidth="1"/>
    <col min="18" max="18" width="11.7109375" style="64" bestFit="1" customWidth="1"/>
    <col min="19" max="19" width="12.85546875" style="64" bestFit="1" customWidth="1"/>
    <col min="20" max="20" width="11.5703125" style="64" bestFit="1" customWidth="1"/>
    <col min="21" max="21" width="12.5703125" style="64" bestFit="1" customWidth="1"/>
    <col min="22" max="256" width="9.140625" style="64"/>
    <col min="257" max="257" width="2.7109375" style="64" bestFit="1" customWidth="1"/>
    <col min="258" max="259" width="9.140625" style="64"/>
    <col min="260" max="260" width="10" style="64" customWidth="1"/>
    <col min="261" max="261" width="13" style="64" customWidth="1"/>
    <col min="262" max="262" width="13.85546875" style="64" customWidth="1"/>
    <col min="263" max="263" width="13.28515625" style="64" bestFit="1" customWidth="1"/>
    <col min="264" max="264" width="15.140625" style="64" customWidth="1"/>
    <col min="265" max="265" width="14.7109375" style="64" customWidth="1"/>
    <col min="266" max="266" width="13.42578125" style="64" customWidth="1"/>
    <col min="267" max="267" width="12.85546875" style="64" bestFit="1" customWidth="1"/>
    <col min="268" max="268" width="9.28515625" style="64" bestFit="1" customWidth="1"/>
    <col min="269" max="269" width="11.85546875" style="64" bestFit="1" customWidth="1"/>
    <col min="270" max="270" width="2.7109375" style="64" bestFit="1" customWidth="1"/>
    <col min="271" max="271" width="40.7109375" style="64" bestFit="1" customWidth="1"/>
    <col min="272" max="272" width="12.5703125" style="64" customWidth="1"/>
    <col min="273" max="273" width="7" style="64" bestFit="1" customWidth="1"/>
    <col min="274" max="274" width="11.7109375" style="64" bestFit="1" customWidth="1"/>
    <col min="275" max="275" width="12.85546875" style="64" bestFit="1" customWidth="1"/>
    <col min="276" max="276" width="11.5703125" style="64" bestFit="1" customWidth="1"/>
    <col min="277" max="277" width="12.5703125" style="64" bestFit="1" customWidth="1"/>
    <col min="278" max="512" width="9.140625" style="64"/>
    <col min="513" max="513" width="2.7109375" style="64" bestFit="1" customWidth="1"/>
    <col min="514" max="515" width="9.140625" style="64"/>
    <col min="516" max="516" width="10" style="64" customWidth="1"/>
    <col min="517" max="517" width="13" style="64" customWidth="1"/>
    <col min="518" max="518" width="13.85546875" style="64" customWidth="1"/>
    <col min="519" max="519" width="13.28515625" style="64" bestFit="1" customWidth="1"/>
    <col min="520" max="520" width="15.140625" style="64" customWidth="1"/>
    <col min="521" max="521" width="14.7109375" style="64" customWidth="1"/>
    <col min="522" max="522" width="13.42578125" style="64" customWidth="1"/>
    <col min="523" max="523" width="12.85546875" style="64" bestFit="1" customWidth="1"/>
    <col min="524" max="524" width="9.28515625" style="64" bestFit="1" customWidth="1"/>
    <col min="525" max="525" width="11.85546875" style="64" bestFit="1" customWidth="1"/>
    <col min="526" max="526" width="2.7109375" style="64" bestFit="1" customWidth="1"/>
    <col min="527" max="527" width="40.7109375" style="64" bestFit="1" customWidth="1"/>
    <col min="528" max="528" width="12.5703125" style="64" customWidth="1"/>
    <col min="529" max="529" width="7" style="64" bestFit="1" customWidth="1"/>
    <col min="530" max="530" width="11.7109375" style="64" bestFit="1" customWidth="1"/>
    <col min="531" max="531" width="12.85546875" style="64" bestFit="1" customWidth="1"/>
    <col min="532" max="532" width="11.5703125" style="64" bestFit="1" customWidth="1"/>
    <col min="533" max="533" width="12.5703125" style="64" bestFit="1" customWidth="1"/>
    <col min="534" max="768" width="9.140625" style="64"/>
    <col min="769" max="769" width="2.7109375" style="64" bestFit="1" customWidth="1"/>
    <col min="770" max="771" width="9.140625" style="64"/>
    <col min="772" max="772" width="10" style="64" customWidth="1"/>
    <col min="773" max="773" width="13" style="64" customWidth="1"/>
    <col min="774" max="774" width="13.85546875" style="64" customWidth="1"/>
    <col min="775" max="775" width="13.28515625" style="64" bestFit="1" customWidth="1"/>
    <col min="776" max="776" width="15.140625" style="64" customWidth="1"/>
    <col min="777" max="777" width="14.7109375" style="64" customWidth="1"/>
    <col min="778" max="778" width="13.42578125" style="64" customWidth="1"/>
    <col min="779" max="779" width="12.85546875" style="64" bestFit="1" customWidth="1"/>
    <col min="780" max="780" width="9.28515625" style="64" bestFit="1" customWidth="1"/>
    <col min="781" max="781" width="11.85546875" style="64" bestFit="1" customWidth="1"/>
    <col min="782" max="782" width="2.7109375" style="64" bestFit="1" customWidth="1"/>
    <col min="783" max="783" width="40.7109375" style="64" bestFit="1" customWidth="1"/>
    <col min="784" max="784" width="12.5703125" style="64" customWidth="1"/>
    <col min="785" max="785" width="7" style="64" bestFit="1" customWidth="1"/>
    <col min="786" max="786" width="11.7109375" style="64" bestFit="1" customWidth="1"/>
    <col min="787" max="787" width="12.85546875" style="64" bestFit="1" customWidth="1"/>
    <col min="788" max="788" width="11.5703125" style="64" bestFit="1" customWidth="1"/>
    <col min="789" max="789" width="12.5703125" style="64" bestFit="1" customWidth="1"/>
    <col min="790" max="1024" width="9.140625" style="64"/>
    <col min="1025" max="1025" width="2.7109375" style="64" bestFit="1" customWidth="1"/>
    <col min="1026" max="1027" width="9.140625" style="64"/>
    <col min="1028" max="1028" width="10" style="64" customWidth="1"/>
    <col min="1029" max="1029" width="13" style="64" customWidth="1"/>
    <col min="1030" max="1030" width="13.85546875" style="64" customWidth="1"/>
    <col min="1031" max="1031" width="13.28515625" style="64" bestFit="1" customWidth="1"/>
    <col min="1032" max="1032" width="15.140625" style="64" customWidth="1"/>
    <col min="1033" max="1033" width="14.7109375" style="64" customWidth="1"/>
    <col min="1034" max="1034" width="13.42578125" style="64" customWidth="1"/>
    <col min="1035" max="1035" width="12.85546875" style="64" bestFit="1" customWidth="1"/>
    <col min="1036" max="1036" width="9.28515625" style="64" bestFit="1" customWidth="1"/>
    <col min="1037" max="1037" width="11.85546875" style="64" bestFit="1" customWidth="1"/>
    <col min="1038" max="1038" width="2.7109375" style="64" bestFit="1" customWidth="1"/>
    <col min="1039" max="1039" width="40.7109375" style="64" bestFit="1" customWidth="1"/>
    <col min="1040" max="1040" width="12.5703125" style="64" customWidth="1"/>
    <col min="1041" max="1041" width="7" style="64" bestFit="1" customWidth="1"/>
    <col min="1042" max="1042" width="11.7109375" style="64" bestFit="1" customWidth="1"/>
    <col min="1043" max="1043" width="12.85546875" style="64" bestFit="1" customWidth="1"/>
    <col min="1044" max="1044" width="11.5703125" style="64" bestFit="1" customWidth="1"/>
    <col min="1045" max="1045" width="12.5703125" style="64" bestFit="1" customWidth="1"/>
    <col min="1046" max="1280" width="9.140625" style="64"/>
    <col min="1281" max="1281" width="2.7109375" style="64" bestFit="1" customWidth="1"/>
    <col min="1282" max="1283" width="9.140625" style="64"/>
    <col min="1284" max="1284" width="10" style="64" customWidth="1"/>
    <col min="1285" max="1285" width="13" style="64" customWidth="1"/>
    <col min="1286" max="1286" width="13.85546875" style="64" customWidth="1"/>
    <col min="1287" max="1287" width="13.28515625" style="64" bestFit="1" customWidth="1"/>
    <col min="1288" max="1288" width="15.140625" style="64" customWidth="1"/>
    <col min="1289" max="1289" width="14.7109375" style="64" customWidth="1"/>
    <col min="1290" max="1290" width="13.42578125" style="64" customWidth="1"/>
    <col min="1291" max="1291" width="12.85546875" style="64" bestFit="1" customWidth="1"/>
    <col min="1292" max="1292" width="9.28515625" style="64" bestFit="1" customWidth="1"/>
    <col min="1293" max="1293" width="11.85546875" style="64" bestFit="1" customWidth="1"/>
    <col min="1294" max="1294" width="2.7109375" style="64" bestFit="1" customWidth="1"/>
    <col min="1295" max="1295" width="40.7109375" style="64" bestFit="1" customWidth="1"/>
    <col min="1296" max="1296" width="12.5703125" style="64" customWidth="1"/>
    <col min="1297" max="1297" width="7" style="64" bestFit="1" customWidth="1"/>
    <col min="1298" max="1298" width="11.7109375" style="64" bestFit="1" customWidth="1"/>
    <col min="1299" max="1299" width="12.85546875" style="64" bestFit="1" customWidth="1"/>
    <col min="1300" max="1300" width="11.5703125" style="64" bestFit="1" customWidth="1"/>
    <col min="1301" max="1301" width="12.5703125" style="64" bestFit="1" customWidth="1"/>
    <col min="1302" max="1536" width="9.140625" style="64"/>
    <col min="1537" max="1537" width="2.7109375" style="64" bestFit="1" customWidth="1"/>
    <col min="1538" max="1539" width="9.140625" style="64"/>
    <col min="1540" max="1540" width="10" style="64" customWidth="1"/>
    <col min="1541" max="1541" width="13" style="64" customWidth="1"/>
    <col min="1542" max="1542" width="13.85546875" style="64" customWidth="1"/>
    <col min="1543" max="1543" width="13.28515625" style="64" bestFit="1" customWidth="1"/>
    <col min="1544" max="1544" width="15.140625" style="64" customWidth="1"/>
    <col min="1545" max="1545" width="14.7109375" style="64" customWidth="1"/>
    <col min="1546" max="1546" width="13.42578125" style="64" customWidth="1"/>
    <col min="1547" max="1547" width="12.85546875" style="64" bestFit="1" customWidth="1"/>
    <col min="1548" max="1548" width="9.28515625" style="64" bestFit="1" customWidth="1"/>
    <col min="1549" max="1549" width="11.85546875" style="64" bestFit="1" customWidth="1"/>
    <col min="1550" max="1550" width="2.7109375" style="64" bestFit="1" customWidth="1"/>
    <col min="1551" max="1551" width="40.7109375" style="64" bestFit="1" customWidth="1"/>
    <col min="1552" max="1552" width="12.5703125" style="64" customWidth="1"/>
    <col min="1553" max="1553" width="7" style="64" bestFit="1" customWidth="1"/>
    <col min="1554" max="1554" width="11.7109375" style="64" bestFit="1" customWidth="1"/>
    <col min="1555" max="1555" width="12.85546875" style="64" bestFit="1" customWidth="1"/>
    <col min="1556" max="1556" width="11.5703125" style="64" bestFit="1" customWidth="1"/>
    <col min="1557" max="1557" width="12.5703125" style="64" bestFit="1" customWidth="1"/>
    <col min="1558" max="1792" width="9.140625" style="64"/>
    <col min="1793" max="1793" width="2.7109375" style="64" bestFit="1" customWidth="1"/>
    <col min="1794" max="1795" width="9.140625" style="64"/>
    <col min="1796" max="1796" width="10" style="64" customWidth="1"/>
    <col min="1797" max="1797" width="13" style="64" customWidth="1"/>
    <col min="1798" max="1798" width="13.85546875" style="64" customWidth="1"/>
    <col min="1799" max="1799" width="13.28515625" style="64" bestFit="1" customWidth="1"/>
    <col min="1800" max="1800" width="15.140625" style="64" customWidth="1"/>
    <col min="1801" max="1801" width="14.7109375" style="64" customWidth="1"/>
    <col min="1802" max="1802" width="13.42578125" style="64" customWidth="1"/>
    <col min="1803" max="1803" width="12.85546875" style="64" bestFit="1" customWidth="1"/>
    <col min="1804" max="1804" width="9.28515625" style="64" bestFit="1" customWidth="1"/>
    <col min="1805" max="1805" width="11.85546875" style="64" bestFit="1" customWidth="1"/>
    <col min="1806" max="1806" width="2.7109375" style="64" bestFit="1" customWidth="1"/>
    <col min="1807" max="1807" width="40.7109375" style="64" bestFit="1" customWidth="1"/>
    <col min="1808" max="1808" width="12.5703125" style="64" customWidth="1"/>
    <col min="1809" max="1809" width="7" style="64" bestFit="1" customWidth="1"/>
    <col min="1810" max="1810" width="11.7109375" style="64" bestFit="1" customWidth="1"/>
    <col min="1811" max="1811" width="12.85546875" style="64" bestFit="1" customWidth="1"/>
    <col min="1812" max="1812" width="11.5703125" style="64" bestFit="1" customWidth="1"/>
    <col min="1813" max="1813" width="12.5703125" style="64" bestFit="1" customWidth="1"/>
    <col min="1814" max="2048" width="9.140625" style="64"/>
    <col min="2049" max="2049" width="2.7109375" style="64" bestFit="1" customWidth="1"/>
    <col min="2050" max="2051" width="9.140625" style="64"/>
    <col min="2052" max="2052" width="10" style="64" customWidth="1"/>
    <col min="2053" max="2053" width="13" style="64" customWidth="1"/>
    <col min="2054" max="2054" width="13.85546875" style="64" customWidth="1"/>
    <col min="2055" max="2055" width="13.28515625" style="64" bestFit="1" customWidth="1"/>
    <col min="2056" max="2056" width="15.140625" style="64" customWidth="1"/>
    <col min="2057" max="2057" width="14.7109375" style="64" customWidth="1"/>
    <col min="2058" max="2058" width="13.42578125" style="64" customWidth="1"/>
    <col min="2059" max="2059" width="12.85546875" style="64" bestFit="1" customWidth="1"/>
    <col min="2060" max="2060" width="9.28515625" style="64" bestFit="1" customWidth="1"/>
    <col min="2061" max="2061" width="11.85546875" style="64" bestFit="1" customWidth="1"/>
    <col min="2062" max="2062" width="2.7109375" style="64" bestFit="1" customWidth="1"/>
    <col min="2063" max="2063" width="40.7109375" style="64" bestFit="1" customWidth="1"/>
    <col min="2064" max="2064" width="12.5703125" style="64" customWidth="1"/>
    <col min="2065" max="2065" width="7" style="64" bestFit="1" customWidth="1"/>
    <col min="2066" max="2066" width="11.7109375" style="64" bestFit="1" customWidth="1"/>
    <col min="2067" max="2067" width="12.85546875" style="64" bestFit="1" customWidth="1"/>
    <col min="2068" max="2068" width="11.5703125" style="64" bestFit="1" customWidth="1"/>
    <col min="2069" max="2069" width="12.5703125" style="64" bestFit="1" customWidth="1"/>
    <col min="2070" max="2304" width="9.140625" style="64"/>
    <col min="2305" max="2305" width="2.7109375" style="64" bestFit="1" customWidth="1"/>
    <col min="2306" max="2307" width="9.140625" style="64"/>
    <col min="2308" max="2308" width="10" style="64" customWidth="1"/>
    <col min="2309" max="2309" width="13" style="64" customWidth="1"/>
    <col min="2310" max="2310" width="13.85546875" style="64" customWidth="1"/>
    <col min="2311" max="2311" width="13.28515625" style="64" bestFit="1" customWidth="1"/>
    <col min="2312" max="2312" width="15.140625" style="64" customWidth="1"/>
    <col min="2313" max="2313" width="14.7109375" style="64" customWidth="1"/>
    <col min="2314" max="2314" width="13.42578125" style="64" customWidth="1"/>
    <col min="2315" max="2315" width="12.85546875" style="64" bestFit="1" customWidth="1"/>
    <col min="2316" max="2316" width="9.28515625" style="64" bestFit="1" customWidth="1"/>
    <col min="2317" max="2317" width="11.85546875" style="64" bestFit="1" customWidth="1"/>
    <col min="2318" max="2318" width="2.7109375" style="64" bestFit="1" customWidth="1"/>
    <col min="2319" max="2319" width="40.7109375" style="64" bestFit="1" customWidth="1"/>
    <col min="2320" max="2320" width="12.5703125" style="64" customWidth="1"/>
    <col min="2321" max="2321" width="7" style="64" bestFit="1" customWidth="1"/>
    <col min="2322" max="2322" width="11.7109375" style="64" bestFit="1" customWidth="1"/>
    <col min="2323" max="2323" width="12.85546875" style="64" bestFit="1" customWidth="1"/>
    <col min="2324" max="2324" width="11.5703125" style="64" bestFit="1" customWidth="1"/>
    <col min="2325" max="2325" width="12.5703125" style="64" bestFit="1" customWidth="1"/>
    <col min="2326" max="2560" width="9.140625" style="64"/>
    <col min="2561" max="2561" width="2.7109375" style="64" bestFit="1" customWidth="1"/>
    <col min="2562" max="2563" width="9.140625" style="64"/>
    <col min="2564" max="2564" width="10" style="64" customWidth="1"/>
    <col min="2565" max="2565" width="13" style="64" customWidth="1"/>
    <col min="2566" max="2566" width="13.85546875" style="64" customWidth="1"/>
    <col min="2567" max="2567" width="13.28515625" style="64" bestFit="1" customWidth="1"/>
    <col min="2568" max="2568" width="15.140625" style="64" customWidth="1"/>
    <col min="2569" max="2569" width="14.7109375" style="64" customWidth="1"/>
    <col min="2570" max="2570" width="13.42578125" style="64" customWidth="1"/>
    <col min="2571" max="2571" width="12.85546875" style="64" bestFit="1" customWidth="1"/>
    <col min="2572" max="2572" width="9.28515625" style="64" bestFit="1" customWidth="1"/>
    <col min="2573" max="2573" width="11.85546875" style="64" bestFit="1" customWidth="1"/>
    <col min="2574" max="2574" width="2.7109375" style="64" bestFit="1" customWidth="1"/>
    <col min="2575" max="2575" width="40.7109375" style="64" bestFit="1" customWidth="1"/>
    <col min="2576" max="2576" width="12.5703125" style="64" customWidth="1"/>
    <col min="2577" max="2577" width="7" style="64" bestFit="1" customWidth="1"/>
    <col min="2578" max="2578" width="11.7109375" style="64" bestFit="1" customWidth="1"/>
    <col min="2579" max="2579" width="12.85546875" style="64" bestFit="1" customWidth="1"/>
    <col min="2580" max="2580" width="11.5703125" style="64" bestFit="1" customWidth="1"/>
    <col min="2581" max="2581" width="12.5703125" style="64" bestFit="1" customWidth="1"/>
    <col min="2582" max="2816" width="9.140625" style="64"/>
    <col min="2817" max="2817" width="2.7109375" style="64" bestFit="1" customWidth="1"/>
    <col min="2818" max="2819" width="9.140625" style="64"/>
    <col min="2820" max="2820" width="10" style="64" customWidth="1"/>
    <col min="2821" max="2821" width="13" style="64" customWidth="1"/>
    <col min="2822" max="2822" width="13.85546875" style="64" customWidth="1"/>
    <col min="2823" max="2823" width="13.28515625" style="64" bestFit="1" customWidth="1"/>
    <col min="2824" max="2824" width="15.140625" style="64" customWidth="1"/>
    <col min="2825" max="2825" width="14.7109375" style="64" customWidth="1"/>
    <col min="2826" max="2826" width="13.42578125" style="64" customWidth="1"/>
    <col min="2827" max="2827" width="12.85546875" style="64" bestFit="1" customWidth="1"/>
    <col min="2828" max="2828" width="9.28515625" style="64" bestFit="1" customWidth="1"/>
    <col min="2829" max="2829" width="11.85546875" style="64" bestFit="1" customWidth="1"/>
    <col min="2830" max="2830" width="2.7109375" style="64" bestFit="1" customWidth="1"/>
    <col min="2831" max="2831" width="40.7109375" style="64" bestFit="1" customWidth="1"/>
    <col min="2832" max="2832" width="12.5703125" style="64" customWidth="1"/>
    <col min="2833" max="2833" width="7" style="64" bestFit="1" customWidth="1"/>
    <col min="2834" max="2834" width="11.7109375" style="64" bestFit="1" customWidth="1"/>
    <col min="2835" max="2835" width="12.85546875" style="64" bestFit="1" customWidth="1"/>
    <col min="2836" max="2836" width="11.5703125" style="64" bestFit="1" customWidth="1"/>
    <col min="2837" max="2837" width="12.5703125" style="64" bestFit="1" customWidth="1"/>
    <col min="2838" max="3072" width="9.140625" style="64"/>
    <col min="3073" max="3073" width="2.7109375" style="64" bestFit="1" customWidth="1"/>
    <col min="3074" max="3075" width="9.140625" style="64"/>
    <col min="3076" max="3076" width="10" style="64" customWidth="1"/>
    <col min="3077" max="3077" width="13" style="64" customWidth="1"/>
    <col min="3078" max="3078" width="13.85546875" style="64" customWidth="1"/>
    <col min="3079" max="3079" width="13.28515625" style="64" bestFit="1" customWidth="1"/>
    <col min="3080" max="3080" width="15.140625" style="64" customWidth="1"/>
    <col min="3081" max="3081" width="14.7109375" style="64" customWidth="1"/>
    <col min="3082" max="3082" width="13.42578125" style="64" customWidth="1"/>
    <col min="3083" max="3083" width="12.85546875" style="64" bestFit="1" customWidth="1"/>
    <col min="3084" max="3084" width="9.28515625" style="64" bestFit="1" customWidth="1"/>
    <col min="3085" max="3085" width="11.85546875" style="64" bestFit="1" customWidth="1"/>
    <col min="3086" max="3086" width="2.7109375" style="64" bestFit="1" customWidth="1"/>
    <col min="3087" max="3087" width="40.7109375" style="64" bestFit="1" customWidth="1"/>
    <col min="3088" max="3088" width="12.5703125" style="64" customWidth="1"/>
    <col min="3089" max="3089" width="7" style="64" bestFit="1" customWidth="1"/>
    <col min="3090" max="3090" width="11.7109375" style="64" bestFit="1" customWidth="1"/>
    <col min="3091" max="3091" width="12.85546875" style="64" bestFit="1" customWidth="1"/>
    <col min="3092" max="3092" width="11.5703125" style="64" bestFit="1" customWidth="1"/>
    <col min="3093" max="3093" width="12.5703125" style="64" bestFit="1" customWidth="1"/>
    <col min="3094" max="3328" width="9.140625" style="64"/>
    <col min="3329" max="3329" width="2.7109375" style="64" bestFit="1" customWidth="1"/>
    <col min="3330" max="3331" width="9.140625" style="64"/>
    <col min="3332" max="3332" width="10" style="64" customWidth="1"/>
    <col min="3333" max="3333" width="13" style="64" customWidth="1"/>
    <col min="3334" max="3334" width="13.85546875" style="64" customWidth="1"/>
    <col min="3335" max="3335" width="13.28515625" style="64" bestFit="1" customWidth="1"/>
    <col min="3336" max="3336" width="15.140625" style="64" customWidth="1"/>
    <col min="3337" max="3337" width="14.7109375" style="64" customWidth="1"/>
    <col min="3338" max="3338" width="13.42578125" style="64" customWidth="1"/>
    <col min="3339" max="3339" width="12.85546875" style="64" bestFit="1" customWidth="1"/>
    <col min="3340" max="3340" width="9.28515625" style="64" bestFit="1" customWidth="1"/>
    <col min="3341" max="3341" width="11.85546875" style="64" bestFit="1" customWidth="1"/>
    <col min="3342" max="3342" width="2.7109375" style="64" bestFit="1" customWidth="1"/>
    <col min="3343" max="3343" width="40.7109375" style="64" bestFit="1" customWidth="1"/>
    <col min="3344" max="3344" width="12.5703125" style="64" customWidth="1"/>
    <col min="3345" max="3345" width="7" style="64" bestFit="1" customWidth="1"/>
    <col min="3346" max="3346" width="11.7109375" style="64" bestFit="1" customWidth="1"/>
    <col min="3347" max="3347" width="12.85546875" style="64" bestFit="1" customWidth="1"/>
    <col min="3348" max="3348" width="11.5703125" style="64" bestFit="1" customWidth="1"/>
    <col min="3349" max="3349" width="12.5703125" style="64" bestFit="1" customWidth="1"/>
    <col min="3350" max="3584" width="9.140625" style="64"/>
    <col min="3585" max="3585" width="2.7109375" style="64" bestFit="1" customWidth="1"/>
    <col min="3586" max="3587" width="9.140625" style="64"/>
    <col min="3588" max="3588" width="10" style="64" customWidth="1"/>
    <col min="3589" max="3589" width="13" style="64" customWidth="1"/>
    <col min="3590" max="3590" width="13.85546875" style="64" customWidth="1"/>
    <col min="3591" max="3591" width="13.28515625" style="64" bestFit="1" customWidth="1"/>
    <col min="3592" max="3592" width="15.140625" style="64" customWidth="1"/>
    <col min="3593" max="3593" width="14.7109375" style="64" customWidth="1"/>
    <col min="3594" max="3594" width="13.42578125" style="64" customWidth="1"/>
    <col min="3595" max="3595" width="12.85546875" style="64" bestFit="1" customWidth="1"/>
    <col min="3596" max="3596" width="9.28515625" style="64" bestFit="1" customWidth="1"/>
    <col min="3597" max="3597" width="11.85546875" style="64" bestFit="1" customWidth="1"/>
    <col min="3598" max="3598" width="2.7109375" style="64" bestFit="1" customWidth="1"/>
    <col min="3599" max="3599" width="40.7109375" style="64" bestFit="1" customWidth="1"/>
    <col min="3600" max="3600" width="12.5703125" style="64" customWidth="1"/>
    <col min="3601" max="3601" width="7" style="64" bestFit="1" customWidth="1"/>
    <col min="3602" max="3602" width="11.7109375" style="64" bestFit="1" customWidth="1"/>
    <col min="3603" max="3603" width="12.85546875" style="64" bestFit="1" customWidth="1"/>
    <col min="3604" max="3604" width="11.5703125" style="64" bestFit="1" customWidth="1"/>
    <col min="3605" max="3605" width="12.5703125" style="64" bestFit="1" customWidth="1"/>
    <col min="3606" max="3840" width="9.140625" style="64"/>
    <col min="3841" max="3841" width="2.7109375" style="64" bestFit="1" customWidth="1"/>
    <col min="3842" max="3843" width="9.140625" style="64"/>
    <col min="3844" max="3844" width="10" style="64" customWidth="1"/>
    <col min="3845" max="3845" width="13" style="64" customWidth="1"/>
    <col min="3846" max="3846" width="13.85546875" style="64" customWidth="1"/>
    <col min="3847" max="3847" width="13.28515625" style="64" bestFit="1" customWidth="1"/>
    <col min="3848" max="3848" width="15.140625" style="64" customWidth="1"/>
    <col min="3849" max="3849" width="14.7109375" style="64" customWidth="1"/>
    <col min="3850" max="3850" width="13.42578125" style="64" customWidth="1"/>
    <col min="3851" max="3851" width="12.85546875" style="64" bestFit="1" customWidth="1"/>
    <col min="3852" max="3852" width="9.28515625" style="64" bestFit="1" customWidth="1"/>
    <col min="3853" max="3853" width="11.85546875" style="64" bestFit="1" customWidth="1"/>
    <col min="3854" max="3854" width="2.7109375" style="64" bestFit="1" customWidth="1"/>
    <col min="3855" max="3855" width="40.7109375" style="64" bestFit="1" customWidth="1"/>
    <col min="3856" max="3856" width="12.5703125" style="64" customWidth="1"/>
    <col min="3857" max="3857" width="7" style="64" bestFit="1" customWidth="1"/>
    <col min="3858" max="3858" width="11.7109375" style="64" bestFit="1" customWidth="1"/>
    <col min="3859" max="3859" width="12.85546875" style="64" bestFit="1" customWidth="1"/>
    <col min="3860" max="3860" width="11.5703125" style="64" bestFit="1" customWidth="1"/>
    <col min="3861" max="3861" width="12.5703125" style="64" bestFit="1" customWidth="1"/>
    <col min="3862" max="4096" width="9.140625" style="64"/>
    <col min="4097" max="4097" width="2.7109375" style="64" bestFit="1" customWidth="1"/>
    <col min="4098" max="4099" width="9.140625" style="64"/>
    <col min="4100" max="4100" width="10" style="64" customWidth="1"/>
    <col min="4101" max="4101" width="13" style="64" customWidth="1"/>
    <col min="4102" max="4102" width="13.85546875" style="64" customWidth="1"/>
    <col min="4103" max="4103" width="13.28515625" style="64" bestFit="1" customWidth="1"/>
    <col min="4104" max="4104" width="15.140625" style="64" customWidth="1"/>
    <col min="4105" max="4105" width="14.7109375" style="64" customWidth="1"/>
    <col min="4106" max="4106" width="13.42578125" style="64" customWidth="1"/>
    <col min="4107" max="4107" width="12.85546875" style="64" bestFit="1" customWidth="1"/>
    <col min="4108" max="4108" width="9.28515625" style="64" bestFit="1" customWidth="1"/>
    <col min="4109" max="4109" width="11.85546875" style="64" bestFit="1" customWidth="1"/>
    <col min="4110" max="4110" width="2.7109375" style="64" bestFit="1" customWidth="1"/>
    <col min="4111" max="4111" width="40.7109375" style="64" bestFit="1" customWidth="1"/>
    <col min="4112" max="4112" width="12.5703125" style="64" customWidth="1"/>
    <col min="4113" max="4113" width="7" style="64" bestFit="1" customWidth="1"/>
    <col min="4114" max="4114" width="11.7109375" style="64" bestFit="1" customWidth="1"/>
    <col min="4115" max="4115" width="12.85546875" style="64" bestFit="1" customWidth="1"/>
    <col min="4116" max="4116" width="11.5703125" style="64" bestFit="1" customWidth="1"/>
    <col min="4117" max="4117" width="12.5703125" style="64" bestFit="1" customWidth="1"/>
    <col min="4118" max="4352" width="9.140625" style="64"/>
    <col min="4353" max="4353" width="2.7109375" style="64" bestFit="1" customWidth="1"/>
    <col min="4354" max="4355" width="9.140625" style="64"/>
    <col min="4356" max="4356" width="10" style="64" customWidth="1"/>
    <col min="4357" max="4357" width="13" style="64" customWidth="1"/>
    <col min="4358" max="4358" width="13.85546875" style="64" customWidth="1"/>
    <col min="4359" max="4359" width="13.28515625" style="64" bestFit="1" customWidth="1"/>
    <col min="4360" max="4360" width="15.140625" style="64" customWidth="1"/>
    <col min="4361" max="4361" width="14.7109375" style="64" customWidth="1"/>
    <col min="4362" max="4362" width="13.42578125" style="64" customWidth="1"/>
    <col min="4363" max="4363" width="12.85546875" style="64" bestFit="1" customWidth="1"/>
    <col min="4364" max="4364" width="9.28515625" style="64" bestFit="1" customWidth="1"/>
    <col min="4365" max="4365" width="11.85546875" style="64" bestFit="1" customWidth="1"/>
    <col min="4366" max="4366" width="2.7109375" style="64" bestFit="1" customWidth="1"/>
    <col min="4367" max="4367" width="40.7109375" style="64" bestFit="1" customWidth="1"/>
    <col min="4368" max="4368" width="12.5703125" style="64" customWidth="1"/>
    <col min="4369" max="4369" width="7" style="64" bestFit="1" customWidth="1"/>
    <col min="4370" max="4370" width="11.7109375" style="64" bestFit="1" customWidth="1"/>
    <col min="4371" max="4371" width="12.85546875" style="64" bestFit="1" customWidth="1"/>
    <col min="4372" max="4372" width="11.5703125" style="64" bestFit="1" customWidth="1"/>
    <col min="4373" max="4373" width="12.5703125" style="64" bestFit="1" customWidth="1"/>
    <col min="4374" max="4608" width="9.140625" style="64"/>
    <col min="4609" max="4609" width="2.7109375" style="64" bestFit="1" customWidth="1"/>
    <col min="4610" max="4611" width="9.140625" style="64"/>
    <col min="4612" max="4612" width="10" style="64" customWidth="1"/>
    <col min="4613" max="4613" width="13" style="64" customWidth="1"/>
    <col min="4614" max="4614" width="13.85546875" style="64" customWidth="1"/>
    <col min="4615" max="4615" width="13.28515625" style="64" bestFit="1" customWidth="1"/>
    <col min="4616" max="4616" width="15.140625" style="64" customWidth="1"/>
    <col min="4617" max="4617" width="14.7109375" style="64" customWidth="1"/>
    <col min="4618" max="4618" width="13.42578125" style="64" customWidth="1"/>
    <col min="4619" max="4619" width="12.85546875" style="64" bestFit="1" customWidth="1"/>
    <col min="4620" max="4620" width="9.28515625" style="64" bestFit="1" customWidth="1"/>
    <col min="4621" max="4621" width="11.85546875" style="64" bestFit="1" customWidth="1"/>
    <col min="4622" max="4622" width="2.7109375" style="64" bestFit="1" customWidth="1"/>
    <col min="4623" max="4623" width="40.7109375" style="64" bestFit="1" customWidth="1"/>
    <col min="4624" max="4624" width="12.5703125" style="64" customWidth="1"/>
    <col min="4625" max="4625" width="7" style="64" bestFit="1" customWidth="1"/>
    <col min="4626" max="4626" width="11.7109375" style="64" bestFit="1" customWidth="1"/>
    <col min="4627" max="4627" width="12.85546875" style="64" bestFit="1" customWidth="1"/>
    <col min="4628" max="4628" width="11.5703125" style="64" bestFit="1" customWidth="1"/>
    <col min="4629" max="4629" width="12.5703125" style="64" bestFit="1" customWidth="1"/>
    <col min="4630" max="4864" width="9.140625" style="64"/>
    <col min="4865" max="4865" width="2.7109375" style="64" bestFit="1" customWidth="1"/>
    <col min="4866" max="4867" width="9.140625" style="64"/>
    <col min="4868" max="4868" width="10" style="64" customWidth="1"/>
    <col min="4869" max="4869" width="13" style="64" customWidth="1"/>
    <col min="4870" max="4870" width="13.85546875" style="64" customWidth="1"/>
    <col min="4871" max="4871" width="13.28515625" style="64" bestFit="1" customWidth="1"/>
    <col min="4872" max="4872" width="15.140625" style="64" customWidth="1"/>
    <col min="4873" max="4873" width="14.7109375" style="64" customWidth="1"/>
    <col min="4874" max="4874" width="13.42578125" style="64" customWidth="1"/>
    <col min="4875" max="4875" width="12.85546875" style="64" bestFit="1" customWidth="1"/>
    <col min="4876" max="4876" width="9.28515625" style="64" bestFit="1" customWidth="1"/>
    <col min="4877" max="4877" width="11.85546875" style="64" bestFit="1" customWidth="1"/>
    <col min="4878" max="4878" width="2.7109375" style="64" bestFit="1" customWidth="1"/>
    <col min="4879" max="4879" width="40.7109375" style="64" bestFit="1" customWidth="1"/>
    <col min="4880" max="4880" width="12.5703125" style="64" customWidth="1"/>
    <col min="4881" max="4881" width="7" style="64" bestFit="1" customWidth="1"/>
    <col min="4882" max="4882" width="11.7109375" style="64" bestFit="1" customWidth="1"/>
    <col min="4883" max="4883" width="12.85546875" style="64" bestFit="1" customWidth="1"/>
    <col min="4884" max="4884" width="11.5703125" style="64" bestFit="1" customWidth="1"/>
    <col min="4885" max="4885" width="12.5703125" style="64" bestFit="1" customWidth="1"/>
    <col min="4886" max="5120" width="9.140625" style="64"/>
    <col min="5121" max="5121" width="2.7109375" style="64" bestFit="1" customWidth="1"/>
    <col min="5122" max="5123" width="9.140625" style="64"/>
    <col min="5124" max="5124" width="10" style="64" customWidth="1"/>
    <col min="5125" max="5125" width="13" style="64" customWidth="1"/>
    <col min="5126" max="5126" width="13.85546875" style="64" customWidth="1"/>
    <col min="5127" max="5127" width="13.28515625" style="64" bestFit="1" customWidth="1"/>
    <col min="5128" max="5128" width="15.140625" style="64" customWidth="1"/>
    <col min="5129" max="5129" width="14.7109375" style="64" customWidth="1"/>
    <col min="5130" max="5130" width="13.42578125" style="64" customWidth="1"/>
    <col min="5131" max="5131" width="12.85546875" style="64" bestFit="1" customWidth="1"/>
    <col min="5132" max="5132" width="9.28515625" style="64" bestFit="1" customWidth="1"/>
    <col min="5133" max="5133" width="11.85546875" style="64" bestFit="1" customWidth="1"/>
    <col min="5134" max="5134" width="2.7109375" style="64" bestFit="1" customWidth="1"/>
    <col min="5135" max="5135" width="40.7109375" style="64" bestFit="1" customWidth="1"/>
    <col min="5136" max="5136" width="12.5703125" style="64" customWidth="1"/>
    <col min="5137" max="5137" width="7" style="64" bestFit="1" customWidth="1"/>
    <col min="5138" max="5138" width="11.7109375" style="64" bestFit="1" customWidth="1"/>
    <col min="5139" max="5139" width="12.85546875" style="64" bestFit="1" customWidth="1"/>
    <col min="5140" max="5140" width="11.5703125" style="64" bestFit="1" customWidth="1"/>
    <col min="5141" max="5141" width="12.5703125" style="64" bestFit="1" customWidth="1"/>
    <col min="5142" max="5376" width="9.140625" style="64"/>
    <col min="5377" max="5377" width="2.7109375" style="64" bestFit="1" customWidth="1"/>
    <col min="5378" max="5379" width="9.140625" style="64"/>
    <col min="5380" max="5380" width="10" style="64" customWidth="1"/>
    <col min="5381" max="5381" width="13" style="64" customWidth="1"/>
    <col min="5382" max="5382" width="13.85546875" style="64" customWidth="1"/>
    <col min="5383" max="5383" width="13.28515625" style="64" bestFit="1" customWidth="1"/>
    <col min="5384" max="5384" width="15.140625" style="64" customWidth="1"/>
    <col min="5385" max="5385" width="14.7109375" style="64" customWidth="1"/>
    <col min="5386" max="5386" width="13.42578125" style="64" customWidth="1"/>
    <col min="5387" max="5387" width="12.85546875" style="64" bestFit="1" customWidth="1"/>
    <col min="5388" max="5388" width="9.28515625" style="64" bestFit="1" customWidth="1"/>
    <col min="5389" max="5389" width="11.85546875" style="64" bestFit="1" customWidth="1"/>
    <col min="5390" max="5390" width="2.7109375" style="64" bestFit="1" customWidth="1"/>
    <col min="5391" max="5391" width="40.7109375" style="64" bestFit="1" customWidth="1"/>
    <col min="5392" max="5392" width="12.5703125" style="64" customWidth="1"/>
    <col min="5393" max="5393" width="7" style="64" bestFit="1" customWidth="1"/>
    <col min="5394" max="5394" width="11.7109375" style="64" bestFit="1" customWidth="1"/>
    <col min="5395" max="5395" width="12.85546875" style="64" bestFit="1" customWidth="1"/>
    <col min="5396" max="5396" width="11.5703125" style="64" bestFit="1" customWidth="1"/>
    <col min="5397" max="5397" width="12.5703125" style="64" bestFit="1" customWidth="1"/>
    <col min="5398" max="5632" width="9.140625" style="64"/>
    <col min="5633" max="5633" width="2.7109375" style="64" bestFit="1" customWidth="1"/>
    <col min="5634" max="5635" width="9.140625" style="64"/>
    <col min="5636" max="5636" width="10" style="64" customWidth="1"/>
    <col min="5637" max="5637" width="13" style="64" customWidth="1"/>
    <col min="5638" max="5638" width="13.85546875" style="64" customWidth="1"/>
    <col min="5639" max="5639" width="13.28515625" style="64" bestFit="1" customWidth="1"/>
    <col min="5640" max="5640" width="15.140625" style="64" customWidth="1"/>
    <col min="5641" max="5641" width="14.7109375" style="64" customWidth="1"/>
    <col min="5642" max="5642" width="13.42578125" style="64" customWidth="1"/>
    <col min="5643" max="5643" width="12.85546875" style="64" bestFit="1" customWidth="1"/>
    <col min="5644" max="5644" width="9.28515625" style="64" bestFit="1" customWidth="1"/>
    <col min="5645" max="5645" width="11.85546875" style="64" bestFit="1" customWidth="1"/>
    <col min="5646" max="5646" width="2.7109375" style="64" bestFit="1" customWidth="1"/>
    <col min="5647" max="5647" width="40.7109375" style="64" bestFit="1" customWidth="1"/>
    <col min="5648" max="5648" width="12.5703125" style="64" customWidth="1"/>
    <col min="5649" max="5649" width="7" style="64" bestFit="1" customWidth="1"/>
    <col min="5650" max="5650" width="11.7109375" style="64" bestFit="1" customWidth="1"/>
    <col min="5651" max="5651" width="12.85546875" style="64" bestFit="1" customWidth="1"/>
    <col min="5652" max="5652" width="11.5703125" style="64" bestFit="1" customWidth="1"/>
    <col min="5653" max="5653" width="12.5703125" style="64" bestFit="1" customWidth="1"/>
    <col min="5654" max="5888" width="9.140625" style="64"/>
    <col min="5889" max="5889" width="2.7109375" style="64" bestFit="1" customWidth="1"/>
    <col min="5890" max="5891" width="9.140625" style="64"/>
    <col min="5892" max="5892" width="10" style="64" customWidth="1"/>
    <col min="5893" max="5893" width="13" style="64" customWidth="1"/>
    <col min="5894" max="5894" width="13.85546875" style="64" customWidth="1"/>
    <col min="5895" max="5895" width="13.28515625" style="64" bestFit="1" customWidth="1"/>
    <col min="5896" max="5896" width="15.140625" style="64" customWidth="1"/>
    <col min="5897" max="5897" width="14.7109375" style="64" customWidth="1"/>
    <col min="5898" max="5898" width="13.42578125" style="64" customWidth="1"/>
    <col min="5899" max="5899" width="12.85546875" style="64" bestFit="1" customWidth="1"/>
    <col min="5900" max="5900" width="9.28515625" style="64" bestFit="1" customWidth="1"/>
    <col min="5901" max="5901" width="11.85546875" style="64" bestFit="1" customWidth="1"/>
    <col min="5902" max="5902" width="2.7109375" style="64" bestFit="1" customWidth="1"/>
    <col min="5903" max="5903" width="40.7109375" style="64" bestFit="1" customWidth="1"/>
    <col min="5904" max="5904" width="12.5703125" style="64" customWidth="1"/>
    <col min="5905" max="5905" width="7" style="64" bestFit="1" customWidth="1"/>
    <col min="5906" max="5906" width="11.7109375" style="64" bestFit="1" customWidth="1"/>
    <col min="5907" max="5907" width="12.85546875" style="64" bestFit="1" customWidth="1"/>
    <col min="5908" max="5908" width="11.5703125" style="64" bestFit="1" customWidth="1"/>
    <col min="5909" max="5909" width="12.5703125" style="64" bestFit="1" customWidth="1"/>
    <col min="5910" max="6144" width="9.140625" style="64"/>
    <col min="6145" max="6145" width="2.7109375" style="64" bestFit="1" customWidth="1"/>
    <col min="6146" max="6147" width="9.140625" style="64"/>
    <col min="6148" max="6148" width="10" style="64" customWidth="1"/>
    <col min="6149" max="6149" width="13" style="64" customWidth="1"/>
    <col min="6150" max="6150" width="13.85546875" style="64" customWidth="1"/>
    <col min="6151" max="6151" width="13.28515625" style="64" bestFit="1" customWidth="1"/>
    <col min="6152" max="6152" width="15.140625" style="64" customWidth="1"/>
    <col min="6153" max="6153" width="14.7109375" style="64" customWidth="1"/>
    <col min="6154" max="6154" width="13.42578125" style="64" customWidth="1"/>
    <col min="6155" max="6155" width="12.85546875" style="64" bestFit="1" customWidth="1"/>
    <col min="6156" max="6156" width="9.28515625" style="64" bestFit="1" customWidth="1"/>
    <col min="6157" max="6157" width="11.85546875" style="64" bestFit="1" customWidth="1"/>
    <col min="6158" max="6158" width="2.7109375" style="64" bestFit="1" customWidth="1"/>
    <col min="6159" max="6159" width="40.7109375" style="64" bestFit="1" customWidth="1"/>
    <col min="6160" max="6160" width="12.5703125" style="64" customWidth="1"/>
    <col min="6161" max="6161" width="7" style="64" bestFit="1" customWidth="1"/>
    <col min="6162" max="6162" width="11.7109375" style="64" bestFit="1" customWidth="1"/>
    <col min="6163" max="6163" width="12.85546875" style="64" bestFit="1" customWidth="1"/>
    <col min="6164" max="6164" width="11.5703125" style="64" bestFit="1" customWidth="1"/>
    <col min="6165" max="6165" width="12.5703125" style="64" bestFit="1" customWidth="1"/>
    <col min="6166" max="6400" width="9.140625" style="64"/>
    <col min="6401" max="6401" width="2.7109375" style="64" bestFit="1" customWidth="1"/>
    <col min="6402" max="6403" width="9.140625" style="64"/>
    <col min="6404" max="6404" width="10" style="64" customWidth="1"/>
    <col min="6405" max="6405" width="13" style="64" customWidth="1"/>
    <col min="6406" max="6406" width="13.85546875" style="64" customWidth="1"/>
    <col min="6407" max="6407" width="13.28515625" style="64" bestFit="1" customWidth="1"/>
    <col min="6408" max="6408" width="15.140625" style="64" customWidth="1"/>
    <col min="6409" max="6409" width="14.7109375" style="64" customWidth="1"/>
    <col min="6410" max="6410" width="13.42578125" style="64" customWidth="1"/>
    <col min="6411" max="6411" width="12.85546875" style="64" bestFit="1" customWidth="1"/>
    <col min="6412" max="6412" width="9.28515625" style="64" bestFit="1" customWidth="1"/>
    <col min="6413" max="6413" width="11.85546875" style="64" bestFit="1" customWidth="1"/>
    <col min="6414" max="6414" width="2.7109375" style="64" bestFit="1" customWidth="1"/>
    <col min="6415" max="6415" width="40.7109375" style="64" bestFit="1" customWidth="1"/>
    <col min="6416" max="6416" width="12.5703125" style="64" customWidth="1"/>
    <col min="6417" max="6417" width="7" style="64" bestFit="1" customWidth="1"/>
    <col min="6418" max="6418" width="11.7109375" style="64" bestFit="1" customWidth="1"/>
    <col min="6419" max="6419" width="12.85546875" style="64" bestFit="1" customWidth="1"/>
    <col min="6420" max="6420" width="11.5703125" style="64" bestFit="1" customWidth="1"/>
    <col min="6421" max="6421" width="12.5703125" style="64" bestFit="1" customWidth="1"/>
    <col min="6422" max="6656" width="9.140625" style="64"/>
    <col min="6657" max="6657" width="2.7109375" style="64" bestFit="1" customWidth="1"/>
    <col min="6658" max="6659" width="9.140625" style="64"/>
    <col min="6660" max="6660" width="10" style="64" customWidth="1"/>
    <col min="6661" max="6661" width="13" style="64" customWidth="1"/>
    <col min="6662" max="6662" width="13.85546875" style="64" customWidth="1"/>
    <col min="6663" max="6663" width="13.28515625" style="64" bestFit="1" customWidth="1"/>
    <col min="6664" max="6664" width="15.140625" style="64" customWidth="1"/>
    <col min="6665" max="6665" width="14.7109375" style="64" customWidth="1"/>
    <col min="6666" max="6666" width="13.42578125" style="64" customWidth="1"/>
    <col min="6667" max="6667" width="12.85546875" style="64" bestFit="1" customWidth="1"/>
    <col min="6668" max="6668" width="9.28515625" style="64" bestFit="1" customWidth="1"/>
    <col min="6669" max="6669" width="11.85546875" style="64" bestFit="1" customWidth="1"/>
    <col min="6670" max="6670" width="2.7109375" style="64" bestFit="1" customWidth="1"/>
    <col min="6671" max="6671" width="40.7109375" style="64" bestFit="1" customWidth="1"/>
    <col min="6672" max="6672" width="12.5703125" style="64" customWidth="1"/>
    <col min="6673" max="6673" width="7" style="64" bestFit="1" customWidth="1"/>
    <col min="6674" max="6674" width="11.7109375" style="64" bestFit="1" customWidth="1"/>
    <col min="6675" max="6675" width="12.85546875" style="64" bestFit="1" customWidth="1"/>
    <col min="6676" max="6676" width="11.5703125" style="64" bestFit="1" customWidth="1"/>
    <col min="6677" max="6677" width="12.5703125" style="64" bestFit="1" customWidth="1"/>
    <col min="6678" max="6912" width="9.140625" style="64"/>
    <col min="6913" max="6913" width="2.7109375" style="64" bestFit="1" customWidth="1"/>
    <col min="6914" max="6915" width="9.140625" style="64"/>
    <col min="6916" max="6916" width="10" style="64" customWidth="1"/>
    <col min="6917" max="6917" width="13" style="64" customWidth="1"/>
    <col min="6918" max="6918" width="13.85546875" style="64" customWidth="1"/>
    <col min="6919" max="6919" width="13.28515625" style="64" bestFit="1" customWidth="1"/>
    <col min="6920" max="6920" width="15.140625" style="64" customWidth="1"/>
    <col min="6921" max="6921" width="14.7109375" style="64" customWidth="1"/>
    <col min="6922" max="6922" width="13.42578125" style="64" customWidth="1"/>
    <col min="6923" max="6923" width="12.85546875" style="64" bestFit="1" customWidth="1"/>
    <col min="6924" max="6924" width="9.28515625" style="64" bestFit="1" customWidth="1"/>
    <col min="6925" max="6925" width="11.85546875" style="64" bestFit="1" customWidth="1"/>
    <col min="6926" max="6926" width="2.7109375" style="64" bestFit="1" customWidth="1"/>
    <col min="6927" max="6927" width="40.7109375" style="64" bestFit="1" customWidth="1"/>
    <col min="6928" max="6928" width="12.5703125" style="64" customWidth="1"/>
    <col min="6929" max="6929" width="7" style="64" bestFit="1" customWidth="1"/>
    <col min="6930" max="6930" width="11.7109375" style="64" bestFit="1" customWidth="1"/>
    <col min="6931" max="6931" width="12.85546875" style="64" bestFit="1" customWidth="1"/>
    <col min="6932" max="6932" width="11.5703125" style="64" bestFit="1" customWidth="1"/>
    <col min="6933" max="6933" width="12.5703125" style="64" bestFit="1" customWidth="1"/>
    <col min="6934" max="7168" width="9.140625" style="64"/>
    <col min="7169" max="7169" width="2.7109375" style="64" bestFit="1" customWidth="1"/>
    <col min="7170" max="7171" width="9.140625" style="64"/>
    <col min="7172" max="7172" width="10" style="64" customWidth="1"/>
    <col min="7173" max="7173" width="13" style="64" customWidth="1"/>
    <col min="7174" max="7174" width="13.85546875" style="64" customWidth="1"/>
    <col min="7175" max="7175" width="13.28515625" style="64" bestFit="1" customWidth="1"/>
    <col min="7176" max="7176" width="15.140625" style="64" customWidth="1"/>
    <col min="7177" max="7177" width="14.7109375" style="64" customWidth="1"/>
    <col min="7178" max="7178" width="13.42578125" style="64" customWidth="1"/>
    <col min="7179" max="7179" width="12.85546875" style="64" bestFit="1" customWidth="1"/>
    <col min="7180" max="7180" width="9.28515625" style="64" bestFit="1" customWidth="1"/>
    <col min="7181" max="7181" width="11.85546875" style="64" bestFit="1" customWidth="1"/>
    <col min="7182" max="7182" width="2.7109375" style="64" bestFit="1" customWidth="1"/>
    <col min="7183" max="7183" width="40.7109375" style="64" bestFit="1" customWidth="1"/>
    <col min="7184" max="7184" width="12.5703125" style="64" customWidth="1"/>
    <col min="7185" max="7185" width="7" style="64" bestFit="1" customWidth="1"/>
    <col min="7186" max="7186" width="11.7109375" style="64" bestFit="1" customWidth="1"/>
    <col min="7187" max="7187" width="12.85546875" style="64" bestFit="1" customWidth="1"/>
    <col min="7188" max="7188" width="11.5703125" style="64" bestFit="1" customWidth="1"/>
    <col min="7189" max="7189" width="12.5703125" style="64" bestFit="1" customWidth="1"/>
    <col min="7190" max="7424" width="9.140625" style="64"/>
    <col min="7425" max="7425" width="2.7109375" style="64" bestFit="1" customWidth="1"/>
    <col min="7426" max="7427" width="9.140625" style="64"/>
    <col min="7428" max="7428" width="10" style="64" customWidth="1"/>
    <col min="7429" max="7429" width="13" style="64" customWidth="1"/>
    <col min="7430" max="7430" width="13.85546875" style="64" customWidth="1"/>
    <col min="7431" max="7431" width="13.28515625" style="64" bestFit="1" customWidth="1"/>
    <col min="7432" max="7432" width="15.140625" style="64" customWidth="1"/>
    <col min="7433" max="7433" width="14.7109375" style="64" customWidth="1"/>
    <col min="7434" max="7434" width="13.42578125" style="64" customWidth="1"/>
    <col min="7435" max="7435" width="12.85546875" style="64" bestFit="1" customWidth="1"/>
    <col min="7436" max="7436" width="9.28515625" style="64" bestFit="1" customWidth="1"/>
    <col min="7437" max="7437" width="11.85546875" style="64" bestFit="1" customWidth="1"/>
    <col min="7438" max="7438" width="2.7109375" style="64" bestFit="1" customWidth="1"/>
    <col min="7439" max="7439" width="40.7109375" style="64" bestFit="1" customWidth="1"/>
    <col min="7440" max="7440" width="12.5703125" style="64" customWidth="1"/>
    <col min="7441" max="7441" width="7" style="64" bestFit="1" customWidth="1"/>
    <col min="7442" max="7442" width="11.7109375" style="64" bestFit="1" customWidth="1"/>
    <col min="7443" max="7443" width="12.85546875" style="64" bestFit="1" customWidth="1"/>
    <col min="7444" max="7444" width="11.5703125" style="64" bestFit="1" customWidth="1"/>
    <col min="7445" max="7445" width="12.5703125" style="64" bestFit="1" customWidth="1"/>
    <col min="7446" max="7680" width="9.140625" style="64"/>
    <col min="7681" max="7681" width="2.7109375" style="64" bestFit="1" customWidth="1"/>
    <col min="7682" max="7683" width="9.140625" style="64"/>
    <col min="7684" max="7684" width="10" style="64" customWidth="1"/>
    <col min="7685" max="7685" width="13" style="64" customWidth="1"/>
    <col min="7686" max="7686" width="13.85546875" style="64" customWidth="1"/>
    <col min="7687" max="7687" width="13.28515625" style="64" bestFit="1" customWidth="1"/>
    <col min="7688" max="7688" width="15.140625" style="64" customWidth="1"/>
    <col min="7689" max="7689" width="14.7109375" style="64" customWidth="1"/>
    <col min="7690" max="7690" width="13.42578125" style="64" customWidth="1"/>
    <col min="7691" max="7691" width="12.85546875" style="64" bestFit="1" customWidth="1"/>
    <col min="7692" max="7692" width="9.28515625" style="64" bestFit="1" customWidth="1"/>
    <col min="7693" max="7693" width="11.85546875" style="64" bestFit="1" customWidth="1"/>
    <col min="7694" max="7694" width="2.7109375" style="64" bestFit="1" customWidth="1"/>
    <col min="7695" max="7695" width="40.7109375" style="64" bestFit="1" customWidth="1"/>
    <col min="7696" max="7696" width="12.5703125" style="64" customWidth="1"/>
    <col min="7697" max="7697" width="7" style="64" bestFit="1" customWidth="1"/>
    <col min="7698" max="7698" width="11.7109375" style="64" bestFit="1" customWidth="1"/>
    <col min="7699" max="7699" width="12.85546875" style="64" bestFit="1" customWidth="1"/>
    <col min="7700" max="7700" width="11.5703125" style="64" bestFit="1" customWidth="1"/>
    <col min="7701" max="7701" width="12.5703125" style="64" bestFit="1" customWidth="1"/>
    <col min="7702" max="7936" width="9.140625" style="64"/>
    <col min="7937" max="7937" width="2.7109375" style="64" bestFit="1" customWidth="1"/>
    <col min="7938" max="7939" width="9.140625" style="64"/>
    <col min="7940" max="7940" width="10" style="64" customWidth="1"/>
    <col min="7941" max="7941" width="13" style="64" customWidth="1"/>
    <col min="7942" max="7942" width="13.85546875" style="64" customWidth="1"/>
    <col min="7943" max="7943" width="13.28515625" style="64" bestFit="1" customWidth="1"/>
    <col min="7944" max="7944" width="15.140625" style="64" customWidth="1"/>
    <col min="7945" max="7945" width="14.7109375" style="64" customWidth="1"/>
    <col min="7946" max="7946" width="13.42578125" style="64" customWidth="1"/>
    <col min="7947" max="7947" width="12.85546875" style="64" bestFit="1" customWidth="1"/>
    <col min="7948" max="7948" width="9.28515625" style="64" bestFit="1" customWidth="1"/>
    <col min="7949" max="7949" width="11.85546875" style="64" bestFit="1" customWidth="1"/>
    <col min="7950" max="7950" width="2.7109375" style="64" bestFit="1" customWidth="1"/>
    <col min="7951" max="7951" width="40.7109375" style="64" bestFit="1" customWidth="1"/>
    <col min="7952" max="7952" width="12.5703125" style="64" customWidth="1"/>
    <col min="7953" max="7953" width="7" style="64" bestFit="1" customWidth="1"/>
    <col min="7954" max="7954" width="11.7109375" style="64" bestFit="1" customWidth="1"/>
    <col min="7955" max="7955" width="12.85546875" style="64" bestFit="1" customWidth="1"/>
    <col min="7956" max="7956" width="11.5703125" style="64" bestFit="1" customWidth="1"/>
    <col min="7957" max="7957" width="12.5703125" style="64" bestFit="1" customWidth="1"/>
    <col min="7958" max="8192" width="9.140625" style="64"/>
    <col min="8193" max="8193" width="2.7109375" style="64" bestFit="1" customWidth="1"/>
    <col min="8194" max="8195" width="9.140625" style="64"/>
    <col min="8196" max="8196" width="10" style="64" customWidth="1"/>
    <col min="8197" max="8197" width="13" style="64" customWidth="1"/>
    <col min="8198" max="8198" width="13.85546875" style="64" customWidth="1"/>
    <col min="8199" max="8199" width="13.28515625" style="64" bestFit="1" customWidth="1"/>
    <col min="8200" max="8200" width="15.140625" style="64" customWidth="1"/>
    <col min="8201" max="8201" width="14.7109375" style="64" customWidth="1"/>
    <col min="8202" max="8202" width="13.42578125" style="64" customWidth="1"/>
    <col min="8203" max="8203" width="12.85546875" style="64" bestFit="1" customWidth="1"/>
    <col min="8204" max="8204" width="9.28515625" style="64" bestFit="1" customWidth="1"/>
    <col min="8205" max="8205" width="11.85546875" style="64" bestFit="1" customWidth="1"/>
    <col min="8206" max="8206" width="2.7109375" style="64" bestFit="1" customWidth="1"/>
    <col min="8207" max="8207" width="40.7109375" style="64" bestFit="1" customWidth="1"/>
    <col min="8208" max="8208" width="12.5703125" style="64" customWidth="1"/>
    <col min="8209" max="8209" width="7" style="64" bestFit="1" customWidth="1"/>
    <col min="8210" max="8210" width="11.7109375" style="64" bestFit="1" customWidth="1"/>
    <col min="8211" max="8211" width="12.85546875" style="64" bestFit="1" customWidth="1"/>
    <col min="8212" max="8212" width="11.5703125" style="64" bestFit="1" customWidth="1"/>
    <col min="8213" max="8213" width="12.5703125" style="64" bestFit="1" customWidth="1"/>
    <col min="8214" max="8448" width="9.140625" style="64"/>
    <col min="8449" max="8449" width="2.7109375" style="64" bestFit="1" customWidth="1"/>
    <col min="8450" max="8451" width="9.140625" style="64"/>
    <col min="8452" max="8452" width="10" style="64" customWidth="1"/>
    <col min="8453" max="8453" width="13" style="64" customWidth="1"/>
    <col min="8454" max="8454" width="13.85546875" style="64" customWidth="1"/>
    <col min="8455" max="8455" width="13.28515625" style="64" bestFit="1" customWidth="1"/>
    <col min="8456" max="8456" width="15.140625" style="64" customWidth="1"/>
    <col min="8457" max="8457" width="14.7109375" style="64" customWidth="1"/>
    <col min="8458" max="8458" width="13.42578125" style="64" customWidth="1"/>
    <col min="8459" max="8459" width="12.85546875" style="64" bestFit="1" customWidth="1"/>
    <col min="8460" max="8460" width="9.28515625" style="64" bestFit="1" customWidth="1"/>
    <col min="8461" max="8461" width="11.85546875" style="64" bestFit="1" customWidth="1"/>
    <col min="8462" max="8462" width="2.7109375" style="64" bestFit="1" customWidth="1"/>
    <col min="8463" max="8463" width="40.7109375" style="64" bestFit="1" customWidth="1"/>
    <col min="8464" max="8464" width="12.5703125" style="64" customWidth="1"/>
    <col min="8465" max="8465" width="7" style="64" bestFit="1" customWidth="1"/>
    <col min="8466" max="8466" width="11.7109375" style="64" bestFit="1" customWidth="1"/>
    <col min="8467" max="8467" width="12.85546875" style="64" bestFit="1" customWidth="1"/>
    <col min="8468" max="8468" width="11.5703125" style="64" bestFit="1" customWidth="1"/>
    <col min="8469" max="8469" width="12.5703125" style="64" bestFit="1" customWidth="1"/>
    <col min="8470" max="8704" width="9.140625" style="64"/>
    <col min="8705" max="8705" width="2.7109375" style="64" bestFit="1" customWidth="1"/>
    <col min="8706" max="8707" width="9.140625" style="64"/>
    <col min="8708" max="8708" width="10" style="64" customWidth="1"/>
    <col min="8709" max="8709" width="13" style="64" customWidth="1"/>
    <col min="8710" max="8710" width="13.85546875" style="64" customWidth="1"/>
    <col min="8711" max="8711" width="13.28515625" style="64" bestFit="1" customWidth="1"/>
    <col min="8712" max="8712" width="15.140625" style="64" customWidth="1"/>
    <col min="8713" max="8713" width="14.7109375" style="64" customWidth="1"/>
    <col min="8714" max="8714" width="13.42578125" style="64" customWidth="1"/>
    <col min="8715" max="8715" width="12.85546875" style="64" bestFit="1" customWidth="1"/>
    <col min="8716" max="8716" width="9.28515625" style="64" bestFit="1" customWidth="1"/>
    <col min="8717" max="8717" width="11.85546875" style="64" bestFit="1" customWidth="1"/>
    <col min="8718" max="8718" width="2.7109375" style="64" bestFit="1" customWidth="1"/>
    <col min="8719" max="8719" width="40.7109375" style="64" bestFit="1" customWidth="1"/>
    <col min="8720" max="8720" width="12.5703125" style="64" customWidth="1"/>
    <col min="8721" max="8721" width="7" style="64" bestFit="1" customWidth="1"/>
    <col min="8722" max="8722" width="11.7109375" style="64" bestFit="1" customWidth="1"/>
    <col min="8723" max="8723" width="12.85546875" style="64" bestFit="1" customWidth="1"/>
    <col min="8724" max="8724" width="11.5703125" style="64" bestFit="1" customWidth="1"/>
    <col min="8725" max="8725" width="12.5703125" style="64" bestFit="1" customWidth="1"/>
    <col min="8726" max="8960" width="9.140625" style="64"/>
    <col min="8961" max="8961" width="2.7109375" style="64" bestFit="1" customWidth="1"/>
    <col min="8962" max="8963" width="9.140625" style="64"/>
    <col min="8964" max="8964" width="10" style="64" customWidth="1"/>
    <col min="8965" max="8965" width="13" style="64" customWidth="1"/>
    <col min="8966" max="8966" width="13.85546875" style="64" customWidth="1"/>
    <col min="8967" max="8967" width="13.28515625" style="64" bestFit="1" customWidth="1"/>
    <col min="8968" max="8968" width="15.140625" style="64" customWidth="1"/>
    <col min="8969" max="8969" width="14.7109375" style="64" customWidth="1"/>
    <col min="8970" max="8970" width="13.42578125" style="64" customWidth="1"/>
    <col min="8971" max="8971" width="12.85546875" style="64" bestFit="1" customWidth="1"/>
    <col min="8972" max="8972" width="9.28515625" style="64" bestFit="1" customWidth="1"/>
    <col min="8973" max="8973" width="11.85546875" style="64" bestFit="1" customWidth="1"/>
    <col min="8974" max="8974" width="2.7109375" style="64" bestFit="1" customWidth="1"/>
    <col min="8975" max="8975" width="40.7109375" style="64" bestFit="1" customWidth="1"/>
    <col min="8976" max="8976" width="12.5703125" style="64" customWidth="1"/>
    <col min="8977" max="8977" width="7" style="64" bestFit="1" customWidth="1"/>
    <col min="8978" max="8978" width="11.7109375" style="64" bestFit="1" customWidth="1"/>
    <col min="8979" max="8979" width="12.85546875" style="64" bestFit="1" customWidth="1"/>
    <col min="8980" max="8980" width="11.5703125" style="64" bestFit="1" customWidth="1"/>
    <col min="8981" max="8981" width="12.5703125" style="64" bestFit="1" customWidth="1"/>
    <col min="8982" max="9216" width="9.140625" style="64"/>
    <col min="9217" max="9217" width="2.7109375" style="64" bestFit="1" customWidth="1"/>
    <col min="9218" max="9219" width="9.140625" style="64"/>
    <col min="9220" max="9220" width="10" style="64" customWidth="1"/>
    <col min="9221" max="9221" width="13" style="64" customWidth="1"/>
    <col min="9222" max="9222" width="13.85546875" style="64" customWidth="1"/>
    <col min="9223" max="9223" width="13.28515625" style="64" bestFit="1" customWidth="1"/>
    <col min="9224" max="9224" width="15.140625" style="64" customWidth="1"/>
    <col min="9225" max="9225" width="14.7109375" style="64" customWidth="1"/>
    <col min="9226" max="9226" width="13.42578125" style="64" customWidth="1"/>
    <col min="9227" max="9227" width="12.85546875" style="64" bestFit="1" customWidth="1"/>
    <col min="9228" max="9228" width="9.28515625" style="64" bestFit="1" customWidth="1"/>
    <col min="9229" max="9229" width="11.85546875" style="64" bestFit="1" customWidth="1"/>
    <col min="9230" max="9230" width="2.7109375" style="64" bestFit="1" customWidth="1"/>
    <col min="9231" max="9231" width="40.7109375" style="64" bestFit="1" customWidth="1"/>
    <col min="9232" max="9232" width="12.5703125" style="64" customWidth="1"/>
    <col min="9233" max="9233" width="7" style="64" bestFit="1" customWidth="1"/>
    <col min="9234" max="9234" width="11.7109375" style="64" bestFit="1" customWidth="1"/>
    <col min="9235" max="9235" width="12.85546875" style="64" bestFit="1" customWidth="1"/>
    <col min="9236" max="9236" width="11.5703125" style="64" bestFit="1" customWidth="1"/>
    <col min="9237" max="9237" width="12.5703125" style="64" bestFit="1" customWidth="1"/>
    <col min="9238" max="9472" width="9.140625" style="64"/>
    <col min="9473" max="9473" width="2.7109375" style="64" bestFit="1" customWidth="1"/>
    <col min="9474" max="9475" width="9.140625" style="64"/>
    <col min="9476" max="9476" width="10" style="64" customWidth="1"/>
    <col min="9477" max="9477" width="13" style="64" customWidth="1"/>
    <col min="9478" max="9478" width="13.85546875" style="64" customWidth="1"/>
    <col min="9479" max="9479" width="13.28515625" style="64" bestFit="1" customWidth="1"/>
    <col min="9480" max="9480" width="15.140625" style="64" customWidth="1"/>
    <col min="9481" max="9481" width="14.7109375" style="64" customWidth="1"/>
    <col min="9482" max="9482" width="13.42578125" style="64" customWidth="1"/>
    <col min="9483" max="9483" width="12.85546875" style="64" bestFit="1" customWidth="1"/>
    <col min="9484" max="9484" width="9.28515625" style="64" bestFit="1" customWidth="1"/>
    <col min="9485" max="9485" width="11.85546875" style="64" bestFit="1" customWidth="1"/>
    <col min="9486" max="9486" width="2.7109375" style="64" bestFit="1" customWidth="1"/>
    <col min="9487" max="9487" width="40.7109375" style="64" bestFit="1" customWidth="1"/>
    <col min="9488" max="9488" width="12.5703125" style="64" customWidth="1"/>
    <col min="9489" max="9489" width="7" style="64" bestFit="1" customWidth="1"/>
    <col min="9490" max="9490" width="11.7109375" style="64" bestFit="1" customWidth="1"/>
    <col min="9491" max="9491" width="12.85546875" style="64" bestFit="1" customWidth="1"/>
    <col min="9492" max="9492" width="11.5703125" style="64" bestFit="1" customWidth="1"/>
    <col min="9493" max="9493" width="12.5703125" style="64" bestFit="1" customWidth="1"/>
    <col min="9494" max="9728" width="9.140625" style="64"/>
    <col min="9729" max="9729" width="2.7109375" style="64" bestFit="1" customWidth="1"/>
    <col min="9730" max="9731" width="9.140625" style="64"/>
    <col min="9732" max="9732" width="10" style="64" customWidth="1"/>
    <col min="9733" max="9733" width="13" style="64" customWidth="1"/>
    <col min="9734" max="9734" width="13.85546875" style="64" customWidth="1"/>
    <col min="9735" max="9735" width="13.28515625" style="64" bestFit="1" customWidth="1"/>
    <col min="9736" max="9736" width="15.140625" style="64" customWidth="1"/>
    <col min="9737" max="9737" width="14.7109375" style="64" customWidth="1"/>
    <col min="9738" max="9738" width="13.42578125" style="64" customWidth="1"/>
    <col min="9739" max="9739" width="12.85546875" style="64" bestFit="1" customWidth="1"/>
    <col min="9740" max="9740" width="9.28515625" style="64" bestFit="1" customWidth="1"/>
    <col min="9741" max="9741" width="11.85546875" style="64" bestFit="1" customWidth="1"/>
    <col min="9742" max="9742" width="2.7109375" style="64" bestFit="1" customWidth="1"/>
    <col min="9743" max="9743" width="40.7109375" style="64" bestFit="1" customWidth="1"/>
    <col min="9744" max="9744" width="12.5703125" style="64" customWidth="1"/>
    <col min="9745" max="9745" width="7" style="64" bestFit="1" customWidth="1"/>
    <col min="9746" max="9746" width="11.7109375" style="64" bestFit="1" customWidth="1"/>
    <col min="9747" max="9747" width="12.85546875" style="64" bestFit="1" customWidth="1"/>
    <col min="9748" max="9748" width="11.5703125" style="64" bestFit="1" customWidth="1"/>
    <col min="9749" max="9749" width="12.5703125" style="64" bestFit="1" customWidth="1"/>
    <col min="9750" max="9984" width="9.140625" style="64"/>
    <col min="9985" max="9985" width="2.7109375" style="64" bestFit="1" customWidth="1"/>
    <col min="9986" max="9987" width="9.140625" style="64"/>
    <col min="9988" max="9988" width="10" style="64" customWidth="1"/>
    <col min="9989" max="9989" width="13" style="64" customWidth="1"/>
    <col min="9990" max="9990" width="13.85546875" style="64" customWidth="1"/>
    <col min="9991" max="9991" width="13.28515625" style="64" bestFit="1" customWidth="1"/>
    <col min="9992" max="9992" width="15.140625" style="64" customWidth="1"/>
    <col min="9993" max="9993" width="14.7109375" style="64" customWidth="1"/>
    <col min="9994" max="9994" width="13.42578125" style="64" customWidth="1"/>
    <col min="9995" max="9995" width="12.85546875" style="64" bestFit="1" customWidth="1"/>
    <col min="9996" max="9996" width="9.28515625" style="64" bestFit="1" customWidth="1"/>
    <col min="9997" max="9997" width="11.85546875" style="64" bestFit="1" customWidth="1"/>
    <col min="9998" max="9998" width="2.7109375" style="64" bestFit="1" customWidth="1"/>
    <col min="9999" max="9999" width="40.7109375" style="64" bestFit="1" customWidth="1"/>
    <col min="10000" max="10000" width="12.5703125" style="64" customWidth="1"/>
    <col min="10001" max="10001" width="7" style="64" bestFit="1" customWidth="1"/>
    <col min="10002" max="10002" width="11.7109375" style="64" bestFit="1" customWidth="1"/>
    <col min="10003" max="10003" width="12.85546875" style="64" bestFit="1" customWidth="1"/>
    <col min="10004" max="10004" width="11.5703125" style="64" bestFit="1" customWidth="1"/>
    <col min="10005" max="10005" width="12.5703125" style="64" bestFit="1" customWidth="1"/>
    <col min="10006" max="10240" width="9.140625" style="64"/>
    <col min="10241" max="10241" width="2.7109375" style="64" bestFit="1" customWidth="1"/>
    <col min="10242" max="10243" width="9.140625" style="64"/>
    <col min="10244" max="10244" width="10" style="64" customWidth="1"/>
    <col min="10245" max="10245" width="13" style="64" customWidth="1"/>
    <col min="10246" max="10246" width="13.85546875" style="64" customWidth="1"/>
    <col min="10247" max="10247" width="13.28515625" style="64" bestFit="1" customWidth="1"/>
    <col min="10248" max="10248" width="15.140625" style="64" customWidth="1"/>
    <col min="10249" max="10249" width="14.7109375" style="64" customWidth="1"/>
    <col min="10250" max="10250" width="13.42578125" style="64" customWidth="1"/>
    <col min="10251" max="10251" width="12.85546875" style="64" bestFit="1" customWidth="1"/>
    <col min="10252" max="10252" width="9.28515625" style="64" bestFit="1" customWidth="1"/>
    <col min="10253" max="10253" width="11.85546875" style="64" bestFit="1" customWidth="1"/>
    <col min="10254" max="10254" width="2.7109375" style="64" bestFit="1" customWidth="1"/>
    <col min="10255" max="10255" width="40.7109375" style="64" bestFit="1" customWidth="1"/>
    <col min="10256" max="10256" width="12.5703125" style="64" customWidth="1"/>
    <col min="10257" max="10257" width="7" style="64" bestFit="1" customWidth="1"/>
    <col min="10258" max="10258" width="11.7109375" style="64" bestFit="1" customWidth="1"/>
    <col min="10259" max="10259" width="12.85546875" style="64" bestFit="1" customWidth="1"/>
    <col min="10260" max="10260" width="11.5703125" style="64" bestFit="1" customWidth="1"/>
    <col min="10261" max="10261" width="12.5703125" style="64" bestFit="1" customWidth="1"/>
    <col min="10262" max="10496" width="9.140625" style="64"/>
    <col min="10497" max="10497" width="2.7109375" style="64" bestFit="1" customWidth="1"/>
    <col min="10498" max="10499" width="9.140625" style="64"/>
    <col min="10500" max="10500" width="10" style="64" customWidth="1"/>
    <col min="10501" max="10501" width="13" style="64" customWidth="1"/>
    <col min="10502" max="10502" width="13.85546875" style="64" customWidth="1"/>
    <col min="10503" max="10503" width="13.28515625" style="64" bestFit="1" customWidth="1"/>
    <col min="10504" max="10504" width="15.140625" style="64" customWidth="1"/>
    <col min="10505" max="10505" width="14.7109375" style="64" customWidth="1"/>
    <col min="10506" max="10506" width="13.42578125" style="64" customWidth="1"/>
    <col min="10507" max="10507" width="12.85546875" style="64" bestFit="1" customWidth="1"/>
    <col min="10508" max="10508" width="9.28515625" style="64" bestFit="1" customWidth="1"/>
    <col min="10509" max="10509" width="11.85546875" style="64" bestFit="1" customWidth="1"/>
    <col min="10510" max="10510" width="2.7109375" style="64" bestFit="1" customWidth="1"/>
    <col min="10511" max="10511" width="40.7109375" style="64" bestFit="1" customWidth="1"/>
    <col min="10512" max="10512" width="12.5703125" style="64" customWidth="1"/>
    <col min="10513" max="10513" width="7" style="64" bestFit="1" customWidth="1"/>
    <col min="10514" max="10514" width="11.7109375" style="64" bestFit="1" customWidth="1"/>
    <col min="10515" max="10515" width="12.85546875" style="64" bestFit="1" customWidth="1"/>
    <col min="10516" max="10516" width="11.5703125" style="64" bestFit="1" customWidth="1"/>
    <col min="10517" max="10517" width="12.5703125" style="64" bestFit="1" customWidth="1"/>
    <col min="10518" max="10752" width="9.140625" style="64"/>
    <col min="10753" max="10753" width="2.7109375" style="64" bestFit="1" customWidth="1"/>
    <col min="10754" max="10755" width="9.140625" style="64"/>
    <col min="10756" max="10756" width="10" style="64" customWidth="1"/>
    <col min="10757" max="10757" width="13" style="64" customWidth="1"/>
    <col min="10758" max="10758" width="13.85546875" style="64" customWidth="1"/>
    <col min="10759" max="10759" width="13.28515625" style="64" bestFit="1" customWidth="1"/>
    <col min="10760" max="10760" width="15.140625" style="64" customWidth="1"/>
    <col min="10761" max="10761" width="14.7109375" style="64" customWidth="1"/>
    <col min="10762" max="10762" width="13.42578125" style="64" customWidth="1"/>
    <col min="10763" max="10763" width="12.85546875" style="64" bestFit="1" customWidth="1"/>
    <col min="10764" max="10764" width="9.28515625" style="64" bestFit="1" customWidth="1"/>
    <col min="10765" max="10765" width="11.85546875" style="64" bestFit="1" customWidth="1"/>
    <col min="10766" max="10766" width="2.7109375" style="64" bestFit="1" customWidth="1"/>
    <col min="10767" max="10767" width="40.7109375" style="64" bestFit="1" customWidth="1"/>
    <col min="10768" max="10768" width="12.5703125" style="64" customWidth="1"/>
    <col min="10769" max="10769" width="7" style="64" bestFit="1" customWidth="1"/>
    <col min="10770" max="10770" width="11.7109375" style="64" bestFit="1" customWidth="1"/>
    <col min="10771" max="10771" width="12.85546875" style="64" bestFit="1" customWidth="1"/>
    <col min="10772" max="10772" width="11.5703125" style="64" bestFit="1" customWidth="1"/>
    <col min="10773" max="10773" width="12.5703125" style="64" bestFit="1" customWidth="1"/>
    <col min="10774" max="11008" width="9.140625" style="64"/>
    <col min="11009" max="11009" width="2.7109375" style="64" bestFit="1" customWidth="1"/>
    <col min="11010" max="11011" width="9.140625" style="64"/>
    <col min="11012" max="11012" width="10" style="64" customWidth="1"/>
    <col min="11013" max="11013" width="13" style="64" customWidth="1"/>
    <col min="11014" max="11014" width="13.85546875" style="64" customWidth="1"/>
    <col min="11015" max="11015" width="13.28515625" style="64" bestFit="1" customWidth="1"/>
    <col min="11016" max="11016" width="15.140625" style="64" customWidth="1"/>
    <col min="11017" max="11017" width="14.7109375" style="64" customWidth="1"/>
    <col min="11018" max="11018" width="13.42578125" style="64" customWidth="1"/>
    <col min="11019" max="11019" width="12.85546875" style="64" bestFit="1" customWidth="1"/>
    <col min="11020" max="11020" width="9.28515625" style="64" bestFit="1" customWidth="1"/>
    <col min="11021" max="11021" width="11.85546875" style="64" bestFit="1" customWidth="1"/>
    <col min="11022" max="11022" width="2.7109375" style="64" bestFit="1" customWidth="1"/>
    <col min="11023" max="11023" width="40.7109375" style="64" bestFit="1" customWidth="1"/>
    <col min="11024" max="11024" width="12.5703125" style="64" customWidth="1"/>
    <col min="11025" max="11025" width="7" style="64" bestFit="1" customWidth="1"/>
    <col min="11026" max="11026" width="11.7109375" style="64" bestFit="1" customWidth="1"/>
    <col min="11027" max="11027" width="12.85546875" style="64" bestFit="1" customWidth="1"/>
    <col min="11028" max="11028" width="11.5703125" style="64" bestFit="1" customWidth="1"/>
    <col min="11029" max="11029" width="12.5703125" style="64" bestFit="1" customWidth="1"/>
    <col min="11030" max="11264" width="9.140625" style="64"/>
    <col min="11265" max="11265" width="2.7109375" style="64" bestFit="1" customWidth="1"/>
    <col min="11266" max="11267" width="9.140625" style="64"/>
    <col min="11268" max="11268" width="10" style="64" customWidth="1"/>
    <col min="11269" max="11269" width="13" style="64" customWidth="1"/>
    <col min="11270" max="11270" width="13.85546875" style="64" customWidth="1"/>
    <col min="11271" max="11271" width="13.28515625" style="64" bestFit="1" customWidth="1"/>
    <col min="11272" max="11272" width="15.140625" style="64" customWidth="1"/>
    <col min="11273" max="11273" width="14.7109375" style="64" customWidth="1"/>
    <col min="11274" max="11274" width="13.42578125" style="64" customWidth="1"/>
    <col min="11275" max="11275" width="12.85546875" style="64" bestFit="1" customWidth="1"/>
    <col min="11276" max="11276" width="9.28515625" style="64" bestFit="1" customWidth="1"/>
    <col min="11277" max="11277" width="11.85546875" style="64" bestFit="1" customWidth="1"/>
    <col min="11278" max="11278" width="2.7109375" style="64" bestFit="1" customWidth="1"/>
    <col min="11279" max="11279" width="40.7109375" style="64" bestFit="1" customWidth="1"/>
    <col min="11280" max="11280" width="12.5703125" style="64" customWidth="1"/>
    <col min="11281" max="11281" width="7" style="64" bestFit="1" customWidth="1"/>
    <col min="11282" max="11282" width="11.7109375" style="64" bestFit="1" customWidth="1"/>
    <col min="11283" max="11283" width="12.85546875" style="64" bestFit="1" customWidth="1"/>
    <col min="11284" max="11284" width="11.5703125" style="64" bestFit="1" customWidth="1"/>
    <col min="11285" max="11285" width="12.5703125" style="64" bestFit="1" customWidth="1"/>
    <col min="11286" max="11520" width="9.140625" style="64"/>
    <col min="11521" max="11521" width="2.7109375" style="64" bestFit="1" customWidth="1"/>
    <col min="11522" max="11523" width="9.140625" style="64"/>
    <col min="11524" max="11524" width="10" style="64" customWidth="1"/>
    <col min="11525" max="11525" width="13" style="64" customWidth="1"/>
    <col min="11526" max="11526" width="13.85546875" style="64" customWidth="1"/>
    <col min="11527" max="11527" width="13.28515625" style="64" bestFit="1" customWidth="1"/>
    <col min="11528" max="11528" width="15.140625" style="64" customWidth="1"/>
    <col min="11529" max="11529" width="14.7109375" style="64" customWidth="1"/>
    <col min="11530" max="11530" width="13.42578125" style="64" customWidth="1"/>
    <col min="11531" max="11531" width="12.85546875" style="64" bestFit="1" customWidth="1"/>
    <col min="11532" max="11532" width="9.28515625" style="64" bestFit="1" customWidth="1"/>
    <col min="11533" max="11533" width="11.85546875" style="64" bestFit="1" customWidth="1"/>
    <col min="11534" max="11534" width="2.7109375" style="64" bestFit="1" customWidth="1"/>
    <col min="11535" max="11535" width="40.7109375" style="64" bestFit="1" customWidth="1"/>
    <col min="11536" max="11536" width="12.5703125" style="64" customWidth="1"/>
    <col min="11537" max="11537" width="7" style="64" bestFit="1" customWidth="1"/>
    <col min="11538" max="11538" width="11.7109375" style="64" bestFit="1" customWidth="1"/>
    <col min="11539" max="11539" width="12.85546875" style="64" bestFit="1" customWidth="1"/>
    <col min="11540" max="11540" width="11.5703125" style="64" bestFit="1" customWidth="1"/>
    <col min="11541" max="11541" width="12.5703125" style="64" bestFit="1" customWidth="1"/>
    <col min="11542" max="11776" width="9.140625" style="64"/>
    <col min="11777" max="11777" width="2.7109375" style="64" bestFit="1" customWidth="1"/>
    <col min="11778" max="11779" width="9.140625" style="64"/>
    <col min="11780" max="11780" width="10" style="64" customWidth="1"/>
    <col min="11781" max="11781" width="13" style="64" customWidth="1"/>
    <col min="11782" max="11782" width="13.85546875" style="64" customWidth="1"/>
    <col min="11783" max="11783" width="13.28515625" style="64" bestFit="1" customWidth="1"/>
    <col min="11784" max="11784" width="15.140625" style="64" customWidth="1"/>
    <col min="11785" max="11785" width="14.7109375" style="64" customWidth="1"/>
    <col min="11786" max="11786" width="13.42578125" style="64" customWidth="1"/>
    <col min="11787" max="11787" width="12.85546875" style="64" bestFit="1" customWidth="1"/>
    <col min="11788" max="11788" width="9.28515625" style="64" bestFit="1" customWidth="1"/>
    <col min="11789" max="11789" width="11.85546875" style="64" bestFit="1" customWidth="1"/>
    <col min="11790" max="11790" width="2.7109375" style="64" bestFit="1" customWidth="1"/>
    <col min="11791" max="11791" width="40.7109375" style="64" bestFit="1" customWidth="1"/>
    <col min="11792" max="11792" width="12.5703125" style="64" customWidth="1"/>
    <col min="11793" max="11793" width="7" style="64" bestFit="1" customWidth="1"/>
    <col min="11794" max="11794" width="11.7109375" style="64" bestFit="1" customWidth="1"/>
    <col min="11795" max="11795" width="12.85546875" style="64" bestFit="1" customWidth="1"/>
    <col min="11796" max="11796" width="11.5703125" style="64" bestFit="1" customWidth="1"/>
    <col min="11797" max="11797" width="12.5703125" style="64" bestFit="1" customWidth="1"/>
    <col min="11798" max="12032" width="9.140625" style="64"/>
    <col min="12033" max="12033" width="2.7109375" style="64" bestFit="1" customWidth="1"/>
    <col min="12034" max="12035" width="9.140625" style="64"/>
    <col min="12036" max="12036" width="10" style="64" customWidth="1"/>
    <col min="12037" max="12037" width="13" style="64" customWidth="1"/>
    <col min="12038" max="12038" width="13.85546875" style="64" customWidth="1"/>
    <col min="12039" max="12039" width="13.28515625" style="64" bestFit="1" customWidth="1"/>
    <col min="12040" max="12040" width="15.140625" style="64" customWidth="1"/>
    <col min="12041" max="12041" width="14.7109375" style="64" customWidth="1"/>
    <col min="12042" max="12042" width="13.42578125" style="64" customWidth="1"/>
    <col min="12043" max="12043" width="12.85546875" style="64" bestFit="1" customWidth="1"/>
    <col min="12044" max="12044" width="9.28515625" style="64" bestFit="1" customWidth="1"/>
    <col min="12045" max="12045" width="11.85546875" style="64" bestFit="1" customWidth="1"/>
    <col min="12046" max="12046" width="2.7109375" style="64" bestFit="1" customWidth="1"/>
    <col min="12047" max="12047" width="40.7109375" style="64" bestFit="1" customWidth="1"/>
    <col min="12048" max="12048" width="12.5703125" style="64" customWidth="1"/>
    <col min="12049" max="12049" width="7" style="64" bestFit="1" customWidth="1"/>
    <col min="12050" max="12050" width="11.7109375" style="64" bestFit="1" customWidth="1"/>
    <col min="12051" max="12051" width="12.85546875" style="64" bestFit="1" customWidth="1"/>
    <col min="12052" max="12052" width="11.5703125" style="64" bestFit="1" customWidth="1"/>
    <col min="12053" max="12053" width="12.5703125" style="64" bestFit="1" customWidth="1"/>
    <col min="12054" max="12288" width="9.140625" style="64"/>
    <col min="12289" max="12289" width="2.7109375" style="64" bestFit="1" customWidth="1"/>
    <col min="12290" max="12291" width="9.140625" style="64"/>
    <col min="12292" max="12292" width="10" style="64" customWidth="1"/>
    <col min="12293" max="12293" width="13" style="64" customWidth="1"/>
    <col min="12294" max="12294" width="13.85546875" style="64" customWidth="1"/>
    <col min="12295" max="12295" width="13.28515625" style="64" bestFit="1" customWidth="1"/>
    <col min="12296" max="12296" width="15.140625" style="64" customWidth="1"/>
    <col min="12297" max="12297" width="14.7109375" style="64" customWidth="1"/>
    <col min="12298" max="12298" width="13.42578125" style="64" customWidth="1"/>
    <col min="12299" max="12299" width="12.85546875" style="64" bestFit="1" customWidth="1"/>
    <col min="12300" max="12300" width="9.28515625" style="64" bestFit="1" customWidth="1"/>
    <col min="12301" max="12301" width="11.85546875" style="64" bestFit="1" customWidth="1"/>
    <col min="12302" max="12302" width="2.7109375" style="64" bestFit="1" customWidth="1"/>
    <col min="12303" max="12303" width="40.7109375" style="64" bestFit="1" customWidth="1"/>
    <col min="12304" max="12304" width="12.5703125" style="64" customWidth="1"/>
    <col min="12305" max="12305" width="7" style="64" bestFit="1" customWidth="1"/>
    <col min="12306" max="12306" width="11.7109375" style="64" bestFit="1" customWidth="1"/>
    <col min="12307" max="12307" width="12.85546875" style="64" bestFit="1" customWidth="1"/>
    <col min="12308" max="12308" width="11.5703125" style="64" bestFit="1" customWidth="1"/>
    <col min="12309" max="12309" width="12.5703125" style="64" bestFit="1" customWidth="1"/>
    <col min="12310" max="12544" width="9.140625" style="64"/>
    <col min="12545" max="12545" width="2.7109375" style="64" bestFit="1" customWidth="1"/>
    <col min="12546" max="12547" width="9.140625" style="64"/>
    <col min="12548" max="12548" width="10" style="64" customWidth="1"/>
    <col min="12549" max="12549" width="13" style="64" customWidth="1"/>
    <col min="12550" max="12550" width="13.85546875" style="64" customWidth="1"/>
    <col min="12551" max="12551" width="13.28515625" style="64" bestFit="1" customWidth="1"/>
    <col min="12552" max="12552" width="15.140625" style="64" customWidth="1"/>
    <col min="12553" max="12553" width="14.7109375" style="64" customWidth="1"/>
    <col min="12554" max="12554" width="13.42578125" style="64" customWidth="1"/>
    <col min="12555" max="12555" width="12.85546875" style="64" bestFit="1" customWidth="1"/>
    <col min="12556" max="12556" width="9.28515625" style="64" bestFit="1" customWidth="1"/>
    <col min="12557" max="12557" width="11.85546875" style="64" bestFit="1" customWidth="1"/>
    <col min="12558" max="12558" width="2.7109375" style="64" bestFit="1" customWidth="1"/>
    <col min="12559" max="12559" width="40.7109375" style="64" bestFit="1" customWidth="1"/>
    <col min="12560" max="12560" width="12.5703125" style="64" customWidth="1"/>
    <col min="12561" max="12561" width="7" style="64" bestFit="1" customWidth="1"/>
    <col min="12562" max="12562" width="11.7109375" style="64" bestFit="1" customWidth="1"/>
    <col min="12563" max="12563" width="12.85546875" style="64" bestFit="1" customWidth="1"/>
    <col min="12564" max="12564" width="11.5703125" style="64" bestFit="1" customWidth="1"/>
    <col min="12565" max="12565" width="12.5703125" style="64" bestFit="1" customWidth="1"/>
    <col min="12566" max="12800" width="9.140625" style="64"/>
    <col min="12801" max="12801" width="2.7109375" style="64" bestFit="1" customWidth="1"/>
    <col min="12802" max="12803" width="9.140625" style="64"/>
    <col min="12804" max="12804" width="10" style="64" customWidth="1"/>
    <col min="12805" max="12805" width="13" style="64" customWidth="1"/>
    <col min="12806" max="12806" width="13.85546875" style="64" customWidth="1"/>
    <col min="12807" max="12807" width="13.28515625" style="64" bestFit="1" customWidth="1"/>
    <col min="12808" max="12808" width="15.140625" style="64" customWidth="1"/>
    <col min="12809" max="12809" width="14.7109375" style="64" customWidth="1"/>
    <col min="12810" max="12810" width="13.42578125" style="64" customWidth="1"/>
    <col min="12811" max="12811" width="12.85546875" style="64" bestFit="1" customWidth="1"/>
    <col min="12812" max="12812" width="9.28515625" style="64" bestFit="1" customWidth="1"/>
    <col min="12813" max="12813" width="11.85546875" style="64" bestFit="1" customWidth="1"/>
    <col min="12814" max="12814" width="2.7109375" style="64" bestFit="1" customWidth="1"/>
    <col min="12815" max="12815" width="40.7109375" style="64" bestFit="1" customWidth="1"/>
    <col min="12816" max="12816" width="12.5703125" style="64" customWidth="1"/>
    <col min="12817" max="12817" width="7" style="64" bestFit="1" customWidth="1"/>
    <col min="12818" max="12818" width="11.7109375" style="64" bestFit="1" customWidth="1"/>
    <col min="12819" max="12819" width="12.85546875" style="64" bestFit="1" customWidth="1"/>
    <col min="12820" max="12820" width="11.5703125" style="64" bestFit="1" customWidth="1"/>
    <col min="12821" max="12821" width="12.5703125" style="64" bestFit="1" customWidth="1"/>
    <col min="12822" max="13056" width="9.140625" style="64"/>
    <col min="13057" max="13057" width="2.7109375" style="64" bestFit="1" customWidth="1"/>
    <col min="13058" max="13059" width="9.140625" style="64"/>
    <col min="13060" max="13060" width="10" style="64" customWidth="1"/>
    <col min="13061" max="13061" width="13" style="64" customWidth="1"/>
    <col min="13062" max="13062" width="13.85546875" style="64" customWidth="1"/>
    <col min="13063" max="13063" width="13.28515625" style="64" bestFit="1" customWidth="1"/>
    <col min="13064" max="13064" width="15.140625" style="64" customWidth="1"/>
    <col min="13065" max="13065" width="14.7109375" style="64" customWidth="1"/>
    <col min="13066" max="13066" width="13.42578125" style="64" customWidth="1"/>
    <col min="13067" max="13067" width="12.85546875" style="64" bestFit="1" customWidth="1"/>
    <col min="13068" max="13068" width="9.28515625" style="64" bestFit="1" customWidth="1"/>
    <col min="13069" max="13069" width="11.85546875" style="64" bestFit="1" customWidth="1"/>
    <col min="13070" max="13070" width="2.7109375" style="64" bestFit="1" customWidth="1"/>
    <col min="13071" max="13071" width="40.7109375" style="64" bestFit="1" customWidth="1"/>
    <col min="13072" max="13072" width="12.5703125" style="64" customWidth="1"/>
    <col min="13073" max="13073" width="7" style="64" bestFit="1" customWidth="1"/>
    <col min="13074" max="13074" width="11.7109375" style="64" bestFit="1" customWidth="1"/>
    <col min="13075" max="13075" width="12.85546875" style="64" bestFit="1" customWidth="1"/>
    <col min="13076" max="13076" width="11.5703125" style="64" bestFit="1" customWidth="1"/>
    <col min="13077" max="13077" width="12.5703125" style="64" bestFit="1" customWidth="1"/>
    <col min="13078" max="13312" width="9.140625" style="64"/>
    <col min="13313" max="13313" width="2.7109375" style="64" bestFit="1" customWidth="1"/>
    <col min="13314" max="13315" width="9.140625" style="64"/>
    <col min="13316" max="13316" width="10" style="64" customWidth="1"/>
    <col min="13317" max="13317" width="13" style="64" customWidth="1"/>
    <col min="13318" max="13318" width="13.85546875" style="64" customWidth="1"/>
    <col min="13319" max="13319" width="13.28515625" style="64" bestFit="1" customWidth="1"/>
    <col min="13320" max="13320" width="15.140625" style="64" customWidth="1"/>
    <col min="13321" max="13321" width="14.7109375" style="64" customWidth="1"/>
    <col min="13322" max="13322" width="13.42578125" style="64" customWidth="1"/>
    <col min="13323" max="13323" width="12.85546875" style="64" bestFit="1" customWidth="1"/>
    <col min="13324" max="13324" width="9.28515625" style="64" bestFit="1" customWidth="1"/>
    <col min="13325" max="13325" width="11.85546875" style="64" bestFit="1" customWidth="1"/>
    <col min="13326" max="13326" width="2.7109375" style="64" bestFit="1" customWidth="1"/>
    <col min="13327" max="13327" width="40.7109375" style="64" bestFit="1" customWidth="1"/>
    <col min="13328" max="13328" width="12.5703125" style="64" customWidth="1"/>
    <col min="13329" max="13329" width="7" style="64" bestFit="1" customWidth="1"/>
    <col min="13330" max="13330" width="11.7109375" style="64" bestFit="1" customWidth="1"/>
    <col min="13331" max="13331" width="12.85546875" style="64" bestFit="1" customWidth="1"/>
    <col min="13332" max="13332" width="11.5703125" style="64" bestFit="1" customWidth="1"/>
    <col min="13333" max="13333" width="12.5703125" style="64" bestFit="1" customWidth="1"/>
    <col min="13334" max="13568" width="9.140625" style="64"/>
    <col min="13569" max="13569" width="2.7109375" style="64" bestFit="1" customWidth="1"/>
    <col min="13570" max="13571" width="9.140625" style="64"/>
    <col min="13572" max="13572" width="10" style="64" customWidth="1"/>
    <col min="13573" max="13573" width="13" style="64" customWidth="1"/>
    <col min="13574" max="13574" width="13.85546875" style="64" customWidth="1"/>
    <col min="13575" max="13575" width="13.28515625" style="64" bestFit="1" customWidth="1"/>
    <col min="13576" max="13576" width="15.140625" style="64" customWidth="1"/>
    <col min="13577" max="13577" width="14.7109375" style="64" customWidth="1"/>
    <col min="13578" max="13578" width="13.42578125" style="64" customWidth="1"/>
    <col min="13579" max="13579" width="12.85546875" style="64" bestFit="1" customWidth="1"/>
    <col min="13580" max="13580" width="9.28515625" style="64" bestFit="1" customWidth="1"/>
    <col min="13581" max="13581" width="11.85546875" style="64" bestFit="1" customWidth="1"/>
    <col min="13582" max="13582" width="2.7109375" style="64" bestFit="1" customWidth="1"/>
    <col min="13583" max="13583" width="40.7109375" style="64" bestFit="1" customWidth="1"/>
    <col min="13584" max="13584" width="12.5703125" style="64" customWidth="1"/>
    <col min="13585" max="13585" width="7" style="64" bestFit="1" customWidth="1"/>
    <col min="13586" max="13586" width="11.7109375" style="64" bestFit="1" customWidth="1"/>
    <col min="13587" max="13587" width="12.85546875" style="64" bestFit="1" customWidth="1"/>
    <col min="13588" max="13588" width="11.5703125" style="64" bestFit="1" customWidth="1"/>
    <col min="13589" max="13589" width="12.5703125" style="64" bestFit="1" customWidth="1"/>
    <col min="13590" max="13824" width="9.140625" style="64"/>
    <col min="13825" max="13825" width="2.7109375" style="64" bestFit="1" customWidth="1"/>
    <col min="13826" max="13827" width="9.140625" style="64"/>
    <col min="13828" max="13828" width="10" style="64" customWidth="1"/>
    <col min="13829" max="13829" width="13" style="64" customWidth="1"/>
    <col min="13830" max="13830" width="13.85546875" style="64" customWidth="1"/>
    <col min="13831" max="13831" width="13.28515625" style="64" bestFit="1" customWidth="1"/>
    <col min="13832" max="13832" width="15.140625" style="64" customWidth="1"/>
    <col min="13833" max="13833" width="14.7109375" style="64" customWidth="1"/>
    <col min="13834" max="13834" width="13.42578125" style="64" customWidth="1"/>
    <col min="13835" max="13835" width="12.85546875" style="64" bestFit="1" customWidth="1"/>
    <col min="13836" max="13836" width="9.28515625" style="64" bestFit="1" customWidth="1"/>
    <col min="13837" max="13837" width="11.85546875" style="64" bestFit="1" customWidth="1"/>
    <col min="13838" max="13838" width="2.7109375" style="64" bestFit="1" customWidth="1"/>
    <col min="13839" max="13839" width="40.7109375" style="64" bestFit="1" customWidth="1"/>
    <col min="13840" max="13840" width="12.5703125" style="64" customWidth="1"/>
    <col min="13841" max="13841" width="7" style="64" bestFit="1" customWidth="1"/>
    <col min="13842" max="13842" width="11.7109375" style="64" bestFit="1" customWidth="1"/>
    <col min="13843" max="13843" width="12.85546875" style="64" bestFit="1" customWidth="1"/>
    <col min="13844" max="13844" width="11.5703125" style="64" bestFit="1" customWidth="1"/>
    <col min="13845" max="13845" width="12.5703125" style="64" bestFit="1" customWidth="1"/>
    <col min="13846" max="14080" width="9.140625" style="64"/>
    <col min="14081" max="14081" width="2.7109375" style="64" bestFit="1" customWidth="1"/>
    <col min="14082" max="14083" width="9.140625" style="64"/>
    <col min="14084" max="14084" width="10" style="64" customWidth="1"/>
    <col min="14085" max="14085" width="13" style="64" customWidth="1"/>
    <col min="14086" max="14086" width="13.85546875" style="64" customWidth="1"/>
    <col min="14087" max="14087" width="13.28515625" style="64" bestFit="1" customWidth="1"/>
    <col min="14088" max="14088" width="15.140625" style="64" customWidth="1"/>
    <col min="14089" max="14089" width="14.7109375" style="64" customWidth="1"/>
    <col min="14090" max="14090" width="13.42578125" style="64" customWidth="1"/>
    <col min="14091" max="14091" width="12.85546875" style="64" bestFit="1" customWidth="1"/>
    <col min="14092" max="14092" width="9.28515625" style="64" bestFit="1" customWidth="1"/>
    <col min="14093" max="14093" width="11.85546875" style="64" bestFit="1" customWidth="1"/>
    <col min="14094" max="14094" width="2.7109375" style="64" bestFit="1" customWidth="1"/>
    <col min="14095" max="14095" width="40.7109375" style="64" bestFit="1" customWidth="1"/>
    <col min="14096" max="14096" width="12.5703125" style="64" customWidth="1"/>
    <col min="14097" max="14097" width="7" style="64" bestFit="1" customWidth="1"/>
    <col min="14098" max="14098" width="11.7109375" style="64" bestFit="1" customWidth="1"/>
    <col min="14099" max="14099" width="12.85546875" style="64" bestFit="1" customWidth="1"/>
    <col min="14100" max="14100" width="11.5703125" style="64" bestFit="1" customWidth="1"/>
    <col min="14101" max="14101" width="12.5703125" style="64" bestFit="1" customWidth="1"/>
    <col min="14102" max="14336" width="9.140625" style="64"/>
    <col min="14337" max="14337" width="2.7109375" style="64" bestFit="1" customWidth="1"/>
    <col min="14338" max="14339" width="9.140625" style="64"/>
    <col min="14340" max="14340" width="10" style="64" customWidth="1"/>
    <col min="14341" max="14341" width="13" style="64" customWidth="1"/>
    <col min="14342" max="14342" width="13.85546875" style="64" customWidth="1"/>
    <col min="14343" max="14343" width="13.28515625" style="64" bestFit="1" customWidth="1"/>
    <col min="14344" max="14344" width="15.140625" style="64" customWidth="1"/>
    <col min="14345" max="14345" width="14.7109375" style="64" customWidth="1"/>
    <col min="14346" max="14346" width="13.42578125" style="64" customWidth="1"/>
    <col min="14347" max="14347" width="12.85546875" style="64" bestFit="1" customWidth="1"/>
    <col min="14348" max="14348" width="9.28515625" style="64" bestFit="1" customWidth="1"/>
    <col min="14349" max="14349" width="11.85546875" style="64" bestFit="1" customWidth="1"/>
    <col min="14350" max="14350" width="2.7109375" style="64" bestFit="1" customWidth="1"/>
    <col min="14351" max="14351" width="40.7109375" style="64" bestFit="1" customWidth="1"/>
    <col min="14352" max="14352" width="12.5703125" style="64" customWidth="1"/>
    <col min="14353" max="14353" width="7" style="64" bestFit="1" customWidth="1"/>
    <col min="14354" max="14354" width="11.7109375" style="64" bestFit="1" customWidth="1"/>
    <col min="14355" max="14355" width="12.85546875" style="64" bestFit="1" customWidth="1"/>
    <col min="14356" max="14356" width="11.5703125" style="64" bestFit="1" customWidth="1"/>
    <col min="14357" max="14357" width="12.5703125" style="64" bestFit="1" customWidth="1"/>
    <col min="14358" max="14592" width="9.140625" style="64"/>
    <col min="14593" max="14593" width="2.7109375" style="64" bestFit="1" customWidth="1"/>
    <col min="14594" max="14595" width="9.140625" style="64"/>
    <col min="14596" max="14596" width="10" style="64" customWidth="1"/>
    <col min="14597" max="14597" width="13" style="64" customWidth="1"/>
    <col min="14598" max="14598" width="13.85546875" style="64" customWidth="1"/>
    <col min="14599" max="14599" width="13.28515625" style="64" bestFit="1" customWidth="1"/>
    <col min="14600" max="14600" width="15.140625" style="64" customWidth="1"/>
    <col min="14601" max="14601" width="14.7109375" style="64" customWidth="1"/>
    <col min="14602" max="14602" width="13.42578125" style="64" customWidth="1"/>
    <col min="14603" max="14603" width="12.85546875" style="64" bestFit="1" customWidth="1"/>
    <col min="14604" max="14604" width="9.28515625" style="64" bestFit="1" customWidth="1"/>
    <col min="14605" max="14605" width="11.85546875" style="64" bestFit="1" customWidth="1"/>
    <col min="14606" max="14606" width="2.7109375" style="64" bestFit="1" customWidth="1"/>
    <col min="14607" max="14607" width="40.7109375" style="64" bestFit="1" customWidth="1"/>
    <col min="14608" max="14608" width="12.5703125" style="64" customWidth="1"/>
    <col min="14609" max="14609" width="7" style="64" bestFit="1" customWidth="1"/>
    <col min="14610" max="14610" width="11.7109375" style="64" bestFit="1" customWidth="1"/>
    <col min="14611" max="14611" width="12.85546875" style="64" bestFit="1" customWidth="1"/>
    <col min="14612" max="14612" width="11.5703125" style="64" bestFit="1" customWidth="1"/>
    <col min="14613" max="14613" width="12.5703125" style="64" bestFit="1" customWidth="1"/>
    <col min="14614" max="14848" width="9.140625" style="64"/>
    <col min="14849" max="14849" width="2.7109375" style="64" bestFit="1" customWidth="1"/>
    <col min="14850" max="14851" width="9.140625" style="64"/>
    <col min="14852" max="14852" width="10" style="64" customWidth="1"/>
    <col min="14853" max="14853" width="13" style="64" customWidth="1"/>
    <col min="14854" max="14854" width="13.85546875" style="64" customWidth="1"/>
    <col min="14855" max="14855" width="13.28515625" style="64" bestFit="1" customWidth="1"/>
    <col min="14856" max="14856" width="15.140625" style="64" customWidth="1"/>
    <col min="14857" max="14857" width="14.7109375" style="64" customWidth="1"/>
    <col min="14858" max="14858" width="13.42578125" style="64" customWidth="1"/>
    <col min="14859" max="14859" width="12.85546875" style="64" bestFit="1" customWidth="1"/>
    <col min="14860" max="14860" width="9.28515625" style="64" bestFit="1" customWidth="1"/>
    <col min="14861" max="14861" width="11.85546875" style="64" bestFit="1" customWidth="1"/>
    <col min="14862" max="14862" width="2.7109375" style="64" bestFit="1" customWidth="1"/>
    <col min="14863" max="14863" width="40.7109375" style="64" bestFit="1" customWidth="1"/>
    <col min="14864" max="14864" width="12.5703125" style="64" customWidth="1"/>
    <col min="14865" max="14865" width="7" style="64" bestFit="1" customWidth="1"/>
    <col min="14866" max="14866" width="11.7109375" style="64" bestFit="1" customWidth="1"/>
    <col min="14867" max="14867" width="12.85546875" style="64" bestFit="1" customWidth="1"/>
    <col min="14868" max="14868" width="11.5703125" style="64" bestFit="1" customWidth="1"/>
    <col min="14869" max="14869" width="12.5703125" style="64" bestFit="1" customWidth="1"/>
    <col min="14870" max="15104" width="9.140625" style="64"/>
    <col min="15105" max="15105" width="2.7109375" style="64" bestFit="1" customWidth="1"/>
    <col min="15106" max="15107" width="9.140625" style="64"/>
    <col min="15108" max="15108" width="10" style="64" customWidth="1"/>
    <col min="15109" max="15109" width="13" style="64" customWidth="1"/>
    <col min="15110" max="15110" width="13.85546875" style="64" customWidth="1"/>
    <col min="15111" max="15111" width="13.28515625" style="64" bestFit="1" customWidth="1"/>
    <col min="15112" max="15112" width="15.140625" style="64" customWidth="1"/>
    <col min="15113" max="15113" width="14.7109375" style="64" customWidth="1"/>
    <col min="15114" max="15114" width="13.42578125" style="64" customWidth="1"/>
    <col min="15115" max="15115" width="12.85546875" style="64" bestFit="1" customWidth="1"/>
    <col min="15116" max="15116" width="9.28515625" style="64" bestFit="1" customWidth="1"/>
    <col min="15117" max="15117" width="11.85546875" style="64" bestFit="1" customWidth="1"/>
    <col min="15118" max="15118" width="2.7109375" style="64" bestFit="1" customWidth="1"/>
    <col min="15119" max="15119" width="40.7109375" style="64" bestFit="1" customWidth="1"/>
    <col min="15120" max="15120" width="12.5703125" style="64" customWidth="1"/>
    <col min="15121" max="15121" width="7" style="64" bestFit="1" customWidth="1"/>
    <col min="15122" max="15122" width="11.7109375" style="64" bestFit="1" customWidth="1"/>
    <col min="15123" max="15123" width="12.85546875" style="64" bestFit="1" customWidth="1"/>
    <col min="15124" max="15124" width="11.5703125" style="64" bestFit="1" customWidth="1"/>
    <col min="15125" max="15125" width="12.5703125" style="64" bestFit="1" customWidth="1"/>
    <col min="15126" max="15360" width="9.140625" style="64"/>
    <col min="15361" max="15361" width="2.7109375" style="64" bestFit="1" customWidth="1"/>
    <col min="15362" max="15363" width="9.140625" style="64"/>
    <col min="15364" max="15364" width="10" style="64" customWidth="1"/>
    <col min="15365" max="15365" width="13" style="64" customWidth="1"/>
    <col min="15366" max="15366" width="13.85546875" style="64" customWidth="1"/>
    <col min="15367" max="15367" width="13.28515625" style="64" bestFit="1" customWidth="1"/>
    <col min="15368" max="15368" width="15.140625" style="64" customWidth="1"/>
    <col min="15369" max="15369" width="14.7109375" style="64" customWidth="1"/>
    <col min="15370" max="15370" width="13.42578125" style="64" customWidth="1"/>
    <col min="15371" max="15371" width="12.85546875" style="64" bestFit="1" customWidth="1"/>
    <col min="15372" max="15372" width="9.28515625" style="64" bestFit="1" customWidth="1"/>
    <col min="15373" max="15373" width="11.85546875" style="64" bestFit="1" customWidth="1"/>
    <col min="15374" max="15374" width="2.7109375" style="64" bestFit="1" customWidth="1"/>
    <col min="15375" max="15375" width="40.7109375" style="64" bestFit="1" customWidth="1"/>
    <col min="15376" max="15376" width="12.5703125" style="64" customWidth="1"/>
    <col min="15377" max="15377" width="7" style="64" bestFit="1" customWidth="1"/>
    <col min="15378" max="15378" width="11.7109375" style="64" bestFit="1" customWidth="1"/>
    <col min="15379" max="15379" width="12.85546875" style="64" bestFit="1" customWidth="1"/>
    <col min="15380" max="15380" width="11.5703125" style="64" bestFit="1" customWidth="1"/>
    <col min="15381" max="15381" width="12.5703125" style="64" bestFit="1" customWidth="1"/>
    <col min="15382" max="15616" width="9.140625" style="64"/>
    <col min="15617" max="15617" width="2.7109375" style="64" bestFit="1" customWidth="1"/>
    <col min="15618" max="15619" width="9.140625" style="64"/>
    <col min="15620" max="15620" width="10" style="64" customWidth="1"/>
    <col min="15621" max="15621" width="13" style="64" customWidth="1"/>
    <col min="15622" max="15622" width="13.85546875" style="64" customWidth="1"/>
    <col min="15623" max="15623" width="13.28515625" style="64" bestFit="1" customWidth="1"/>
    <col min="15624" max="15624" width="15.140625" style="64" customWidth="1"/>
    <col min="15625" max="15625" width="14.7109375" style="64" customWidth="1"/>
    <col min="15626" max="15626" width="13.42578125" style="64" customWidth="1"/>
    <col min="15627" max="15627" width="12.85546875" style="64" bestFit="1" customWidth="1"/>
    <col min="15628" max="15628" width="9.28515625" style="64" bestFit="1" customWidth="1"/>
    <col min="15629" max="15629" width="11.85546875" style="64" bestFit="1" customWidth="1"/>
    <col min="15630" max="15630" width="2.7109375" style="64" bestFit="1" customWidth="1"/>
    <col min="15631" max="15631" width="40.7109375" style="64" bestFit="1" customWidth="1"/>
    <col min="15632" max="15632" width="12.5703125" style="64" customWidth="1"/>
    <col min="15633" max="15633" width="7" style="64" bestFit="1" customWidth="1"/>
    <col min="15634" max="15634" width="11.7109375" style="64" bestFit="1" customWidth="1"/>
    <col min="15635" max="15635" width="12.85546875" style="64" bestFit="1" customWidth="1"/>
    <col min="15636" max="15636" width="11.5703125" style="64" bestFit="1" customWidth="1"/>
    <col min="15637" max="15637" width="12.5703125" style="64" bestFit="1" customWidth="1"/>
    <col min="15638" max="15872" width="9.140625" style="64"/>
    <col min="15873" max="15873" width="2.7109375" style="64" bestFit="1" customWidth="1"/>
    <col min="15874" max="15875" width="9.140625" style="64"/>
    <col min="15876" max="15876" width="10" style="64" customWidth="1"/>
    <col min="15877" max="15877" width="13" style="64" customWidth="1"/>
    <col min="15878" max="15878" width="13.85546875" style="64" customWidth="1"/>
    <col min="15879" max="15879" width="13.28515625" style="64" bestFit="1" customWidth="1"/>
    <col min="15880" max="15880" width="15.140625" style="64" customWidth="1"/>
    <col min="15881" max="15881" width="14.7109375" style="64" customWidth="1"/>
    <col min="15882" max="15882" width="13.42578125" style="64" customWidth="1"/>
    <col min="15883" max="15883" width="12.85546875" style="64" bestFit="1" customWidth="1"/>
    <col min="15884" max="15884" width="9.28515625" style="64" bestFit="1" customWidth="1"/>
    <col min="15885" max="15885" width="11.85546875" style="64" bestFit="1" customWidth="1"/>
    <col min="15886" max="15886" width="2.7109375" style="64" bestFit="1" customWidth="1"/>
    <col min="15887" max="15887" width="40.7109375" style="64" bestFit="1" customWidth="1"/>
    <col min="15888" max="15888" width="12.5703125" style="64" customWidth="1"/>
    <col min="15889" max="15889" width="7" style="64" bestFit="1" customWidth="1"/>
    <col min="15890" max="15890" width="11.7109375" style="64" bestFit="1" customWidth="1"/>
    <col min="15891" max="15891" width="12.85546875" style="64" bestFit="1" customWidth="1"/>
    <col min="15892" max="15892" width="11.5703125" style="64" bestFit="1" customWidth="1"/>
    <col min="15893" max="15893" width="12.5703125" style="64" bestFit="1" customWidth="1"/>
    <col min="15894" max="16128" width="9.140625" style="64"/>
    <col min="16129" max="16129" width="2.7109375" style="64" bestFit="1" customWidth="1"/>
    <col min="16130" max="16131" width="9.140625" style="64"/>
    <col min="16132" max="16132" width="10" style="64" customWidth="1"/>
    <col min="16133" max="16133" width="13" style="64" customWidth="1"/>
    <col min="16134" max="16134" width="13.85546875" style="64" customWidth="1"/>
    <col min="16135" max="16135" width="13.28515625" style="64" bestFit="1" customWidth="1"/>
    <col min="16136" max="16136" width="15.140625" style="64" customWidth="1"/>
    <col min="16137" max="16137" width="14.7109375" style="64" customWidth="1"/>
    <col min="16138" max="16138" width="13.42578125" style="64" customWidth="1"/>
    <col min="16139" max="16139" width="12.85546875" style="64" bestFit="1" customWidth="1"/>
    <col min="16140" max="16140" width="9.28515625" style="64" bestFit="1" customWidth="1"/>
    <col min="16141" max="16141" width="11.85546875" style="64" bestFit="1" customWidth="1"/>
    <col min="16142" max="16142" width="2.7109375" style="64" bestFit="1" customWidth="1"/>
    <col min="16143" max="16143" width="40.7109375" style="64" bestFit="1" customWidth="1"/>
    <col min="16144" max="16144" width="12.5703125" style="64" customWidth="1"/>
    <col min="16145" max="16145" width="7" style="64" bestFit="1" customWidth="1"/>
    <col min="16146" max="16146" width="11.7109375" style="64" bestFit="1" customWidth="1"/>
    <col min="16147" max="16147" width="12.85546875" style="64" bestFit="1" customWidth="1"/>
    <col min="16148" max="16148" width="11.5703125" style="64" bestFit="1" customWidth="1"/>
    <col min="16149" max="16149" width="12.5703125" style="64" bestFit="1" customWidth="1"/>
    <col min="16150" max="16384" width="9.140625" style="64"/>
  </cols>
  <sheetData>
    <row r="1" spans="1:21">
      <c r="D1" s="64" t="s">
        <v>380</v>
      </c>
      <c r="F1" s="133"/>
      <c r="G1" s="258"/>
    </row>
    <row r="2" spans="1:21">
      <c r="B2" s="197" t="s">
        <v>381</v>
      </c>
      <c r="C2" s="258" t="s">
        <v>382</v>
      </c>
      <c r="D2" s="133"/>
      <c r="E2" s="133" t="s">
        <v>383</v>
      </c>
    </row>
    <row r="3" spans="1:21" s="106" customFormat="1" ht="8.25"/>
    <row r="4" spans="1:21">
      <c r="D4" s="64" t="s">
        <v>384</v>
      </c>
    </row>
    <row r="5" spans="1:21" s="106" customFormat="1" ht="8.25"/>
    <row r="6" spans="1:21">
      <c r="D6" s="64" t="s">
        <v>385</v>
      </c>
      <c r="R6" s="106"/>
      <c r="S6" s="106"/>
      <c r="T6" s="106"/>
      <c r="U6" s="106"/>
    </row>
    <row r="7" spans="1:21">
      <c r="F7" s="259" t="s">
        <v>386</v>
      </c>
      <c r="G7" s="259"/>
      <c r="H7" s="259"/>
      <c r="I7" s="259" t="s">
        <v>387</v>
      </c>
      <c r="R7" s="106"/>
      <c r="S7" s="106"/>
      <c r="T7" s="106"/>
      <c r="U7" s="106"/>
    </row>
    <row r="8" spans="1:21" s="178" customFormat="1" ht="12.75" customHeight="1">
      <c r="A8" s="889" t="s">
        <v>657</v>
      </c>
      <c r="B8" s="890"/>
      <c r="C8" s="890"/>
      <c r="D8" s="260" t="s">
        <v>388</v>
      </c>
      <c r="E8" s="261"/>
      <c r="F8" s="262" t="s">
        <v>389</v>
      </c>
      <c r="G8" s="136" t="s">
        <v>390</v>
      </c>
      <c r="H8" s="262" t="s">
        <v>391</v>
      </c>
      <c r="I8" s="263" t="s">
        <v>392</v>
      </c>
      <c r="J8" s="262" t="s">
        <v>393</v>
      </c>
      <c r="K8" s="261" t="s">
        <v>394</v>
      </c>
      <c r="L8" s="264" t="s">
        <v>395</v>
      </c>
      <c r="R8" s="106"/>
      <c r="S8" s="106"/>
      <c r="T8" s="106"/>
      <c r="U8" s="106"/>
    </row>
    <row r="9" spans="1:21" s="178" customFormat="1" ht="12.75" customHeight="1">
      <c r="A9" s="891" t="s">
        <v>396</v>
      </c>
      <c r="B9" s="892"/>
      <c r="C9" s="892"/>
      <c r="E9" s="265" t="s">
        <v>1391</v>
      </c>
      <c r="F9" s="266" t="s">
        <v>397</v>
      </c>
      <c r="G9" s="267" t="s">
        <v>398</v>
      </c>
      <c r="H9" s="266" t="s">
        <v>399</v>
      </c>
      <c r="I9" s="267" t="s">
        <v>400</v>
      </c>
      <c r="J9" s="266" t="s">
        <v>297</v>
      </c>
      <c r="K9" s="268" t="s">
        <v>401</v>
      </c>
      <c r="L9" s="269" t="s">
        <v>402</v>
      </c>
      <c r="R9" s="106"/>
      <c r="S9" s="106"/>
      <c r="T9" s="106"/>
      <c r="U9" s="106"/>
    </row>
    <row r="10" spans="1:21" s="274" customFormat="1">
      <c r="A10" s="69" t="s">
        <v>403</v>
      </c>
      <c r="B10" s="270" t="s">
        <v>404</v>
      </c>
      <c r="C10" s="271"/>
      <c r="D10" s="271"/>
      <c r="E10" s="271"/>
      <c r="F10" s="270" t="s">
        <v>405</v>
      </c>
      <c r="G10" s="272" t="s">
        <v>406</v>
      </c>
      <c r="H10" s="271" t="s">
        <v>407</v>
      </c>
      <c r="I10" s="272" t="s">
        <v>408</v>
      </c>
      <c r="J10" s="273" t="s">
        <v>409</v>
      </c>
      <c r="K10" s="273" t="s">
        <v>410</v>
      </c>
      <c r="L10" s="273" t="s">
        <v>411</v>
      </c>
      <c r="R10" s="106"/>
      <c r="S10" s="106"/>
      <c r="T10" s="106"/>
      <c r="U10" s="106"/>
    </row>
    <row r="11" spans="1:21">
      <c r="A11" s="275">
        <v>1</v>
      </c>
      <c r="B11" s="276" t="s">
        <v>412</v>
      </c>
      <c r="C11" s="277"/>
      <c r="D11" s="277"/>
      <c r="E11" s="278"/>
      <c r="F11" s="279">
        <f>SUM(SUM(Cronogra!S4:AB4))</f>
        <v>3950072.916666666</v>
      </c>
      <c r="G11" s="280">
        <f>Cronogra!AE24</f>
        <v>3268236.68</v>
      </c>
      <c r="H11" s="281"/>
      <c r="I11" s="280">
        <v>4400713.0599999996</v>
      </c>
      <c r="J11" s="282">
        <f>F11-G11</f>
        <v>681836.23666666588</v>
      </c>
      <c r="K11" s="283">
        <f t="shared" ref="K11:K26" si="0">(J11/F11)*100</f>
        <v>17.261358234420761</v>
      </c>
      <c r="L11" s="283">
        <f>(G11/$G$27)*100</f>
        <v>2.368271628362816</v>
      </c>
      <c r="O11" s="284"/>
      <c r="R11" s="106"/>
      <c r="S11" s="106"/>
      <c r="T11" s="106"/>
      <c r="U11" s="106"/>
    </row>
    <row r="12" spans="1:21">
      <c r="A12" s="275">
        <v>2</v>
      </c>
      <c r="B12" s="285" t="s">
        <v>413</v>
      </c>
      <c r="C12" s="286"/>
      <c r="D12" s="286"/>
      <c r="E12" s="287"/>
      <c r="F12" s="279">
        <f>SUM(SUM(Cronogra!S5:AB5))</f>
        <v>2031417.1666550976</v>
      </c>
      <c r="G12" s="288">
        <f>Cronogra!AE25</f>
        <v>2264138.39</v>
      </c>
      <c r="H12" s="281"/>
      <c r="I12" s="288">
        <v>2793240.62</v>
      </c>
      <c r="J12" s="282">
        <f t="shared" ref="J12:J26" si="1">F12-G12</f>
        <v>-232721.22334490251</v>
      </c>
      <c r="K12" s="283">
        <f t="shared" si="0"/>
        <v>-11.456102033837686</v>
      </c>
      <c r="L12" s="283">
        <f t="shared" ref="L12:L26" si="2">(G12/$G$27)*100</f>
        <v>1.640669032490041</v>
      </c>
      <c r="O12" s="284"/>
      <c r="R12" s="106"/>
      <c r="S12" s="106"/>
      <c r="T12" s="106"/>
      <c r="U12" s="106"/>
    </row>
    <row r="13" spans="1:21">
      <c r="A13" s="275">
        <v>3</v>
      </c>
      <c r="B13" s="285" t="s">
        <v>414</v>
      </c>
      <c r="C13" s="286"/>
      <c r="D13" s="286"/>
      <c r="E13" s="287"/>
      <c r="F13" s="279">
        <f>SUM(SUM(Cronogra!S6:AB6))</f>
        <v>1020653.0389416163</v>
      </c>
      <c r="G13" s="288">
        <f>Cronogra!AE26</f>
        <v>1405406.3600000003</v>
      </c>
      <c r="H13" s="281"/>
      <c r="I13" s="288">
        <v>2630756.4</v>
      </c>
      <c r="J13" s="282">
        <f t="shared" si="1"/>
        <v>-384753.32105838403</v>
      </c>
      <c r="K13" s="283">
        <f t="shared" si="0"/>
        <v>-37.696779059939956</v>
      </c>
      <c r="L13" s="283">
        <f t="shared" si="2"/>
        <v>1.0184036024920504</v>
      </c>
      <c r="O13" s="284"/>
      <c r="R13" s="106"/>
      <c r="S13" s="106"/>
      <c r="T13" s="106"/>
      <c r="U13" s="106"/>
    </row>
    <row r="14" spans="1:21">
      <c r="A14" s="275">
        <v>4</v>
      </c>
      <c r="B14" s="285" t="s">
        <v>415</v>
      </c>
      <c r="C14" s="286"/>
      <c r="D14" s="286"/>
      <c r="E14" s="287"/>
      <c r="F14" s="279">
        <f>SUM(SUM(Cronogra!S7:AB7))</f>
        <v>1789807.1610349556</v>
      </c>
      <c r="G14" s="288">
        <f>Cronogra!AE27</f>
        <v>1848479.5399999998</v>
      </c>
      <c r="H14" s="281"/>
      <c r="I14" s="288">
        <v>2553924.1</v>
      </c>
      <c r="J14" s="282">
        <f t="shared" si="1"/>
        <v>-58672.378965044161</v>
      </c>
      <c r="K14" s="283">
        <f t="shared" si="0"/>
        <v>-3.2781396924971999</v>
      </c>
      <c r="L14" s="283">
        <f t="shared" si="2"/>
        <v>1.3394689793981347</v>
      </c>
      <c r="R14" s="106"/>
      <c r="S14" s="106"/>
      <c r="T14" s="106"/>
      <c r="U14" s="106"/>
    </row>
    <row r="15" spans="1:21">
      <c r="A15" s="275">
        <v>5</v>
      </c>
      <c r="B15" s="285" t="s">
        <v>416</v>
      </c>
      <c r="C15" s="286"/>
      <c r="D15" s="286"/>
      <c r="E15" s="287"/>
      <c r="F15" s="279">
        <f>SUM(SUM(Cronogra!S8:AB8))</f>
        <v>8363611.3667554371</v>
      </c>
      <c r="G15" s="288">
        <f>Cronogra!AE28</f>
        <v>9534334.8699999992</v>
      </c>
      <c r="H15" s="281"/>
      <c r="I15" s="288">
        <v>10635242.4</v>
      </c>
      <c r="J15" s="282">
        <f t="shared" si="1"/>
        <v>-1170723.5032445621</v>
      </c>
      <c r="K15" s="283">
        <f t="shared" si="0"/>
        <v>-13.997822853152611</v>
      </c>
      <c r="L15" s="283">
        <f t="shared" si="2"/>
        <v>6.9088921576913682</v>
      </c>
    </row>
    <row r="16" spans="1:21">
      <c r="A16" s="275">
        <v>6</v>
      </c>
      <c r="B16" s="285" t="s">
        <v>417</v>
      </c>
      <c r="C16" s="286"/>
      <c r="D16" s="286"/>
      <c r="E16" s="287"/>
      <c r="F16" s="279">
        <f>SUM(SUM(Cronogra!S9:AB9))</f>
        <v>2861190.6617989121</v>
      </c>
      <c r="G16" s="288">
        <f>Cronogra!AE29</f>
        <v>3109678.17</v>
      </c>
      <c r="H16" s="281">
        <f>105912200.98</f>
        <v>105912200.98</v>
      </c>
      <c r="I16" s="288">
        <v>3832758.99</v>
      </c>
      <c r="J16" s="282">
        <f t="shared" si="1"/>
        <v>-248487.50820108783</v>
      </c>
      <c r="K16" s="283">
        <f t="shared" si="0"/>
        <v>-8.6847588145299159</v>
      </c>
      <c r="L16" s="283">
        <f t="shared" si="2"/>
        <v>2.2533749248999313</v>
      </c>
      <c r="O16" s="284"/>
      <c r="S16" s="284"/>
      <c r="T16" s="198"/>
      <c r="U16" s="284"/>
    </row>
    <row r="17" spans="1:18">
      <c r="A17" s="275">
        <v>7</v>
      </c>
      <c r="B17" s="285" t="s">
        <v>418</v>
      </c>
      <c r="C17" s="286"/>
      <c r="D17" s="286"/>
      <c r="E17" s="287"/>
      <c r="F17" s="279">
        <f>SUM(SUM(Cronogra!S10:AB10))</f>
        <v>1110227.3800337673</v>
      </c>
      <c r="G17" s="288">
        <f>Cronogra!AE30</f>
        <v>835172.18</v>
      </c>
      <c r="H17" s="281"/>
      <c r="I17" s="288">
        <v>1690162.27</v>
      </c>
      <c r="J17" s="282">
        <f t="shared" si="1"/>
        <v>275055.20003376727</v>
      </c>
      <c r="K17" s="283">
        <f t="shared" si="0"/>
        <v>24.774672736444451</v>
      </c>
      <c r="L17" s="283">
        <f t="shared" si="2"/>
        <v>0.60519318897428276</v>
      </c>
      <c r="O17" s="284"/>
    </row>
    <row r="18" spans="1:18">
      <c r="A18" s="275">
        <v>8</v>
      </c>
      <c r="B18" s="285" t="s">
        <v>419</v>
      </c>
      <c r="C18" s="286"/>
      <c r="D18" s="286"/>
      <c r="E18" s="287"/>
      <c r="F18" s="279">
        <f>SUM(SUM(Cronogra!S11:AB11))</f>
        <v>17068377.981004726</v>
      </c>
      <c r="G18" s="288">
        <f>Cronogra!AE31</f>
        <v>11599025.219999999</v>
      </c>
      <c r="H18" s="281"/>
      <c r="I18" s="288">
        <v>22316305.609999999</v>
      </c>
      <c r="J18" s="282">
        <f t="shared" si="1"/>
        <v>5469352.7610047273</v>
      </c>
      <c r="K18" s="283">
        <f t="shared" si="0"/>
        <v>32.043775730133994</v>
      </c>
      <c r="L18" s="283">
        <f t="shared" si="2"/>
        <v>8.4050345904540684</v>
      </c>
      <c r="O18" s="284"/>
      <c r="P18" s="289"/>
    </row>
    <row r="19" spans="1:18">
      <c r="A19" s="275">
        <v>9</v>
      </c>
      <c r="B19" s="285" t="s">
        <v>420</v>
      </c>
      <c r="C19" s="286"/>
      <c r="D19" s="286"/>
      <c r="E19" s="287"/>
      <c r="F19" s="279">
        <f>SUM(SUM(Cronogra!S12:AB12))</f>
        <v>36581538.482504256</v>
      </c>
      <c r="G19" s="288">
        <f>Cronogra!AE32</f>
        <v>41844974.100000009</v>
      </c>
      <c r="H19" s="281"/>
      <c r="I19" s="288">
        <v>50741510.670000002</v>
      </c>
      <c r="J19" s="282">
        <f t="shared" si="1"/>
        <v>-5263435.6174957529</v>
      </c>
      <c r="K19" s="283">
        <f t="shared" si="0"/>
        <v>-14.388229243045862</v>
      </c>
      <c r="L19" s="283">
        <f>(G19/$G$27)*100</f>
        <v>30.322242436434216</v>
      </c>
      <c r="O19" s="284"/>
    </row>
    <row r="20" spans="1:18">
      <c r="A20" s="275">
        <v>10</v>
      </c>
      <c r="B20" s="285" t="s">
        <v>421</v>
      </c>
      <c r="C20" s="286"/>
      <c r="D20" s="286"/>
      <c r="E20" s="287"/>
      <c r="F20" s="279">
        <f>SUM(SUM(Cronogra!S13:AB13))</f>
        <v>23309709.897421785</v>
      </c>
      <c r="G20" s="288">
        <f>Cronogra!AE33</f>
        <v>26927231.460000001</v>
      </c>
      <c r="H20" s="281"/>
      <c r="I20" s="288">
        <v>32862065.789999999</v>
      </c>
      <c r="J20" s="282">
        <f t="shared" si="1"/>
        <v>-3617521.5625782162</v>
      </c>
      <c r="K20" s="283">
        <f t="shared" si="0"/>
        <v>-15.519376167690268</v>
      </c>
      <c r="L20" s="283">
        <f>(G20/$G$27)*100</f>
        <v>19.512356215608179</v>
      </c>
    </row>
    <row r="21" spans="1:18">
      <c r="A21" s="275">
        <v>11</v>
      </c>
      <c r="B21" s="285" t="s">
        <v>422</v>
      </c>
      <c r="C21" s="286"/>
      <c r="D21" s="286"/>
      <c r="E21" s="287"/>
      <c r="F21" s="279">
        <f>SUM(SUM(Cronogra!S14:AB14))</f>
        <v>3799478.0138217127</v>
      </c>
      <c r="G21" s="288">
        <f>Cronogra!AE34</f>
        <v>3559810.89</v>
      </c>
      <c r="H21" s="281"/>
      <c r="I21" s="288">
        <v>4917169.8899999997</v>
      </c>
      <c r="J21" s="282">
        <f t="shared" si="1"/>
        <v>239667.12382171256</v>
      </c>
      <c r="K21" s="283">
        <f t="shared" si="0"/>
        <v>6.3078960570334477</v>
      </c>
      <c r="L21" s="283">
        <f t="shared" si="2"/>
        <v>2.5795558763277771</v>
      </c>
    </row>
    <row r="22" spans="1:18">
      <c r="A22" s="275">
        <v>12</v>
      </c>
      <c r="B22" s="285" t="s">
        <v>423</v>
      </c>
      <c r="C22" s="286"/>
      <c r="D22" s="286"/>
      <c r="E22" s="287"/>
      <c r="F22" s="279">
        <f>SUM(SUM(Cronogra!S15:AB15))</f>
        <v>1800717.3691943777</v>
      </c>
      <c r="G22" s="288">
        <f>Cronogra!AE35</f>
        <v>1810650.1</v>
      </c>
      <c r="H22" s="281"/>
      <c r="I22" s="288">
        <v>2809358.24</v>
      </c>
      <c r="J22" s="282">
        <f t="shared" si="1"/>
        <v>-9932.7308056224138</v>
      </c>
      <c r="K22" s="283">
        <f t="shared" si="0"/>
        <v>-0.55159854486582838</v>
      </c>
      <c r="L22" s="283">
        <f t="shared" si="2"/>
        <v>1.3120565248421039</v>
      </c>
      <c r="O22" s="284"/>
    </row>
    <row r="23" spans="1:18">
      <c r="A23" s="275">
        <v>13</v>
      </c>
      <c r="B23" s="285" t="s">
        <v>424</v>
      </c>
      <c r="C23" s="286"/>
      <c r="D23" s="286"/>
      <c r="E23" s="287"/>
      <c r="F23" s="279">
        <f>SUM(SUM(Cronogra!S16:AB16))</f>
        <v>2559605.5939087709</v>
      </c>
      <c r="G23" s="288">
        <f>Cronogra!AE36</f>
        <v>2740657.9099999997</v>
      </c>
      <c r="H23" s="290"/>
      <c r="I23" s="288">
        <v>3220103.51</v>
      </c>
      <c r="J23" s="282">
        <f t="shared" si="1"/>
        <v>-181052.31609122874</v>
      </c>
      <c r="K23" s="283">
        <f t="shared" si="0"/>
        <v>-7.0734458668979521</v>
      </c>
      <c r="L23" s="283">
        <f t="shared" si="2"/>
        <v>1.9859707257496206</v>
      </c>
      <c r="O23" s="291"/>
      <c r="P23" s="284"/>
    </row>
    <row r="24" spans="1:18">
      <c r="A24" s="275">
        <v>14</v>
      </c>
      <c r="B24" s="285" t="s">
        <v>425</v>
      </c>
      <c r="C24" s="286"/>
      <c r="D24" s="290"/>
      <c r="E24" s="287"/>
      <c r="F24" s="279">
        <f>SUM(SUM(Cronogra!S17:AB17))</f>
        <v>559.63692775427751</v>
      </c>
      <c r="G24" s="288">
        <f>Cronogra!AE37</f>
        <v>0</v>
      </c>
      <c r="H24" s="290"/>
      <c r="I24" s="288">
        <v>708.85</v>
      </c>
      <c r="J24" s="282">
        <f t="shared" si="1"/>
        <v>559.63692775427751</v>
      </c>
      <c r="K24" s="283">
        <f t="shared" si="0"/>
        <v>100</v>
      </c>
      <c r="L24" s="283">
        <f t="shared" si="2"/>
        <v>0</v>
      </c>
      <c r="O24" s="291"/>
      <c r="P24" s="284"/>
      <c r="R24" s="284"/>
    </row>
    <row r="25" spans="1:18">
      <c r="A25" s="275">
        <v>15</v>
      </c>
      <c r="B25" s="285" t="s">
        <v>426</v>
      </c>
      <c r="C25" s="286"/>
      <c r="D25" s="290"/>
      <c r="E25" s="287"/>
      <c r="F25" s="279">
        <f>SUM(SUM(Cronogra!S18:AB18))</f>
        <v>32805321.793177266</v>
      </c>
      <c r="G25" s="288">
        <f>Cronogra!AE38</f>
        <v>24499566.550000001</v>
      </c>
      <c r="H25" s="195">
        <f>33413163.79</f>
        <v>33413163.789999999</v>
      </c>
      <c r="I25" s="288">
        <v>41552033.469999999</v>
      </c>
      <c r="J25" s="282">
        <f t="shared" si="1"/>
        <v>8305755.2431772649</v>
      </c>
      <c r="K25" s="283">
        <f t="shared" si="0"/>
        <v>25.318316630275113</v>
      </c>
      <c r="L25" s="283">
        <f>(G25/$G$27)*100</f>
        <v>17.753190496458068</v>
      </c>
      <c r="O25" s="284"/>
      <c r="P25" s="284"/>
      <c r="R25" s="284"/>
    </row>
    <row r="26" spans="1:18">
      <c r="A26" s="292">
        <v>16</v>
      </c>
      <c r="B26" s="293" t="s">
        <v>427</v>
      </c>
      <c r="C26" s="294"/>
      <c r="D26" s="294"/>
      <c r="E26" s="295"/>
      <c r="F26" s="279">
        <f>SUM(SUM(Cronogra!S19:AB19))</f>
        <v>3429274.0293958513</v>
      </c>
      <c r="G26" s="296">
        <f>Cronogra!AE39</f>
        <v>2753559.47</v>
      </c>
      <c r="H26" s="195">
        <f>4582762.33</f>
        <v>4582762.33</v>
      </c>
      <c r="I26" s="296">
        <v>4355722.74</v>
      </c>
      <c r="J26" s="282">
        <f t="shared" si="1"/>
        <v>675714.5593958511</v>
      </c>
      <c r="K26" s="283">
        <f t="shared" si="0"/>
        <v>19.704303406598697</v>
      </c>
      <c r="L26" s="283">
        <f t="shared" si="2"/>
        <v>1.9953196198173606</v>
      </c>
      <c r="O26" s="284"/>
    </row>
    <row r="27" spans="1:18">
      <c r="A27" s="893" t="s">
        <v>428</v>
      </c>
      <c r="B27" s="894"/>
      <c r="C27" s="297"/>
      <c r="D27" s="297"/>
      <c r="E27" s="298"/>
      <c r="F27" s="299">
        <f>SUM(F11:F26)</f>
        <v>142481562.48924294</v>
      </c>
      <c r="G27" s="300">
        <f>SUM(G11:G26)</f>
        <v>138000921.88999999</v>
      </c>
      <c r="H27" s="161">
        <f>SUM(H11:H26)</f>
        <v>143908127.10000002</v>
      </c>
      <c r="I27" s="76">
        <f>SUM(I11:I26)</f>
        <v>191311776.60999998</v>
      </c>
      <c r="J27" s="161">
        <f>SUM(J11:J26)</f>
        <v>4480640.5992429424</v>
      </c>
      <c r="K27" s="161"/>
      <c r="L27" s="82">
        <f>SUM(L11:L26)</f>
        <v>100.00000000000003</v>
      </c>
      <c r="O27" s="284"/>
    </row>
    <row r="28" spans="1:18">
      <c r="B28" s="133" t="s">
        <v>429</v>
      </c>
      <c r="C28" s="133" t="s">
        <v>430</v>
      </c>
      <c r="I28" s="301">
        <f>191311776.61-I27</f>
        <v>0</v>
      </c>
      <c r="R28" s="284"/>
    </row>
    <row r="29" spans="1:18" s="106" customFormat="1" ht="8.25">
      <c r="F29" s="90"/>
      <c r="G29" s="301">
        <f>G27-Cronogra!AE40</f>
        <v>0</v>
      </c>
      <c r="H29" s="301">
        <f>H27-Cronogra!D53</f>
        <v>0</v>
      </c>
      <c r="J29" s="60"/>
    </row>
    <row r="30" spans="1:18">
      <c r="B30" s="79" t="s">
        <v>431</v>
      </c>
      <c r="C30" s="57" t="s">
        <v>432</v>
      </c>
      <c r="F30" s="195"/>
      <c r="G30" s="302"/>
    </row>
    <row r="31" spans="1:18" ht="14.25">
      <c r="B31" s="303" t="s">
        <v>1228</v>
      </c>
      <c r="C31" s="133"/>
      <c r="F31" s="195"/>
      <c r="G31" s="304"/>
    </row>
    <row r="32" spans="1:18">
      <c r="B32" s="305" t="s">
        <v>433</v>
      </c>
      <c r="C32" s="57" t="s">
        <v>434</v>
      </c>
    </row>
    <row r="33" spans="2:15">
      <c r="B33" s="57" t="s">
        <v>435</v>
      </c>
      <c r="M33" s="291"/>
    </row>
    <row r="34" spans="2:15">
      <c r="B34" s="305" t="s">
        <v>436</v>
      </c>
      <c r="C34" s="64" t="str">
        <f>IF(H34&gt;0,"Superávit Orçamentário Consolidado apurado do período","Déficit Orçamentário Consolidado apurado do período")</f>
        <v>Superávit Orçamentário Consolidado apurado do período</v>
      </c>
      <c r="H34" s="306">
        <f>H27-G27</f>
        <v>5907205.2100000381</v>
      </c>
      <c r="I34" s="284" t="s">
        <v>437</v>
      </c>
      <c r="M34" s="291"/>
    </row>
    <row r="35" spans="2:15">
      <c r="B35" s="305" t="s">
        <v>438</v>
      </c>
      <c r="C35" s="307" t="str">
        <f>IF(H35&gt;0,"Superávit Orçamentário da Pref. Municipal apurado do período","Déficit Orçamentário da Pref. Municipal apurado do período")</f>
        <v>Déficit Orçamentário da Pref. Municipal apurado do período</v>
      </c>
      <c r="H35" s="289">
        <f>H16-SUM(G11:G24)</f>
        <v>-4835594.8899999857</v>
      </c>
      <c r="I35" s="412"/>
      <c r="J35" s="309"/>
      <c r="K35" s="308"/>
      <c r="O35" s="284"/>
    </row>
    <row r="36" spans="2:15">
      <c r="B36" s="305" t="s">
        <v>439</v>
      </c>
      <c r="C36" s="310" t="s">
        <v>1392</v>
      </c>
      <c r="D36" s="290"/>
      <c r="E36" s="290"/>
      <c r="F36" s="290"/>
      <c r="G36" s="290"/>
      <c r="H36" s="289"/>
      <c r="J36" s="311">
        <f>Exec_Orç!K19</f>
        <v>7898911.7599999988</v>
      </c>
      <c r="K36" s="312"/>
    </row>
    <row r="37" spans="2:15" s="133" customFormat="1" ht="11.25">
      <c r="B37" s="305"/>
      <c r="C37" s="139"/>
      <c r="E37" s="198"/>
      <c r="G37" s="198"/>
      <c r="H37" s="198"/>
      <c r="J37" s="258"/>
    </row>
    <row r="38" spans="2:15" s="133" customFormat="1" ht="11.25">
      <c r="B38" s="57"/>
      <c r="G38" s="152"/>
      <c r="H38" s="351"/>
      <c r="I38" s="198"/>
      <c r="J38" s="198"/>
    </row>
    <row r="39" spans="2:15" s="133" customFormat="1" ht="11.25">
      <c r="B39" s="54"/>
      <c r="C39" s="55" t="s">
        <v>95</v>
      </c>
      <c r="D39" s="54"/>
      <c r="E39" s="54"/>
      <c r="F39" s="56" t="s">
        <v>96</v>
      </c>
      <c r="G39" s="56"/>
      <c r="H39" s="152"/>
      <c r="I39" s="55"/>
      <c r="J39" s="58" t="s">
        <v>97</v>
      </c>
      <c r="K39" s="57"/>
    </row>
    <row r="40" spans="2:15" s="133" customFormat="1" ht="11.25">
      <c r="B40" s="54"/>
      <c r="C40" s="55" t="s">
        <v>98</v>
      </c>
      <c r="D40" s="54"/>
      <c r="E40" s="54"/>
      <c r="F40" s="56" t="s">
        <v>99</v>
      </c>
      <c r="G40" s="56"/>
      <c r="H40" s="57"/>
      <c r="I40" s="55"/>
      <c r="J40" s="58" t="s">
        <v>100</v>
      </c>
      <c r="K40" s="57"/>
    </row>
    <row r="41" spans="2:15">
      <c r="B41" s="59"/>
      <c r="C41" s="59"/>
      <c r="D41" s="59"/>
      <c r="E41" s="59"/>
      <c r="F41" s="59"/>
      <c r="G41" s="59"/>
      <c r="H41" s="60"/>
      <c r="I41" s="59"/>
      <c r="J41" s="59"/>
      <c r="K41" s="59"/>
    </row>
    <row r="42" spans="2:15" s="133" customFormat="1" ht="11.25"/>
    <row r="43" spans="2:15" s="133" customFormat="1" ht="11.25"/>
    <row r="44" spans="2:15" s="133" customFormat="1" ht="11.25"/>
    <row r="45" spans="2:15" s="133" customFormat="1" ht="11.25"/>
    <row r="46" spans="2:15" s="133" customFormat="1" ht="11.25"/>
    <row r="47" spans="2:15" s="133" customFormat="1" ht="11.25"/>
    <row r="48" spans="2:15" s="133" customFormat="1" ht="11.25"/>
    <row r="49" s="133" customFormat="1" ht="11.25"/>
    <row r="50" s="133" customFormat="1" ht="11.25"/>
    <row r="51" s="133" customFormat="1" ht="11.25"/>
    <row r="52" s="133" customFormat="1" ht="11.25"/>
    <row r="53" s="133" customFormat="1" ht="11.25"/>
    <row r="54" s="133" customFormat="1" ht="11.25"/>
    <row r="55" s="133" customFormat="1" ht="11.25"/>
    <row r="56" s="133" customFormat="1" ht="11.25"/>
    <row r="57" s="133" customFormat="1" ht="11.25"/>
    <row r="58" s="133" customFormat="1" ht="11.25"/>
    <row r="59" s="133" customFormat="1" ht="11.25"/>
    <row r="60" s="133" customFormat="1" ht="11.25"/>
    <row r="61" s="133" customFormat="1" ht="11.25"/>
    <row r="62" s="133" customFormat="1" ht="11.25"/>
    <row r="63" s="133" customFormat="1" ht="11.25"/>
    <row r="64" s="133" customFormat="1" ht="11.25"/>
    <row r="65" spans="1:10" s="133" customFormat="1" ht="11.25"/>
    <row r="66" spans="1:10" s="133" customFormat="1" ht="11.25"/>
    <row r="67" spans="1:10" s="133" customFormat="1" ht="11.25"/>
    <row r="68" spans="1:10" s="133" customFormat="1" ht="11.25"/>
    <row r="69" spans="1:10" s="133" customFormat="1" ht="11.25"/>
    <row r="70" spans="1:10" s="133" customFormat="1" ht="11.25"/>
    <row r="71" spans="1:10" s="133" customFormat="1" ht="11.25"/>
    <row r="72" spans="1:10" s="133" customFormat="1" ht="11.25"/>
    <row r="73" spans="1:10" s="133" customFormat="1" ht="11.25"/>
    <row r="74" spans="1:10">
      <c r="B74" s="64" t="s">
        <v>440</v>
      </c>
    </row>
    <row r="75" spans="1:10" s="133" customFormat="1" ht="11.25">
      <c r="B75" s="57" t="s">
        <v>441</v>
      </c>
    </row>
    <row r="76" spans="1:10" s="133" customFormat="1" ht="11.25">
      <c r="B76" s="57" t="s">
        <v>442</v>
      </c>
    </row>
    <row r="77" spans="1:10" s="133" customFormat="1" ht="11.25">
      <c r="B77" s="57" t="s">
        <v>658</v>
      </c>
    </row>
    <row r="78" spans="1:10">
      <c r="A78" s="290"/>
      <c r="B78" s="57" t="s">
        <v>673</v>
      </c>
      <c r="I78" s="470">
        <f>((Cronogra!AE56-Exec_Orç!W19)/SUM(RCL!D5:I5))*100</f>
        <v>116.54433764460191</v>
      </c>
    </row>
    <row r="79" spans="1:10">
      <c r="J79" s="167"/>
    </row>
    <row r="80" spans="1:10">
      <c r="J80" s="291"/>
    </row>
    <row r="82" spans="2:11">
      <c r="B82" s="54"/>
      <c r="C82" s="55" t="s">
        <v>95</v>
      </c>
      <c r="D82" s="54"/>
      <c r="E82" s="54"/>
      <c r="F82" s="56" t="s">
        <v>96</v>
      </c>
      <c r="G82" s="56"/>
      <c r="H82" s="57"/>
      <c r="I82" s="55"/>
      <c r="J82" s="58" t="s">
        <v>97</v>
      </c>
      <c r="K82" s="57"/>
    </row>
    <row r="83" spans="2:11">
      <c r="B83" s="54"/>
      <c r="C83" s="55" t="s">
        <v>98</v>
      </c>
      <c r="D83" s="54"/>
      <c r="E83" s="54"/>
      <c r="F83" s="56" t="s">
        <v>99</v>
      </c>
      <c r="G83" s="56"/>
      <c r="H83" s="57"/>
      <c r="I83" s="55"/>
      <c r="J83" s="58" t="s">
        <v>100</v>
      </c>
      <c r="K83" s="59"/>
    </row>
    <row r="84" spans="2:11">
      <c r="B84" s="59"/>
      <c r="C84" s="59"/>
      <c r="D84" s="59"/>
      <c r="E84" s="59"/>
      <c r="F84" s="59"/>
      <c r="G84" s="59"/>
      <c r="H84" s="60"/>
      <c r="I84" s="59"/>
      <c r="J84" s="59"/>
      <c r="K84" s="59"/>
    </row>
  </sheetData>
  <mergeCells count="3">
    <mergeCell ref="A8:C8"/>
    <mergeCell ref="A9:C9"/>
    <mergeCell ref="A27:B27"/>
  </mergeCells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>
  <dimension ref="A1:AJ61"/>
  <sheetViews>
    <sheetView workbookViewId="0">
      <selection activeCell="I11" sqref="I11"/>
    </sheetView>
  </sheetViews>
  <sheetFormatPr defaultRowHeight="15"/>
  <cols>
    <col min="1" max="1" width="3.5703125" customWidth="1"/>
    <col min="2" max="2" width="7.5703125" customWidth="1"/>
    <col min="3" max="3" width="12" bestFit="1" customWidth="1"/>
    <col min="4" max="4" width="12.140625" bestFit="1" customWidth="1"/>
    <col min="5" max="5" width="13.140625" style="65" customWidth="1"/>
    <col min="6" max="6" width="12" customWidth="1"/>
    <col min="7" max="7" width="11" customWidth="1"/>
    <col min="8" max="8" width="11.28515625" customWidth="1"/>
    <col min="9" max="9" width="12" customWidth="1"/>
    <col min="10" max="10" width="10.42578125" customWidth="1"/>
    <col min="11" max="11" width="9.5703125" customWidth="1"/>
    <col min="12" max="12" width="10.85546875" customWidth="1"/>
    <col min="13" max="13" width="10.42578125" style="1" customWidth="1"/>
    <col min="14" max="14" width="6.7109375" style="1" customWidth="1"/>
    <col min="15" max="15" width="10.5703125" style="1" bestFit="1" customWidth="1"/>
    <col min="16" max="17" width="12.28515625" style="1" bestFit="1" customWidth="1"/>
    <col min="18" max="20" width="11.42578125" bestFit="1" customWidth="1"/>
    <col min="21" max="21" width="11.5703125" bestFit="1" customWidth="1"/>
    <col min="22" max="22" width="11" bestFit="1" customWidth="1"/>
    <col min="23" max="23" width="10.5703125" bestFit="1" customWidth="1"/>
    <col min="24" max="25" width="12.85546875" bestFit="1" customWidth="1"/>
    <col min="258" max="258" width="4.140625" bestFit="1" customWidth="1"/>
    <col min="259" max="259" width="8.42578125" bestFit="1" customWidth="1"/>
    <col min="260" max="260" width="11.7109375" bestFit="1" customWidth="1"/>
    <col min="261" max="262" width="13.7109375" bestFit="1" customWidth="1"/>
    <col min="263" max="263" width="12.5703125" bestFit="1" customWidth="1"/>
    <col min="264" max="264" width="12.85546875" bestFit="1" customWidth="1"/>
    <col min="265" max="265" width="13.85546875" bestFit="1" customWidth="1"/>
    <col min="266" max="267" width="12.85546875" bestFit="1" customWidth="1"/>
    <col min="268" max="268" width="4.7109375" bestFit="1" customWidth="1"/>
    <col min="269" max="270" width="12.85546875" bestFit="1" customWidth="1"/>
    <col min="514" max="514" width="4.140625" bestFit="1" customWidth="1"/>
    <col min="515" max="515" width="8.42578125" bestFit="1" customWidth="1"/>
    <col min="516" max="516" width="11.7109375" bestFit="1" customWidth="1"/>
    <col min="517" max="518" width="13.7109375" bestFit="1" customWidth="1"/>
    <col min="519" max="519" width="12.5703125" bestFit="1" customWidth="1"/>
    <col min="520" max="520" width="12.85546875" bestFit="1" customWidth="1"/>
    <col min="521" max="521" width="13.85546875" bestFit="1" customWidth="1"/>
    <col min="522" max="523" width="12.85546875" bestFit="1" customWidth="1"/>
    <col min="524" max="524" width="4.7109375" bestFit="1" customWidth="1"/>
    <col min="525" max="526" width="12.85546875" bestFit="1" customWidth="1"/>
    <col min="770" max="770" width="4.140625" bestFit="1" customWidth="1"/>
    <col min="771" max="771" width="8.42578125" bestFit="1" customWidth="1"/>
    <col min="772" max="772" width="11.7109375" bestFit="1" customWidth="1"/>
    <col min="773" max="774" width="13.7109375" bestFit="1" customWidth="1"/>
    <col min="775" max="775" width="12.5703125" bestFit="1" customWidth="1"/>
    <col min="776" max="776" width="12.85546875" bestFit="1" customWidth="1"/>
    <col min="777" max="777" width="13.85546875" bestFit="1" customWidth="1"/>
    <col min="778" max="779" width="12.85546875" bestFit="1" customWidth="1"/>
    <col min="780" max="780" width="4.7109375" bestFit="1" customWidth="1"/>
    <col min="781" max="782" width="12.85546875" bestFit="1" customWidth="1"/>
    <col min="1026" max="1026" width="4.140625" bestFit="1" customWidth="1"/>
    <col min="1027" max="1027" width="8.42578125" bestFit="1" customWidth="1"/>
    <col min="1028" max="1028" width="11.7109375" bestFit="1" customWidth="1"/>
    <col min="1029" max="1030" width="13.7109375" bestFit="1" customWidth="1"/>
    <col min="1031" max="1031" width="12.5703125" bestFit="1" customWidth="1"/>
    <col min="1032" max="1032" width="12.85546875" bestFit="1" customWidth="1"/>
    <col min="1033" max="1033" width="13.85546875" bestFit="1" customWidth="1"/>
    <col min="1034" max="1035" width="12.85546875" bestFit="1" customWidth="1"/>
    <col min="1036" max="1036" width="4.7109375" bestFit="1" customWidth="1"/>
    <col min="1037" max="1038" width="12.85546875" bestFit="1" customWidth="1"/>
    <col min="1282" max="1282" width="4.140625" bestFit="1" customWidth="1"/>
    <col min="1283" max="1283" width="8.42578125" bestFit="1" customWidth="1"/>
    <col min="1284" max="1284" width="11.7109375" bestFit="1" customWidth="1"/>
    <col min="1285" max="1286" width="13.7109375" bestFit="1" customWidth="1"/>
    <col min="1287" max="1287" width="12.5703125" bestFit="1" customWidth="1"/>
    <col min="1288" max="1288" width="12.85546875" bestFit="1" customWidth="1"/>
    <col min="1289" max="1289" width="13.85546875" bestFit="1" customWidth="1"/>
    <col min="1290" max="1291" width="12.85546875" bestFit="1" customWidth="1"/>
    <col min="1292" max="1292" width="4.7109375" bestFit="1" customWidth="1"/>
    <col min="1293" max="1294" width="12.85546875" bestFit="1" customWidth="1"/>
    <col min="1538" max="1538" width="4.140625" bestFit="1" customWidth="1"/>
    <col min="1539" max="1539" width="8.42578125" bestFit="1" customWidth="1"/>
    <col min="1540" max="1540" width="11.7109375" bestFit="1" customWidth="1"/>
    <col min="1541" max="1542" width="13.7109375" bestFit="1" customWidth="1"/>
    <col min="1543" max="1543" width="12.5703125" bestFit="1" customWidth="1"/>
    <col min="1544" max="1544" width="12.85546875" bestFit="1" customWidth="1"/>
    <col min="1545" max="1545" width="13.85546875" bestFit="1" customWidth="1"/>
    <col min="1546" max="1547" width="12.85546875" bestFit="1" customWidth="1"/>
    <col min="1548" max="1548" width="4.7109375" bestFit="1" customWidth="1"/>
    <col min="1549" max="1550" width="12.85546875" bestFit="1" customWidth="1"/>
    <col min="1794" max="1794" width="4.140625" bestFit="1" customWidth="1"/>
    <col min="1795" max="1795" width="8.42578125" bestFit="1" customWidth="1"/>
    <col min="1796" max="1796" width="11.7109375" bestFit="1" customWidth="1"/>
    <col min="1797" max="1798" width="13.7109375" bestFit="1" customWidth="1"/>
    <col min="1799" max="1799" width="12.5703125" bestFit="1" customWidth="1"/>
    <col min="1800" max="1800" width="12.85546875" bestFit="1" customWidth="1"/>
    <col min="1801" max="1801" width="13.85546875" bestFit="1" customWidth="1"/>
    <col min="1802" max="1803" width="12.85546875" bestFit="1" customWidth="1"/>
    <col min="1804" max="1804" width="4.7109375" bestFit="1" customWidth="1"/>
    <col min="1805" max="1806" width="12.85546875" bestFit="1" customWidth="1"/>
    <col min="2050" max="2050" width="4.140625" bestFit="1" customWidth="1"/>
    <col min="2051" max="2051" width="8.42578125" bestFit="1" customWidth="1"/>
    <col min="2052" max="2052" width="11.7109375" bestFit="1" customWidth="1"/>
    <col min="2053" max="2054" width="13.7109375" bestFit="1" customWidth="1"/>
    <col min="2055" max="2055" width="12.5703125" bestFit="1" customWidth="1"/>
    <col min="2056" max="2056" width="12.85546875" bestFit="1" customWidth="1"/>
    <col min="2057" max="2057" width="13.85546875" bestFit="1" customWidth="1"/>
    <col min="2058" max="2059" width="12.85546875" bestFit="1" customWidth="1"/>
    <col min="2060" max="2060" width="4.7109375" bestFit="1" customWidth="1"/>
    <col min="2061" max="2062" width="12.85546875" bestFit="1" customWidth="1"/>
    <col min="2306" max="2306" width="4.140625" bestFit="1" customWidth="1"/>
    <col min="2307" max="2307" width="8.42578125" bestFit="1" customWidth="1"/>
    <col min="2308" max="2308" width="11.7109375" bestFit="1" customWidth="1"/>
    <col min="2309" max="2310" width="13.7109375" bestFit="1" customWidth="1"/>
    <col min="2311" max="2311" width="12.5703125" bestFit="1" customWidth="1"/>
    <col min="2312" max="2312" width="12.85546875" bestFit="1" customWidth="1"/>
    <col min="2313" max="2313" width="13.85546875" bestFit="1" customWidth="1"/>
    <col min="2314" max="2315" width="12.85546875" bestFit="1" customWidth="1"/>
    <col min="2316" max="2316" width="4.7109375" bestFit="1" customWidth="1"/>
    <col min="2317" max="2318" width="12.85546875" bestFit="1" customWidth="1"/>
    <col min="2562" max="2562" width="4.140625" bestFit="1" customWidth="1"/>
    <col min="2563" max="2563" width="8.42578125" bestFit="1" customWidth="1"/>
    <col min="2564" max="2564" width="11.7109375" bestFit="1" customWidth="1"/>
    <col min="2565" max="2566" width="13.7109375" bestFit="1" customWidth="1"/>
    <col min="2567" max="2567" width="12.5703125" bestFit="1" customWidth="1"/>
    <col min="2568" max="2568" width="12.85546875" bestFit="1" customWidth="1"/>
    <col min="2569" max="2569" width="13.85546875" bestFit="1" customWidth="1"/>
    <col min="2570" max="2571" width="12.85546875" bestFit="1" customWidth="1"/>
    <col min="2572" max="2572" width="4.7109375" bestFit="1" customWidth="1"/>
    <col min="2573" max="2574" width="12.85546875" bestFit="1" customWidth="1"/>
    <col min="2818" max="2818" width="4.140625" bestFit="1" customWidth="1"/>
    <col min="2819" max="2819" width="8.42578125" bestFit="1" customWidth="1"/>
    <col min="2820" max="2820" width="11.7109375" bestFit="1" customWidth="1"/>
    <col min="2821" max="2822" width="13.7109375" bestFit="1" customWidth="1"/>
    <col min="2823" max="2823" width="12.5703125" bestFit="1" customWidth="1"/>
    <col min="2824" max="2824" width="12.85546875" bestFit="1" customWidth="1"/>
    <col min="2825" max="2825" width="13.85546875" bestFit="1" customWidth="1"/>
    <col min="2826" max="2827" width="12.85546875" bestFit="1" customWidth="1"/>
    <col min="2828" max="2828" width="4.7109375" bestFit="1" customWidth="1"/>
    <col min="2829" max="2830" width="12.85546875" bestFit="1" customWidth="1"/>
    <col min="3074" max="3074" width="4.140625" bestFit="1" customWidth="1"/>
    <col min="3075" max="3075" width="8.42578125" bestFit="1" customWidth="1"/>
    <col min="3076" max="3076" width="11.7109375" bestFit="1" customWidth="1"/>
    <col min="3077" max="3078" width="13.7109375" bestFit="1" customWidth="1"/>
    <col min="3079" max="3079" width="12.5703125" bestFit="1" customWidth="1"/>
    <col min="3080" max="3080" width="12.85546875" bestFit="1" customWidth="1"/>
    <col min="3081" max="3081" width="13.85546875" bestFit="1" customWidth="1"/>
    <col min="3082" max="3083" width="12.85546875" bestFit="1" customWidth="1"/>
    <col min="3084" max="3084" width="4.7109375" bestFit="1" customWidth="1"/>
    <col min="3085" max="3086" width="12.85546875" bestFit="1" customWidth="1"/>
    <col min="3330" max="3330" width="4.140625" bestFit="1" customWidth="1"/>
    <col min="3331" max="3331" width="8.42578125" bestFit="1" customWidth="1"/>
    <col min="3332" max="3332" width="11.7109375" bestFit="1" customWidth="1"/>
    <col min="3333" max="3334" width="13.7109375" bestFit="1" customWidth="1"/>
    <col min="3335" max="3335" width="12.5703125" bestFit="1" customWidth="1"/>
    <col min="3336" max="3336" width="12.85546875" bestFit="1" customWidth="1"/>
    <col min="3337" max="3337" width="13.85546875" bestFit="1" customWidth="1"/>
    <col min="3338" max="3339" width="12.85546875" bestFit="1" customWidth="1"/>
    <col min="3340" max="3340" width="4.7109375" bestFit="1" customWidth="1"/>
    <col min="3341" max="3342" width="12.85546875" bestFit="1" customWidth="1"/>
    <col min="3586" max="3586" width="4.140625" bestFit="1" customWidth="1"/>
    <col min="3587" max="3587" width="8.42578125" bestFit="1" customWidth="1"/>
    <col min="3588" max="3588" width="11.7109375" bestFit="1" customWidth="1"/>
    <col min="3589" max="3590" width="13.7109375" bestFit="1" customWidth="1"/>
    <col min="3591" max="3591" width="12.5703125" bestFit="1" customWidth="1"/>
    <col min="3592" max="3592" width="12.85546875" bestFit="1" customWidth="1"/>
    <col min="3593" max="3593" width="13.85546875" bestFit="1" customWidth="1"/>
    <col min="3594" max="3595" width="12.85546875" bestFit="1" customWidth="1"/>
    <col min="3596" max="3596" width="4.7109375" bestFit="1" customWidth="1"/>
    <col min="3597" max="3598" width="12.85546875" bestFit="1" customWidth="1"/>
    <col min="3842" max="3842" width="4.140625" bestFit="1" customWidth="1"/>
    <col min="3843" max="3843" width="8.42578125" bestFit="1" customWidth="1"/>
    <col min="3844" max="3844" width="11.7109375" bestFit="1" customWidth="1"/>
    <col min="3845" max="3846" width="13.7109375" bestFit="1" customWidth="1"/>
    <col min="3847" max="3847" width="12.5703125" bestFit="1" customWidth="1"/>
    <col min="3848" max="3848" width="12.85546875" bestFit="1" customWidth="1"/>
    <col min="3849" max="3849" width="13.85546875" bestFit="1" customWidth="1"/>
    <col min="3850" max="3851" width="12.85546875" bestFit="1" customWidth="1"/>
    <col min="3852" max="3852" width="4.7109375" bestFit="1" customWidth="1"/>
    <col min="3853" max="3854" width="12.85546875" bestFit="1" customWidth="1"/>
    <col min="4098" max="4098" width="4.140625" bestFit="1" customWidth="1"/>
    <col min="4099" max="4099" width="8.42578125" bestFit="1" customWidth="1"/>
    <col min="4100" max="4100" width="11.7109375" bestFit="1" customWidth="1"/>
    <col min="4101" max="4102" width="13.7109375" bestFit="1" customWidth="1"/>
    <col min="4103" max="4103" width="12.5703125" bestFit="1" customWidth="1"/>
    <col min="4104" max="4104" width="12.85546875" bestFit="1" customWidth="1"/>
    <col min="4105" max="4105" width="13.85546875" bestFit="1" customWidth="1"/>
    <col min="4106" max="4107" width="12.85546875" bestFit="1" customWidth="1"/>
    <col min="4108" max="4108" width="4.7109375" bestFit="1" customWidth="1"/>
    <col min="4109" max="4110" width="12.85546875" bestFit="1" customWidth="1"/>
    <col min="4354" max="4354" width="4.140625" bestFit="1" customWidth="1"/>
    <col min="4355" max="4355" width="8.42578125" bestFit="1" customWidth="1"/>
    <col min="4356" max="4356" width="11.7109375" bestFit="1" customWidth="1"/>
    <col min="4357" max="4358" width="13.7109375" bestFit="1" customWidth="1"/>
    <col min="4359" max="4359" width="12.5703125" bestFit="1" customWidth="1"/>
    <col min="4360" max="4360" width="12.85546875" bestFit="1" customWidth="1"/>
    <col min="4361" max="4361" width="13.85546875" bestFit="1" customWidth="1"/>
    <col min="4362" max="4363" width="12.85546875" bestFit="1" customWidth="1"/>
    <col min="4364" max="4364" width="4.7109375" bestFit="1" customWidth="1"/>
    <col min="4365" max="4366" width="12.85546875" bestFit="1" customWidth="1"/>
    <col min="4610" max="4610" width="4.140625" bestFit="1" customWidth="1"/>
    <col min="4611" max="4611" width="8.42578125" bestFit="1" customWidth="1"/>
    <col min="4612" max="4612" width="11.7109375" bestFit="1" customWidth="1"/>
    <col min="4613" max="4614" width="13.7109375" bestFit="1" customWidth="1"/>
    <col min="4615" max="4615" width="12.5703125" bestFit="1" customWidth="1"/>
    <col min="4616" max="4616" width="12.85546875" bestFit="1" customWidth="1"/>
    <col min="4617" max="4617" width="13.85546875" bestFit="1" customWidth="1"/>
    <col min="4618" max="4619" width="12.85546875" bestFit="1" customWidth="1"/>
    <col min="4620" max="4620" width="4.7109375" bestFit="1" customWidth="1"/>
    <col min="4621" max="4622" width="12.85546875" bestFit="1" customWidth="1"/>
    <col min="4866" max="4866" width="4.140625" bestFit="1" customWidth="1"/>
    <col min="4867" max="4867" width="8.42578125" bestFit="1" customWidth="1"/>
    <col min="4868" max="4868" width="11.7109375" bestFit="1" customWidth="1"/>
    <col min="4869" max="4870" width="13.7109375" bestFit="1" customWidth="1"/>
    <col min="4871" max="4871" width="12.5703125" bestFit="1" customWidth="1"/>
    <col min="4872" max="4872" width="12.85546875" bestFit="1" customWidth="1"/>
    <col min="4873" max="4873" width="13.85546875" bestFit="1" customWidth="1"/>
    <col min="4874" max="4875" width="12.85546875" bestFit="1" customWidth="1"/>
    <col min="4876" max="4876" width="4.7109375" bestFit="1" customWidth="1"/>
    <col min="4877" max="4878" width="12.85546875" bestFit="1" customWidth="1"/>
    <col min="5122" max="5122" width="4.140625" bestFit="1" customWidth="1"/>
    <col min="5123" max="5123" width="8.42578125" bestFit="1" customWidth="1"/>
    <col min="5124" max="5124" width="11.7109375" bestFit="1" customWidth="1"/>
    <col min="5125" max="5126" width="13.7109375" bestFit="1" customWidth="1"/>
    <col min="5127" max="5127" width="12.5703125" bestFit="1" customWidth="1"/>
    <col min="5128" max="5128" width="12.85546875" bestFit="1" customWidth="1"/>
    <col min="5129" max="5129" width="13.85546875" bestFit="1" customWidth="1"/>
    <col min="5130" max="5131" width="12.85546875" bestFit="1" customWidth="1"/>
    <col min="5132" max="5132" width="4.7109375" bestFit="1" customWidth="1"/>
    <col min="5133" max="5134" width="12.85546875" bestFit="1" customWidth="1"/>
    <col min="5378" max="5378" width="4.140625" bestFit="1" customWidth="1"/>
    <col min="5379" max="5379" width="8.42578125" bestFit="1" customWidth="1"/>
    <col min="5380" max="5380" width="11.7109375" bestFit="1" customWidth="1"/>
    <col min="5381" max="5382" width="13.7109375" bestFit="1" customWidth="1"/>
    <col min="5383" max="5383" width="12.5703125" bestFit="1" customWidth="1"/>
    <col min="5384" max="5384" width="12.85546875" bestFit="1" customWidth="1"/>
    <col min="5385" max="5385" width="13.85546875" bestFit="1" customWidth="1"/>
    <col min="5386" max="5387" width="12.85546875" bestFit="1" customWidth="1"/>
    <col min="5388" max="5388" width="4.7109375" bestFit="1" customWidth="1"/>
    <col min="5389" max="5390" width="12.85546875" bestFit="1" customWidth="1"/>
    <col min="5634" max="5634" width="4.140625" bestFit="1" customWidth="1"/>
    <col min="5635" max="5635" width="8.42578125" bestFit="1" customWidth="1"/>
    <col min="5636" max="5636" width="11.7109375" bestFit="1" customWidth="1"/>
    <col min="5637" max="5638" width="13.7109375" bestFit="1" customWidth="1"/>
    <col min="5639" max="5639" width="12.5703125" bestFit="1" customWidth="1"/>
    <col min="5640" max="5640" width="12.85546875" bestFit="1" customWidth="1"/>
    <col min="5641" max="5641" width="13.85546875" bestFit="1" customWidth="1"/>
    <col min="5642" max="5643" width="12.85546875" bestFit="1" customWidth="1"/>
    <col min="5644" max="5644" width="4.7109375" bestFit="1" customWidth="1"/>
    <col min="5645" max="5646" width="12.85546875" bestFit="1" customWidth="1"/>
    <col min="5890" max="5890" width="4.140625" bestFit="1" customWidth="1"/>
    <col min="5891" max="5891" width="8.42578125" bestFit="1" customWidth="1"/>
    <col min="5892" max="5892" width="11.7109375" bestFit="1" customWidth="1"/>
    <col min="5893" max="5894" width="13.7109375" bestFit="1" customWidth="1"/>
    <col min="5895" max="5895" width="12.5703125" bestFit="1" customWidth="1"/>
    <col min="5896" max="5896" width="12.85546875" bestFit="1" customWidth="1"/>
    <col min="5897" max="5897" width="13.85546875" bestFit="1" customWidth="1"/>
    <col min="5898" max="5899" width="12.85546875" bestFit="1" customWidth="1"/>
    <col min="5900" max="5900" width="4.7109375" bestFit="1" customWidth="1"/>
    <col min="5901" max="5902" width="12.85546875" bestFit="1" customWidth="1"/>
    <col min="6146" max="6146" width="4.140625" bestFit="1" customWidth="1"/>
    <col min="6147" max="6147" width="8.42578125" bestFit="1" customWidth="1"/>
    <col min="6148" max="6148" width="11.7109375" bestFit="1" customWidth="1"/>
    <col min="6149" max="6150" width="13.7109375" bestFit="1" customWidth="1"/>
    <col min="6151" max="6151" width="12.5703125" bestFit="1" customWidth="1"/>
    <col min="6152" max="6152" width="12.85546875" bestFit="1" customWidth="1"/>
    <col min="6153" max="6153" width="13.85546875" bestFit="1" customWidth="1"/>
    <col min="6154" max="6155" width="12.85546875" bestFit="1" customWidth="1"/>
    <col min="6156" max="6156" width="4.7109375" bestFit="1" customWidth="1"/>
    <col min="6157" max="6158" width="12.85546875" bestFit="1" customWidth="1"/>
    <col min="6402" max="6402" width="4.140625" bestFit="1" customWidth="1"/>
    <col min="6403" max="6403" width="8.42578125" bestFit="1" customWidth="1"/>
    <col min="6404" max="6404" width="11.7109375" bestFit="1" customWidth="1"/>
    <col min="6405" max="6406" width="13.7109375" bestFit="1" customWidth="1"/>
    <col min="6407" max="6407" width="12.5703125" bestFit="1" customWidth="1"/>
    <col min="6408" max="6408" width="12.85546875" bestFit="1" customWidth="1"/>
    <col min="6409" max="6409" width="13.85546875" bestFit="1" customWidth="1"/>
    <col min="6410" max="6411" width="12.85546875" bestFit="1" customWidth="1"/>
    <col min="6412" max="6412" width="4.7109375" bestFit="1" customWidth="1"/>
    <col min="6413" max="6414" width="12.85546875" bestFit="1" customWidth="1"/>
    <col min="6658" max="6658" width="4.140625" bestFit="1" customWidth="1"/>
    <col min="6659" max="6659" width="8.42578125" bestFit="1" customWidth="1"/>
    <col min="6660" max="6660" width="11.7109375" bestFit="1" customWidth="1"/>
    <col min="6661" max="6662" width="13.7109375" bestFit="1" customWidth="1"/>
    <col min="6663" max="6663" width="12.5703125" bestFit="1" customWidth="1"/>
    <col min="6664" max="6664" width="12.85546875" bestFit="1" customWidth="1"/>
    <col min="6665" max="6665" width="13.85546875" bestFit="1" customWidth="1"/>
    <col min="6666" max="6667" width="12.85546875" bestFit="1" customWidth="1"/>
    <col min="6668" max="6668" width="4.7109375" bestFit="1" customWidth="1"/>
    <col min="6669" max="6670" width="12.85546875" bestFit="1" customWidth="1"/>
    <col min="6914" max="6914" width="4.140625" bestFit="1" customWidth="1"/>
    <col min="6915" max="6915" width="8.42578125" bestFit="1" customWidth="1"/>
    <col min="6916" max="6916" width="11.7109375" bestFit="1" customWidth="1"/>
    <col min="6917" max="6918" width="13.7109375" bestFit="1" customWidth="1"/>
    <col min="6919" max="6919" width="12.5703125" bestFit="1" customWidth="1"/>
    <col min="6920" max="6920" width="12.85546875" bestFit="1" customWidth="1"/>
    <col min="6921" max="6921" width="13.85546875" bestFit="1" customWidth="1"/>
    <col min="6922" max="6923" width="12.85546875" bestFit="1" customWidth="1"/>
    <col min="6924" max="6924" width="4.7109375" bestFit="1" customWidth="1"/>
    <col min="6925" max="6926" width="12.85546875" bestFit="1" customWidth="1"/>
    <col min="7170" max="7170" width="4.140625" bestFit="1" customWidth="1"/>
    <col min="7171" max="7171" width="8.42578125" bestFit="1" customWidth="1"/>
    <col min="7172" max="7172" width="11.7109375" bestFit="1" customWidth="1"/>
    <col min="7173" max="7174" width="13.7109375" bestFit="1" customWidth="1"/>
    <col min="7175" max="7175" width="12.5703125" bestFit="1" customWidth="1"/>
    <col min="7176" max="7176" width="12.85546875" bestFit="1" customWidth="1"/>
    <col min="7177" max="7177" width="13.85546875" bestFit="1" customWidth="1"/>
    <col min="7178" max="7179" width="12.85546875" bestFit="1" customWidth="1"/>
    <col min="7180" max="7180" width="4.7109375" bestFit="1" customWidth="1"/>
    <col min="7181" max="7182" width="12.85546875" bestFit="1" customWidth="1"/>
    <col min="7426" max="7426" width="4.140625" bestFit="1" customWidth="1"/>
    <col min="7427" max="7427" width="8.42578125" bestFit="1" customWidth="1"/>
    <col min="7428" max="7428" width="11.7109375" bestFit="1" customWidth="1"/>
    <col min="7429" max="7430" width="13.7109375" bestFit="1" customWidth="1"/>
    <col min="7431" max="7431" width="12.5703125" bestFit="1" customWidth="1"/>
    <col min="7432" max="7432" width="12.85546875" bestFit="1" customWidth="1"/>
    <col min="7433" max="7433" width="13.85546875" bestFit="1" customWidth="1"/>
    <col min="7434" max="7435" width="12.85546875" bestFit="1" customWidth="1"/>
    <col min="7436" max="7436" width="4.7109375" bestFit="1" customWidth="1"/>
    <col min="7437" max="7438" width="12.85546875" bestFit="1" customWidth="1"/>
    <col min="7682" max="7682" width="4.140625" bestFit="1" customWidth="1"/>
    <col min="7683" max="7683" width="8.42578125" bestFit="1" customWidth="1"/>
    <col min="7684" max="7684" width="11.7109375" bestFit="1" customWidth="1"/>
    <col min="7685" max="7686" width="13.7109375" bestFit="1" customWidth="1"/>
    <col min="7687" max="7687" width="12.5703125" bestFit="1" customWidth="1"/>
    <col min="7688" max="7688" width="12.85546875" bestFit="1" customWidth="1"/>
    <col min="7689" max="7689" width="13.85546875" bestFit="1" customWidth="1"/>
    <col min="7690" max="7691" width="12.85546875" bestFit="1" customWidth="1"/>
    <col min="7692" max="7692" width="4.7109375" bestFit="1" customWidth="1"/>
    <col min="7693" max="7694" width="12.85546875" bestFit="1" customWidth="1"/>
    <col min="7938" max="7938" width="4.140625" bestFit="1" customWidth="1"/>
    <col min="7939" max="7939" width="8.42578125" bestFit="1" customWidth="1"/>
    <col min="7940" max="7940" width="11.7109375" bestFit="1" customWidth="1"/>
    <col min="7941" max="7942" width="13.7109375" bestFit="1" customWidth="1"/>
    <col min="7943" max="7943" width="12.5703125" bestFit="1" customWidth="1"/>
    <col min="7944" max="7944" width="12.85546875" bestFit="1" customWidth="1"/>
    <col min="7945" max="7945" width="13.85546875" bestFit="1" customWidth="1"/>
    <col min="7946" max="7947" width="12.85546875" bestFit="1" customWidth="1"/>
    <col min="7948" max="7948" width="4.7109375" bestFit="1" customWidth="1"/>
    <col min="7949" max="7950" width="12.85546875" bestFit="1" customWidth="1"/>
    <col min="8194" max="8194" width="4.140625" bestFit="1" customWidth="1"/>
    <col min="8195" max="8195" width="8.42578125" bestFit="1" customWidth="1"/>
    <col min="8196" max="8196" width="11.7109375" bestFit="1" customWidth="1"/>
    <col min="8197" max="8198" width="13.7109375" bestFit="1" customWidth="1"/>
    <col min="8199" max="8199" width="12.5703125" bestFit="1" customWidth="1"/>
    <col min="8200" max="8200" width="12.85546875" bestFit="1" customWidth="1"/>
    <col min="8201" max="8201" width="13.85546875" bestFit="1" customWidth="1"/>
    <col min="8202" max="8203" width="12.85546875" bestFit="1" customWidth="1"/>
    <col min="8204" max="8204" width="4.7109375" bestFit="1" customWidth="1"/>
    <col min="8205" max="8206" width="12.85546875" bestFit="1" customWidth="1"/>
    <col min="8450" max="8450" width="4.140625" bestFit="1" customWidth="1"/>
    <col min="8451" max="8451" width="8.42578125" bestFit="1" customWidth="1"/>
    <col min="8452" max="8452" width="11.7109375" bestFit="1" customWidth="1"/>
    <col min="8453" max="8454" width="13.7109375" bestFit="1" customWidth="1"/>
    <col min="8455" max="8455" width="12.5703125" bestFit="1" customWidth="1"/>
    <col min="8456" max="8456" width="12.85546875" bestFit="1" customWidth="1"/>
    <col min="8457" max="8457" width="13.85546875" bestFit="1" customWidth="1"/>
    <col min="8458" max="8459" width="12.85546875" bestFit="1" customWidth="1"/>
    <col min="8460" max="8460" width="4.7109375" bestFit="1" customWidth="1"/>
    <col min="8461" max="8462" width="12.85546875" bestFit="1" customWidth="1"/>
    <col min="8706" max="8706" width="4.140625" bestFit="1" customWidth="1"/>
    <col min="8707" max="8707" width="8.42578125" bestFit="1" customWidth="1"/>
    <col min="8708" max="8708" width="11.7109375" bestFit="1" customWidth="1"/>
    <col min="8709" max="8710" width="13.7109375" bestFit="1" customWidth="1"/>
    <col min="8711" max="8711" width="12.5703125" bestFit="1" customWidth="1"/>
    <col min="8712" max="8712" width="12.85546875" bestFit="1" customWidth="1"/>
    <col min="8713" max="8713" width="13.85546875" bestFit="1" customWidth="1"/>
    <col min="8714" max="8715" width="12.85546875" bestFit="1" customWidth="1"/>
    <col min="8716" max="8716" width="4.7109375" bestFit="1" customWidth="1"/>
    <col min="8717" max="8718" width="12.85546875" bestFit="1" customWidth="1"/>
    <col min="8962" max="8962" width="4.140625" bestFit="1" customWidth="1"/>
    <col min="8963" max="8963" width="8.42578125" bestFit="1" customWidth="1"/>
    <col min="8964" max="8964" width="11.7109375" bestFit="1" customWidth="1"/>
    <col min="8965" max="8966" width="13.7109375" bestFit="1" customWidth="1"/>
    <col min="8967" max="8967" width="12.5703125" bestFit="1" customWidth="1"/>
    <col min="8968" max="8968" width="12.85546875" bestFit="1" customWidth="1"/>
    <col min="8969" max="8969" width="13.85546875" bestFit="1" customWidth="1"/>
    <col min="8970" max="8971" width="12.85546875" bestFit="1" customWidth="1"/>
    <col min="8972" max="8972" width="4.7109375" bestFit="1" customWidth="1"/>
    <col min="8973" max="8974" width="12.85546875" bestFit="1" customWidth="1"/>
    <col min="9218" max="9218" width="4.140625" bestFit="1" customWidth="1"/>
    <col min="9219" max="9219" width="8.42578125" bestFit="1" customWidth="1"/>
    <col min="9220" max="9220" width="11.7109375" bestFit="1" customWidth="1"/>
    <col min="9221" max="9222" width="13.7109375" bestFit="1" customWidth="1"/>
    <col min="9223" max="9223" width="12.5703125" bestFit="1" customWidth="1"/>
    <col min="9224" max="9224" width="12.85546875" bestFit="1" customWidth="1"/>
    <col min="9225" max="9225" width="13.85546875" bestFit="1" customWidth="1"/>
    <col min="9226" max="9227" width="12.85546875" bestFit="1" customWidth="1"/>
    <col min="9228" max="9228" width="4.7109375" bestFit="1" customWidth="1"/>
    <col min="9229" max="9230" width="12.85546875" bestFit="1" customWidth="1"/>
    <col min="9474" max="9474" width="4.140625" bestFit="1" customWidth="1"/>
    <col min="9475" max="9475" width="8.42578125" bestFit="1" customWidth="1"/>
    <col min="9476" max="9476" width="11.7109375" bestFit="1" customWidth="1"/>
    <col min="9477" max="9478" width="13.7109375" bestFit="1" customWidth="1"/>
    <col min="9479" max="9479" width="12.5703125" bestFit="1" customWidth="1"/>
    <col min="9480" max="9480" width="12.85546875" bestFit="1" customWidth="1"/>
    <col min="9481" max="9481" width="13.85546875" bestFit="1" customWidth="1"/>
    <col min="9482" max="9483" width="12.85546875" bestFit="1" customWidth="1"/>
    <col min="9484" max="9484" width="4.7109375" bestFit="1" customWidth="1"/>
    <col min="9485" max="9486" width="12.85546875" bestFit="1" customWidth="1"/>
    <col min="9730" max="9730" width="4.140625" bestFit="1" customWidth="1"/>
    <col min="9731" max="9731" width="8.42578125" bestFit="1" customWidth="1"/>
    <col min="9732" max="9732" width="11.7109375" bestFit="1" customWidth="1"/>
    <col min="9733" max="9734" width="13.7109375" bestFit="1" customWidth="1"/>
    <col min="9735" max="9735" width="12.5703125" bestFit="1" customWidth="1"/>
    <col min="9736" max="9736" width="12.85546875" bestFit="1" customWidth="1"/>
    <col min="9737" max="9737" width="13.85546875" bestFit="1" customWidth="1"/>
    <col min="9738" max="9739" width="12.85546875" bestFit="1" customWidth="1"/>
    <col min="9740" max="9740" width="4.7109375" bestFit="1" customWidth="1"/>
    <col min="9741" max="9742" width="12.85546875" bestFit="1" customWidth="1"/>
    <col min="9986" max="9986" width="4.140625" bestFit="1" customWidth="1"/>
    <col min="9987" max="9987" width="8.42578125" bestFit="1" customWidth="1"/>
    <col min="9988" max="9988" width="11.7109375" bestFit="1" customWidth="1"/>
    <col min="9989" max="9990" width="13.7109375" bestFit="1" customWidth="1"/>
    <col min="9991" max="9991" width="12.5703125" bestFit="1" customWidth="1"/>
    <col min="9992" max="9992" width="12.85546875" bestFit="1" customWidth="1"/>
    <col min="9993" max="9993" width="13.85546875" bestFit="1" customWidth="1"/>
    <col min="9994" max="9995" width="12.85546875" bestFit="1" customWidth="1"/>
    <col min="9996" max="9996" width="4.7109375" bestFit="1" customWidth="1"/>
    <col min="9997" max="9998" width="12.85546875" bestFit="1" customWidth="1"/>
    <col min="10242" max="10242" width="4.140625" bestFit="1" customWidth="1"/>
    <col min="10243" max="10243" width="8.42578125" bestFit="1" customWidth="1"/>
    <col min="10244" max="10244" width="11.7109375" bestFit="1" customWidth="1"/>
    <col min="10245" max="10246" width="13.7109375" bestFit="1" customWidth="1"/>
    <col min="10247" max="10247" width="12.5703125" bestFit="1" customWidth="1"/>
    <col min="10248" max="10248" width="12.85546875" bestFit="1" customWidth="1"/>
    <col min="10249" max="10249" width="13.85546875" bestFit="1" customWidth="1"/>
    <col min="10250" max="10251" width="12.85546875" bestFit="1" customWidth="1"/>
    <col min="10252" max="10252" width="4.7109375" bestFit="1" customWidth="1"/>
    <col min="10253" max="10254" width="12.85546875" bestFit="1" customWidth="1"/>
    <col min="10498" max="10498" width="4.140625" bestFit="1" customWidth="1"/>
    <col min="10499" max="10499" width="8.42578125" bestFit="1" customWidth="1"/>
    <col min="10500" max="10500" width="11.7109375" bestFit="1" customWidth="1"/>
    <col min="10501" max="10502" width="13.7109375" bestFit="1" customWidth="1"/>
    <col min="10503" max="10503" width="12.5703125" bestFit="1" customWidth="1"/>
    <col min="10504" max="10504" width="12.85546875" bestFit="1" customWidth="1"/>
    <col min="10505" max="10505" width="13.85546875" bestFit="1" customWidth="1"/>
    <col min="10506" max="10507" width="12.85546875" bestFit="1" customWidth="1"/>
    <col min="10508" max="10508" width="4.7109375" bestFit="1" customWidth="1"/>
    <col min="10509" max="10510" width="12.85546875" bestFit="1" customWidth="1"/>
    <col min="10754" max="10754" width="4.140625" bestFit="1" customWidth="1"/>
    <col min="10755" max="10755" width="8.42578125" bestFit="1" customWidth="1"/>
    <col min="10756" max="10756" width="11.7109375" bestFit="1" customWidth="1"/>
    <col min="10757" max="10758" width="13.7109375" bestFit="1" customWidth="1"/>
    <col min="10759" max="10759" width="12.5703125" bestFit="1" customWidth="1"/>
    <col min="10760" max="10760" width="12.85546875" bestFit="1" customWidth="1"/>
    <col min="10761" max="10761" width="13.85546875" bestFit="1" customWidth="1"/>
    <col min="10762" max="10763" width="12.85546875" bestFit="1" customWidth="1"/>
    <col min="10764" max="10764" width="4.7109375" bestFit="1" customWidth="1"/>
    <col min="10765" max="10766" width="12.85546875" bestFit="1" customWidth="1"/>
    <col min="11010" max="11010" width="4.140625" bestFit="1" customWidth="1"/>
    <col min="11011" max="11011" width="8.42578125" bestFit="1" customWidth="1"/>
    <col min="11012" max="11012" width="11.7109375" bestFit="1" customWidth="1"/>
    <col min="11013" max="11014" width="13.7109375" bestFit="1" customWidth="1"/>
    <col min="11015" max="11015" width="12.5703125" bestFit="1" customWidth="1"/>
    <col min="11016" max="11016" width="12.85546875" bestFit="1" customWidth="1"/>
    <col min="11017" max="11017" width="13.85546875" bestFit="1" customWidth="1"/>
    <col min="11018" max="11019" width="12.85546875" bestFit="1" customWidth="1"/>
    <col min="11020" max="11020" width="4.7109375" bestFit="1" customWidth="1"/>
    <col min="11021" max="11022" width="12.85546875" bestFit="1" customWidth="1"/>
    <col min="11266" max="11266" width="4.140625" bestFit="1" customWidth="1"/>
    <col min="11267" max="11267" width="8.42578125" bestFit="1" customWidth="1"/>
    <col min="11268" max="11268" width="11.7109375" bestFit="1" customWidth="1"/>
    <col min="11269" max="11270" width="13.7109375" bestFit="1" customWidth="1"/>
    <col min="11271" max="11271" width="12.5703125" bestFit="1" customWidth="1"/>
    <col min="11272" max="11272" width="12.85546875" bestFit="1" customWidth="1"/>
    <col min="11273" max="11273" width="13.85546875" bestFit="1" customWidth="1"/>
    <col min="11274" max="11275" width="12.85546875" bestFit="1" customWidth="1"/>
    <col min="11276" max="11276" width="4.7109375" bestFit="1" customWidth="1"/>
    <col min="11277" max="11278" width="12.85546875" bestFit="1" customWidth="1"/>
    <col min="11522" max="11522" width="4.140625" bestFit="1" customWidth="1"/>
    <col min="11523" max="11523" width="8.42578125" bestFit="1" customWidth="1"/>
    <col min="11524" max="11524" width="11.7109375" bestFit="1" customWidth="1"/>
    <col min="11525" max="11526" width="13.7109375" bestFit="1" customWidth="1"/>
    <col min="11527" max="11527" width="12.5703125" bestFit="1" customWidth="1"/>
    <col min="11528" max="11528" width="12.85546875" bestFit="1" customWidth="1"/>
    <col min="11529" max="11529" width="13.85546875" bestFit="1" customWidth="1"/>
    <col min="11530" max="11531" width="12.85546875" bestFit="1" customWidth="1"/>
    <col min="11532" max="11532" width="4.7109375" bestFit="1" customWidth="1"/>
    <col min="11533" max="11534" width="12.85546875" bestFit="1" customWidth="1"/>
    <col min="11778" max="11778" width="4.140625" bestFit="1" customWidth="1"/>
    <col min="11779" max="11779" width="8.42578125" bestFit="1" customWidth="1"/>
    <col min="11780" max="11780" width="11.7109375" bestFit="1" customWidth="1"/>
    <col min="11781" max="11782" width="13.7109375" bestFit="1" customWidth="1"/>
    <col min="11783" max="11783" width="12.5703125" bestFit="1" customWidth="1"/>
    <col min="11784" max="11784" width="12.85546875" bestFit="1" customWidth="1"/>
    <col min="11785" max="11785" width="13.85546875" bestFit="1" customWidth="1"/>
    <col min="11786" max="11787" width="12.85546875" bestFit="1" customWidth="1"/>
    <col min="11788" max="11788" width="4.7109375" bestFit="1" customWidth="1"/>
    <col min="11789" max="11790" width="12.85546875" bestFit="1" customWidth="1"/>
    <col min="12034" max="12034" width="4.140625" bestFit="1" customWidth="1"/>
    <col min="12035" max="12035" width="8.42578125" bestFit="1" customWidth="1"/>
    <col min="12036" max="12036" width="11.7109375" bestFit="1" customWidth="1"/>
    <col min="12037" max="12038" width="13.7109375" bestFit="1" customWidth="1"/>
    <col min="12039" max="12039" width="12.5703125" bestFit="1" customWidth="1"/>
    <col min="12040" max="12040" width="12.85546875" bestFit="1" customWidth="1"/>
    <col min="12041" max="12041" width="13.85546875" bestFit="1" customWidth="1"/>
    <col min="12042" max="12043" width="12.85546875" bestFit="1" customWidth="1"/>
    <col min="12044" max="12044" width="4.7109375" bestFit="1" customWidth="1"/>
    <col min="12045" max="12046" width="12.85546875" bestFit="1" customWidth="1"/>
    <col min="12290" max="12290" width="4.140625" bestFit="1" customWidth="1"/>
    <col min="12291" max="12291" width="8.42578125" bestFit="1" customWidth="1"/>
    <col min="12292" max="12292" width="11.7109375" bestFit="1" customWidth="1"/>
    <col min="12293" max="12294" width="13.7109375" bestFit="1" customWidth="1"/>
    <col min="12295" max="12295" width="12.5703125" bestFit="1" customWidth="1"/>
    <col min="12296" max="12296" width="12.85546875" bestFit="1" customWidth="1"/>
    <col min="12297" max="12297" width="13.85546875" bestFit="1" customWidth="1"/>
    <col min="12298" max="12299" width="12.85546875" bestFit="1" customWidth="1"/>
    <col min="12300" max="12300" width="4.7109375" bestFit="1" customWidth="1"/>
    <col min="12301" max="12302" width="12.85546875" bestFit="1" customWidth="1"/>
    <col min="12546" max="12546" width="4.140625" bestFit="1" customWidth="1"/>
    <col min="12547" max="12547" width="8.42578125" bestFit="1" customWidth="1"/>
    <col min="12548" max="12548" width="11.7109375" bestFit="1" customWidth="1"/>
    <col min="12549" max="12550" width="13.7109375" bestFit="1" customWidth="1"/>
    <col min="12551" max="12551" width="12.5703125" bestFit="1" customWidth="1"/>
    <col min="12552" max="12552" width="12.85546875" bestFit="1" customWidth="1"/>
    <col min="12553" max="12553" width="13.85546875" bestFit="1" customWidth="1"/>
    <col min="12554" max="12555" width="12.85546875" bestFit="1" customWidth="1"/>
    <col min="12556" max="12556" width="4.7109375" bestFit="1" customWidth="1"/>
    <col min="12557" max="12558" width="12.85546875" bestFit="1" customWidth="1"/>
    <col min="12802" max="12802" width="4.140625" bestFit="1" customWidth="1"/>
    <col min="12803" max="12803" width="8.42578125" bestFit="1" customWidth="1"/>
    <col min="12804" max="12804" width="11.7109375" bestFit="1" customWidth="1"/>
    <col min="12805" max="12806" width="13.7109375" bestFit="1" customWidth="1"/>
    <col min="12807" max="12807" width="12.5703125" bestFit="1" customWidth="1"/>
    <col min="12808" max="12808" width="12.85546875" bestFit="1" customWidth="1"/>
    <col min="12809" max="12809" width="13.85546875" bestFit="1" customWidth="1"/>
    <col min="12810" max="12811" width="12.85546875" bestFit="1" customWidth="1"/>
    <col min="12812" max="12812" width="4.7109375" bestFit="1" customWidth="1"/>
    <col min="12813" max="12814" width="12.85546875" bestFit="1" customWidth="1"/>
    <col min="13058" max="13058" width="4.140625" bestFit="1" customWidth="1"/>
    <col min="13059" max="13059" width="8.42578125" bestFit="1" customWidth="1"/>
    <col min="13060" max="13060" width="11.7109375" bestFit="1" customWidth="1"/>
    <col min="13061" max="13062" width="13.7109375" bestFit="1" customWidth="1"/>
    <col min="13063" max="13063" width="12.5703125" bestFit="1" customWidth="1"/>
    <col min="13064" max="13064" width="12.85546875" bestFit="1" customWidth="1"/>
    <col min="13065" max="13065" width="13.85546875" bestFit="1" customWidth="1"/>
    <col min="13066" max="13067" width="12.85546875" bestFit="1" customWidth="1"/>
    <col min="13068" max="13068" width="4.7109375" bestFit="1" customWidth="1"/>
    <col min="13069" max="13070" width="12.85546875" bestFit="1" customWidth="1"/>
    <col min="13314" max="13314" width="4.140625" bestFit="1" customWidth="1"/>
    <col min="13315" max="13315" width="8.42578125" bestFit="1" customWidth="1"/>
    <col min="13316" max="13316" width="11.7109375" bestFit="1" customWidth="1"/>
    <col min="13317" max="13318" width="13.7109375" bestFit="1" customWidth="1"/>
    <col min="13319" max="13319" width="12.5703125" bestFit="1" customWidth="1"/>
    <col min="13320" max="13320" width="12.85546875" bestFit="1" customWidth="1"/>
    <col min="13321" max="13321" width="13.85546875" bestFit="1" customWidth="1"/>
    <col min="13322" max="13323" width="12.85546875" bestFit="1" customWidth="1"/>
    <col min="13324" max="13324" width="4.7109375" bestFit="1" customWidth="1"/>
    <col min="13325" max="13326" width="12.85546875" bestFit="1" customWidth="1"/>
    <col min="13570" max="13570" width="4.140625" bestFit="1" customWidth="1"/>
    <col min="13571" max="13571" width="8.42578125" bestFit="1" customWidth="1"/>
    <col min="13572" max="13572" width="11.7109375" bestFit="1" customWidth="1"/>
    <col min="13573" max="13574" width="13.7109375" bestFit="1" customWidth="1"/>
    <col min="13575" max="13575" width="12.5703125" bestFit="1" customWidth="1"/>
    <col min="13576" max="13576" width="12.85546875" bestFit="1" customWidth="1"/>
    <col min="13577" max="13577" width="13.85546875" bestFit="1" customWidth="1"/>
    <col min="13578" max="13579" width="12.85546875" bestFit="1" customWidth="1"/>
    <col min="13580" max="13580" width="4.7109375" bestFit="1" customWidth="1"/>
    <col min="13581" max="13582" width="12.85546875" bestFit="1" customWidth="1"/>
    <col min="13826" max="13826" width="4.140625" bestFit="1" customWidth="1"/>
    <col min="13827" max="13827" width="8.42578125" bestFit="1" customWidth="1"/>
    <col min="13828" max="13828" width="11.7109375" bestFit="1" customWidth="1"/>
    <col min="13829" max="13830" width="13.7109375" bestFit="1" customWidth="1"/>
    <col min="13831" max="13831" width="12.5703125" bestFit="1" customWidth="1"/>
    <col min="13832" max="13832" width="12.85546875" bestFit="1" customWidth="1"/>
    <col min="13833" max="13833" width="13.85546875" bestFit="1" customWidth="1"/>
    <col min="13834" max="13835" width="12.85546875" bestFit="1" customWidth="1"/>
    <col min="13836" max="13836" width="4.7109375" bestFit="1" customWidth="1"/>
    <col min="13837" max="13838" width="12.85546875" bestFit="1" customWidth="1"/>
    <col min="14082" max="14082" width="4.140625" bestFit="1" customWidth="1"/>
    <col min="14083" max="14083" width="8.42578125" bestFit="1" customWidth="1"/>
    <col min="14084" max="14084" width="11.7109375" bestFit="1" customWidth="1"/>
    <col min="14085" max="14086" width="13.7109375" bestFit="1" customWidth="1"/>
    <col min="14087" max="14087" width="12.5703125" bestFit="1" customWidth="1"/>
    <col min="14088" max="14088" width="12.85546875" bestFit="1" customWidth="1"/>
    <col min="14089" max="14089" width="13.85546875" bestFit="1" customWidth="1"/>
    <col min="14090" max="14091" width="12.85546875" bestFit="1" customWidth="1"/>
    <col min="14092" max="14092" width="4.7109375" bestFit="1" customWidth="1"/>
    <col min="14093" max="14094" width="12.85546875" bestFit="1" customWidth="1"/>
    <col min="14338" max="14338" width="4.140625" bestFit="1" customWidth="1"/>
    <col min="14339" max="14339" width="8.42578125" bestFit="1" customWidth="1"/>
    <col min="14340" max="14340" width="11.7109375" bestFit="1" customWidth="1"/>
    <col min="14341" max="14342" width="13.7109375" bestFit="1" customWidth="1"/>
    <col min="14343" max="14343" width="12.5703125" bestFit="1" customWidth="1"/>
    <col min="14344" max="14344" width="12.85546875" bestFit="1" customWidth="1"/>
    <col min="14345" max="14345" width="13.85546875" bestFit="1" customWidth="1"/>
    <col min="14346" max="14347" width="12.85546875" bestFit="1" customWidth="1"/>
    <col min="14348" max="14348" width="4.7109375" bestFit="1" customWidth="1"/>
    <col min="14349" max="14350" width="12.85546875" bestFit="1" customWidth="1"/>
    <col min="14594" max="14594" width="4.140625" bestFit="1" customWidth="1"/>
    <col min="14595" max="14595" width="8.42578125" bestFit="1" customWidth="1"/>
    <col min="14596" max="14596" width="11.7109375" bestFit="1" customWidth="1"/>
    <col min="14597" max="14598" width="13.7109375" bestFit="1" customWidth="1"/>
    <col min="14599" max="14599" width="12.5703125" bestFit="1" customWidth="1"/>
    <col min="14600" max="14600" width="12.85546875" bestFit="1" customWidth="1"/>
    <col min="14601" max="14601" width="13.85546875" bestFit="1" customWidth="1"/>
    <col min="14602" max="14603" width="12.85546875" bestFit="1" customWidth="1"/>
    <col min="14604" max="14604" width="4.7109375" bestFit="1" customWidth="1"/>
    <col min="14605" max="14606" width="12.85546875" bestFit="1" customWidth="1"/>
    <col min="14850" max="14850" width="4.140625" bestFit="1" customWidth="1"/>
    <col min="14851" max="14851" width="8.42578125" bestFit="1" customWidth="1"/>
    <col min="14852" max="14852" width="11.7109375" bestFit="1" customWidth="1"/>
    <col min="14853" max="14854" width="13.7109375" bestFit="1" customWidth="1"/>
    <col min="14855" max="14855" width="12.5703125" bestFit="1" customWidth="1"/>
    <col min="14856" max="14856" width="12.85546875" bestFit="1" customWidth="1"/>
    <col min="14857" max="14857" width="13.85546875" bestFit="1" customWidth="1"/>
    <col min="14858" max="14859" width="12.85546875" bestFit="1" customWidth="1"/>
    <col min="14860" max="14860" width="4.7109375" bestFit="1" customWidth="1"/>
    <col min="14861" max="14862" width="12.85546875" bestFit="1" customWidth="1"/>
    <col min="15106" max="15106" width="4.140625" bestFit="1" customWidth="1"/>
    <col min="15107" max="15107" width="8.42578125" bestFit="1" customWidth="1"/>
    <col min="15108" max="15108" width="11.7109375" bestFit="1" customWidth="1"/>
    <col min="15109" max="15110" width="13.7109375" bestFit="1" customWidth="1"/>
    <col min="15111" max="15111" width="12.5703125" bestFit="1" customWidth="1"/>
    <col min="15112" max="15112" width="12.85546875" bestFit="1" customWidth="1"/>
    <col min="15113" max="15113" width="13.85546875" bestFit="1" customWidth="1"/>
    <col min="15114" max="15115" width="12.85546875" bestFit="1" customWidth="1"/>
    <col min="15116" max="15116" width="4.7109375" bestFit="1" customWidth="1"/>
    <col min="15117" max="15118" width="12.85546875" bestFit="1" customWidth="1"/>
    <col min="15362" max="15362" width="4.140625" bestFit="1" customWidth="1"/>
    <col min="15363" max="15363" width="8.42578125" bestFit="1" customWidth="1"/>
    <col min="15364" max="15364" width="11.7109375" bestFit="1" customWidth="1"/>
    <col min="15365" max="15366" width="13.7109375" bestFit="1" customWidth="1"/>
    <col min="15367" max="15367" width="12.5703125" bestFit="1" customWidth="1"/>
    <col min="15368" max="15368" width="12.85546875" bestFit="1" customWidth="1"/>
    <col min="15369" max="15369" width="13.85546875" bestFit="1" customWidth="1"/>
    <col min="15370" max="15371" width="12.85546875" bestFit="1" customWidth="1"/>
    <col min="15372" max="15372" width="4.7109375" bestFit="1" customWidth="1"/>
    <col min="15373" max="15374" width="12.85546875" bestFit="1" customWidth="1"/>
    <col min="15618" max="15618" width="4.140625" bestFit="1" customWidth="1"/>
    <col min="15619" max="15619" width="8.42578125" bestFit="1" customWidth="1"/>
    <col min="15620" max="15620" width="11.7109375" bestFit="1" customWidth="1"/>
    <col min="15621" max="15622" width="13.7109375" bestFit="1" customWidth="1"/>
    <col min="15623" max="15623" width="12.5703125" bestFit="1" customWidth="1"/>
    <col min="15624" max="15624" width="12.85546875" bestFit="1" customWidth="1"/>
    <col min="15625" max="15625" width="13.85546875" bestFit="1" customWidth="1"/>
    <col min="15626" max="15627" width="12.85546875" bestFit="1" customWidth="1"/>
    <col min="15628" max="15628" width="4.7109375" bestFit="1" customWidth="1"/>
    <col min="15629" max="15630" width="12.85546875" bestFit="1" customWidth="1"/>
    <col min="15874" max="15874" width="4.140625" bestFit="1" customWidth="1"/>
    <col min="15875" max="15875" width="8.42578125" bestFit="1" customWidth="1"/>
    <col min="15876" max="15876" width="11.7109375" bestFit="1" customWidth="1"/>
    <col min="15877" max="15878" width="13.7109375" bestFit="1" customWidth="1"/>
    <col min="15879" max="15879" width="12.5703125" bestFit="1" customWidth="1"/>
    <col min="15880" max="15880" width="12.85546875" bestFit="1" customWidth="1"/>
    <col min="15881" max="15881" width="13.85546875" bestFit="1" customWidth="1"/>
    <col min="15882" max="15883" width="12.85546875" bestFit="1" customWidth="1"/>
    <col min="15884" max="15884" width="4.7109375" bestFit="1" customWidth="1"/>
    <col min="15885" max="15886" width="12.85546875" bestFit="1" customWidth="1"/>
    <col min="16130" max="16130" width="4.140625" bestFit="1" customWidth="1"/>
    <col min="16131" max="16131" width="8.42578125" bestFit="1" customWidth="1"/>
    <col min="16132" max="16132" width="11.7109375" bestFit="1" customWidth="1"/>
    <col min="16133" max="16134" width="13.7109375" bestFit="1" customWidth="1"/>
    <col min="16135" max="16135" width="12.5703125" bestFit="1" customWidth="1"/>
    <col min="16136" max="16136" width="12.85546875" bestFit="1" customWidth="1"/>
    <col min="16137" max="16137" width="13.85546875" bestFit="1" customWidth="1"/>
    <col min="16138" max="16139" width="12.85546875" bestFit="1" customWidth="1"/>
    <col min="16140" max="16140" width="4.7109375" bestFit="1" customWidth="1"/>
    <col min="16141" max="16142" width="12.85546875" bestFit="1" customWidth="1"/>
  </cols>
  <sheetData>
    <row r="1" spans="1:25">
      <c r="B1" s="64" t="s">
        <v>1222</v>
      </c>
      <c r="P1" s="64" t="str">
        <f>B1</f>
        <v>POSIÇÃO DAS OBRIGAÇÕES REALIZADAS ATÉ AGOSTO DE 2022.</v>
      </c>
      <c r="R1" s="1"/>
      <c r="S1" s="1"/>
      <c r="T1" s="1"/>
      <c r="U1" s="1"/>
      <c r="V1" s="1"/>
      <c r="W1" s="1"/>
      <c r="X1" s="1"/>
    </row>
    <row r="2" spans="1:25" s="67" customFormat="1" ht="11.25">
      <c r="H2" s="895" t="s">
        <v>561</v>
      </c>
      <c r="I2" s="895"/>
      <c r="J2" s="895"/>
      <c r="K2" s="895"/>
      <c r="O2" s="460"/>
      <c r="P2" s="463" t="s">
        <v>659</v>
      </c>
      <c r="Q2" s="461"/>
      <c r="R2" s="426"/>
      <c r="S2" s="426"/>
      <c r="T2" s="426"/>
      <c r="U2" s="462"/>
      <c r="V2" s="464" t="s">
        <v>644</v>
      </c>
      <c r="W2" s="426"/>
      <c r="X2" s="426"/>
      <c r="Y2" s="465"/>
    </row>
    <row r="3" spans="1:25" s="1" customFormat="1" ht="12.75">
      <c r="A3" s="68" t="s">
        <v>125</v>
      </c>
      <c r="B3" s="69" t="s">
        <v>126</v>
      </c>
      <c r="C3" s="70" t="s">
        <v>562</v>
      </c>
      <c r="D3" s="70" t="s">
        <v>583</v>
      </c>
      <c r="E3" s="71" t="s">
        <v>584</v>
      </c>
      <c r="F3" s="70" t="s">
        <v>585</v>
      </c>
      <c r="G3" s="70" t="s">
        <v>586</v>
      </c>
      <c r="H3" s="70" t="s">
        <v>587</v>
      </c>
      <c r="I3" s="70" t="s">
        <v>588</v>
      </c>
      <c r="J3" s="70" t="s">
        <v>589</v>
      </c>
      <c r="K3" s="70" t="s">
        <v>590</v>
      </c>
      <c r="L3" s="70" t="s">
        <v>625</v>
      </c>
      <c r="M3" s="67"/>
      <c r="N3" s="67"/>
      <c r="O3" s="70" t="s">
        <v>562</v>
      </c>
      <c r="P3" s="5" t="s">
        <v>641</v>
      </c>
      <c r="Q3" s="70" t="s">
        <v>583</v>
      </c>
      <c r="R3" s="71" t="s">
        <v>584</v>
      </c>
      <c r="S3" s="70" t="s">
        <v>585</v>
      </c>
      <c r="T3" s="70" t="s">
        <v>586</v>
      </c>
      <c r="U3" s="70" t="s">
        <v>643</v>
      </c>
      <c r="V3" s="70" t="s">
        <v>583</v>
      </c>
      <c r="W3" s="71" t="s">
        <v>584</v>
      </c>
      <c r="X3" s="70" t="s">
        <v>585</v>
      </c>
      <c r="Y3" s="70" t="s">
        <v>586</v>
      </c>
    </row>
    <row r="4" spans="1:25" s="1" customFormat="1" ht="11.25">
      <c r="A4" s="68">
        <v>1</v>
      </c>
      <c r="B4" s="72" t="s">
        <v>129</v>
      </c>
      <c r="C4" s="280">
        <f>Cruz!I11</f>
        <v>4400713.0599999996</v>
      </c>
      <c r="D4" s="280">
        <v>3337638.32</v>
      </c>
      <c r="E4" s="74">
        <f>Cruz!G11</f>
        <v>3268236.68</v>
      </c>
      <c r="F4" s="75">
        <v>3214462.02</v>
      </c>
      <c r="G4" s="18">
        <f>E4-F4</f>
        <v>53774.660000000149</v>
      </c>
      <c r="H4" s="13">
        <f>2422.58</f>
        <v>2422.58</v>
      </c>
      <c r="I4" s="13">
        <v>2422.58</v>
      </c>
      <c r="J4" s="13"/>
      <c r="K4" s="13">
        <v>2422.58</v>
      </c>
      <c r="L4" s="13">
        <f>I4-K4</f>
        <v>0</v>
      </c>
      <c r="M4" s="352">
        <f>I4-(K4+L4)</f>
        <v>0</v>
      </c>
      <c r="N4" s="352"/>
      <c r="O4" s="51">
        <v>4038528.52</v>
      </c>
      <c r="P4" s="51">
        <v>4028528.52</v>
      </c>
      <c r="Q4" s="13">
        <v>2608294.06</v>
      </c>
      <c r="R4" s="13">
        <v>2470951.9900000002</v>
      </c>
      <c r="S4" s="13">
        <v>2438083.19</v>
      </c>
      <c r="T4" s="13">
        <f>R4-S4</f>
        <v>32868.800000000279</v>
      </c>
      <c r="U4" s="18">
        <f>Q4-R4</f>
        <v>137342.06999999983</v>
      </c>
      <c r="V4" s="18">
        <f>D4-Q4</f>
        <v>729344.25999999978</v>
      </c>
      <c r="W4" s="18">
        <f t="shared" ref="W4:X18" si="0">E4-R4</f>
        <v>797284.69</v>
      </c>
      <c r="X4" s="18">
        <f>F4-S4</f>
        <v>776378.83000000007</v>
      </c>
      <c r="Y4" s="13">
        <f>W4-X4</f>
        <v>20905.85999999987</v>
      </c>
    </row>
    <row r="5" spans="1:25" s="1" customFormat="1" ht="11.25">
      <c r="A5" s="68">
        <v>2</v>
      </c>
      <c r="B5" s="72" t="s">
        <v>130</v>
      </c>
      <c r="C5" s="280">
        <f>Cruz!I12</f>
        <v>2793240.62</v>
      </c>
      <c r="D5" s="280">
        <v>2303326.8199999998</v>
      </c>
      <c r="E5" s="74">
        <f>Cruz!G12</f>
        <v>2264138.39</v>
      </c>
      <c r="F5" s="75">
        <v>2151106.2999999998</v>
      </c>
      <c r="G5" s="18">
        <f t="shared" ref="G5:G17" si="1">E5-F5</f>
        <v>113032.09000000032</v>
      </c>
      <c r="H5" s="13">
        <f>357675.77</f>
        <v>357675.77</v>
      </c>
      <c r="I5" s="13">
        <f>357675.77</f>
        <v>357675.77</v>
      </c>
      <c r="J5" s="13"/>
      <c r="K5" s="13">
        <v>72846.47</v>
      </c>
      <c r="L5" s="13">
        <f>I5-K5</f>
        <v>284829.30000000005</v>
      </c>
      <c r="M5" s="352">
        <f>I5-(K5+L5)</f>
        <v>0</v>
      </c>
      <c r="N5" s="352">
        <f>284829.3-L5</f>
        <v>0</v>
      </c>
      <c r="O5" s="51">
        <v>2154661.41</v>
      </c>
      <c r="P5" s="51">
        <v>2368358.71</v>
      </c>
      <c r="Q5" s="13">
        <v>1576887.94</v>
      </c>
      <c r="R5" s="13">
        <v>1541874.54</v>
      </c>
      <c r="S5" s="13">
        <v>1510155.38</v>
      </c>
      <c r="T5" s="13">
        <f t="shared" ref="T5:T18" si="2">R5-S5</f>
        <v>31719.160000000149</v>
      </c>
      <c r="U5" s="18">
        <f t="shared" ref="U5:U18" si="3">Q5-R5</f>
        <v>35013.399999999907</v>
      </c>
      <c r="V5" s="18">
        <f>D5-Q5</f>
        <v>726438.87999999989</v>
      </c>
      <c r="W5" s="18">
        <f t="shared" si="0"/>
        <v>722263.85000000009</v>
      </c>
      <c r="X5" s="18">
        <f t="shared" si="0"/>
        <v>640950.91999999993</v>
      </c>
      <c r="Y5" s="13">
        <f t="shared" ref="Y5:Y18" si="4">W5-X5</f>
        <v>81312.930000000168</v>
      </c>
    </row>
    <row r="6" spans="1:25" s="1" customFormat="1" ht="11.25">
      <c r="A6" s="68">
        <v>3</v>
      </c>
      <c r="B6" s="72" t="s">
        <v>131</v>
      </c>
      <c r="C6" s="280">
        <f>Cruz!I13</f>
        <v>2630756.4</v>
      </c>
      <c r="D6" s="280">
        <v>1454068.58</v>
      </c>
      <c r="E6" s="74">
        <f>Cruz!G13</f>
        <v>1405406.3600000003</v>
      </c>
      <c r="F6" s="75">
        <v>1150187.6399999999</v>
      </c>
      <c r="G6" s="18">
        <f t="shared" si="1"/>
        <v>255218.72000000044</v>
      </c>
      <c r="H6" s="13">
        <f>264666.67</f>
        <v>264666.67</v>
      </c>
      <c r="I6" s="13">
        <f>230219.8</f>
        <v>230219.8</v>
      </c>
      <c r="J6" s="13"/>
      <c r="K6" s="13">
        <v>65981.62</v>
      </c>
      <c r="L6" s="13">
        <f>I6-K6</f>
        <v>164238.18</v>
      </c>
      <c r="M6" s="352">
        <f t="shared" ref="M6:M19" si="5">I6-(K6+L6)</f>
        <v>0</v>
      </c>
      <c r="N6" s="352">
        <f>164238.18-L6</f>
        <v>0</v>
      </c>
      <c r="O6" s="51">
        <v>1109144.55</v>
      </c>
      <c r="P6" s="51">
        <v>2360716.52</v>
      </c>
      <c r="Q6" s="13">
        <v>1056646.1399999999</v>
      </c>
      <c r="R6" s="13">
        <v>1013575.55</v>
      </c>
      <c r="S6" s="13">
        <v>945971.25</v>
      </c>
      <c r="T6" s="13">
        <f t="shared" si="2"/>
        <v>67604.300000000047</v>
      </c>
      <c r="U6" s="18">
        <f t="shared" si="3"/>
        <v>43070.589999999851</v>
      </c>
      <c r="V6" s="18">
        <f>D6-Q6</f>
        <v>397422.44000000018</v>
      </c>
      <c r="W6" s="18">
        <f t="shared" si="0"/>
        <v>391830.81000000029</v>
      </c>
      <c r="X6" s="18">
        <f t="shared" si="0"/>
        <v>204216.3899999999</v>
      </c>
      <c r="Y6" s="13">
        <f t="shared" si="4"/>
        <v>187614.42000000039</v>
      </c>
    </row>
    <row r="7" spans="1:25" s="1" customFormat="1" ht="11.25">
      <c r="A7" s="68">
        <v>4</v>
      </c>
      <c r="B7" s="72" t="s">
        <v>132</v>
      </c>
      <c r="C7" s="280">
        <f>Cruz!I14</f>
        <v>2553924.1</v>
      </c>
      <c r="D7" s="280">
        <v>1876945.36</v>
      </c>
      <c r="E7" s="74">
        <f>Cruz!G14</f>
        <v>1848479.5399999998</v>
      </c>
      <c r="F7" s="75">
        <v>1725847.96</v>
      </c>
      <c r="G7" s="18">
        <f t="shared" si="1"/>
        <v>122631.57999999984</v>
      </c>
      <c r="H7" s="13">
        <f>446850.73</f>
        <v>446850.73</v>
      </c>
      <c r="I7" s="13">
        <f>446850.73</f>
        <v>446850.73</v>
      </c>
      <c r="J7" s="13"/>
      <c r="K7" s="13">
        <f>84472.29</f>
        <v>84472.29</v>
      </c>
      <c r="L7" s="13">
        <f t="shared" ref="L7:L14" si="6">I7-K7</f>
        <v>362378.44</v>
      </c>
      <c r="M7" s="352">
        <f t="shared" si="5"/>
        <v>0</v>
      </c>
      <c r="N7" s="352">
        <f>362378.44-L7</f>
        <v>0</v>
      </c>
      <c r="O7" s="51">
        <v>1659144.37</v>
      </c>
      <c r="P7" s="51">
        <v>1809144.37</v>
      </c>
      <c r="Q7" s="13">
        <v>1128300.42</v>
      </c>
      <c r="R7" s="13">
        <v>1089398.1100000001</v>
      </c>
      <c r="S7" s="13">
        <v>1071330.31</v>
      </c>
      <c r="T7" s="13">
        <f t="shared" si="2"/>
        <v>18067.800000000047</v>
      </c>
      <c r="U7" s="18">
        <f t="shared" si="3"/>
        <v>38902.309999999823</v>
      </c>
      <c r="V7" s="18">
        <f t="shared" ref="V7:V18" si="7">D7-Q7</f>
        <v>748644.94000000018</v>
      </c>
      <c r="W7" s="18">
        <f t="shared" si="0"/>
        <v>759081.4299999997</v>
      </c>
      <c r="X7" s="18">
        <f t="shared" si="0"/>
        <v>654517.64999999991</v>
      </c>
      <c r="Y7" s="13">
        <f t="shared" si="4"/>
        <v>104563.7799999998</v>
      </c>
    </row>
    <row r="8" spans="1:25" s="1" customFormat="1" ht="11.25">
      <c r="A8" s="68">
        <v>5</v>
      </c>
      <c r="B8" s="72" t="s">
        <v>133</v>
      </c>
      <c r="C8" s="280">
        <f>Cruz!I15</f>
        <v>10635242.4</v>
      </c>
      <c r="D8" s="280">
        <v>9587518.0500000007</v>
      </c>
      <c r="E8" s="74">
        <f>Cruz!G15</f>
        <v>9534334.8699999992</v>
      </c>
      <c r="F8" s="75">
        <v>7913133.4400000004</v>
      </c>
      <c r="G8" s="18">
        <f t="shared" si="1"/>
        <v>1621201.4299999988</v>
      </c>
      <c r="H8" s="13">
        <f>5533668.74</f>
        <v>5533668.7400000002</v>
      </c>
      <c r="I8" s="13">
        <f>5520168.74</f>
        <v>5520168.7400000002</v>
      </c>
      <c r="J8" s="13"/>
      <c r="K8" s="13">
        <v>733770.94</v>
      </c>
      <c r="L8" s="13">
        <f>I8-K8</f>
        <v>4786397.8000000007</v>
      </c>
      <c r="M8" s="352">
        <f t="shared" si="5"/>
        <v>0</v>
      </c>
      <c r="N8" s="352">
        <f>4786397.8-L8</f>
        <v>0</v>
      </c>
      <c r="O8" s="51">
        <v>1734005.56</v>
      </c>
      <c r="P8" s="51">
        <v>1834495.56</v>
      </c>
      <c r="Q8" s="13">
        <v>1247562.32</v>
      </c>
      <c r="R8" s="13">
        <v>1173883.56</v>
      </c>
      <c r="S8" s="13">
        <v>1145584.74</v>
      </c>
      <c r="T8" s="13">
        <f t="shared" si="2"/>
        <v>28298.820000000065</v>
      </c>
      <c r="U8" s="18">
        <f t="shared" si="3"/>
        <v>73678.760000000009</v>
      </c>
      <c r="V8" s="18">
        <f t="shared" si="7"/>
        <v>8339955.7300000004</v>
      </c>
      <c r="W8" s="18">
        <f t="shared" si="0"/>
        <v>8360451.3099999987</v>
      </c>
      <c r="X8" s="18">
        <f t="shared" si="0"/>
        <v>6767548.7000000002</v>
      </c>
      <c r="Y8" s="13">
        <f t="shared" si="4"/>
        <v>1592902.6099999985</v>
      </c>
    </row>
    <row r="9" spans="1:25" s="1" customFormat="1" ht="11.25">
      <c r="A9" s="68">
        <v>6</v>
      </c>
      <c r="B9" s="72" t="s">
        <v>134</v>
      </c>
      <c r="C9" s="280">
        <f>Cruz!I16</f>
        <v>3832758.99</v>
      </c>
      <c r="D9" s="280">
        <v>3221071.15</v>
      </c>
      <c r="E9" s="74">
        <f>Cruz!G16</f>
        <v>3109678.17</v>
      </c>
      <c r="F9" s="75">
        <v>2857795.91</v>
      </c>
      <c r="G9" s="18">
        <f t="shared" si="1"/>
        <v>251882.25999999978</v>
      </c>
      <c r="H9" s="13">
        <f>1059173.79</f>
        <v>1059173.79</v>
      </c>
      <c r="I9" s="13">
        <f>1059173.79</f>
        <v>1059173.79</v>
      </c>
      <c r="J9" s="13"/>
      <c r="K9" s="13">
        <v>254839.66</v>
      </c>
      <c r="L9" s="13">
        <f t="shared" si="6"/>
        <v>804334.13</v>
      </c>
      <c r="M9" s="352">
        <f t="shared" si="5"/>
        <v>0</v>
      </c>
      <c r="N9" s="352">
        <f>804334.13-L9</f>
        <v>0</v>
      </c>
      <c r="O9" s="51">
        <v>2632683.64</v>
      </c>
      <c r="P9" s="51">
        <v>2802282.64</v>
      </c>
      <c r="Q9" s="13">
        <v>2091839.29</v>
      </c>
      <c r="R9" s="13">
        <v>1993840.3</v>
      </c>
      <c r="S9" s="13">
        <v>1776916.43</v>
      </c>
      <c r="T9" s="13">
        <f t="shared" si="2"/>
        <v>216923.87000000011</v>
      </c>
      <c r="U9" s="18">
        <f t="shared" si="3"/>
        <v>97998.989999999991</v>
      </c>
      <c r="V9" s="18">
        <f t="shared" si="7"/>
        <v>1129231.8599999999</v>
      </c>
      <c r="W9" s="18">
        <f t="shared" si="0"/>
        <v>1115837.8699999999</v>
      </c>
      <c r="X9" s="18">
        <f t="shared" si="0"/>
        <v>1080879.4800000002</v>
      </c>
      <c r="Y9" s="13">
        <f t="shared" si="4"/>
        <v>34958.389999999665</v>
      </c>
    </row>
    <row r="10" spans="1:25" s="1" customFormat="1" ht="11.25">
      <c r="A10" s="68">
        <v>7</v>
      </c>
      <c r="B10" s="72" t="s">
        <v>135</v>
      </c>
      <c r="C10" s="280">
        <f>Cruz!I17</f>
        <v>1690162.27</v>
      </c>
      <c r="D10" s="280">
        <v>947274.28</v>
      </c>
      <c r="E10" s="74">
        <f>Cruz!G17</f>
        <v>835172.18</v>
      </c>
      <c r="F10" s="75">
        <v>793007.46</v>
      </c>
      <c r="G10" s="18">
        <f t="shared" si="1"/>
        <v>42164.720000000088</v>
      </c>
      <c r="H10" s="13">
        <f>230723.23</f>
        <v>230723.23</v>
      </c>
      <c r="I10" s="13">
        <v>230723.23</v>
      </c>
      <c r="J10" s="13"/>
      <c r="K10" s="13">
        <f>86299.44</f>
        <v>86299.44</v>
      </c>
      <c r="L10" s="13">
        <f t="shared" si="6"/>
        <v>144423.79</v>
      </c>
      <c r="M10" s="352">
        <f t="shared" si="5"/>
        <v>0</v>
      </c>
      <c r="N10" s="352">
        <f>144423.79-L10</f>
        <v>0</v>
      </c>
      <c r="O10" s="51">
        <v>1306791.76</v>
      </c>
      <c r="P10" s="51">
        <v>1537938.27</v>
      </c>
      <c r="Q10" s="13">
        <v>650788.65</v>
      </c>
      <c r="R10" s="13">
        <v>571190.21</v>
      </c>
      <c r="S10" s="13">
        <v>551894.48</v>
      </c>
      <c r="T10" s="13">
        <f t="shared" si="2"/>
        <v>19295.729999999981</v>
      </c>
      <c r="U10" s="18">
        <f t="shared" si="3"/>
        <v>79598.440000000061</v>
      </c>
      <c r="V10" s="18">
        <f t="shared" si="7"/>
        <v>296485.63</v>
      </c>
      <c r="W10" s="18">
        <f t="shared" si="0"/>
        <v>263981.97000000009</v>
      </c>
      <c r="X10" s="18">
        <f t="shared" si="0"/>
        <v>241112.97999999998</v>
      </c>
      <c r="Y10" s="13">
        <f t="shared" si="4"/>
        <v>22868.990000000107</v>
      </c>
    </row>
    <row r="11" spans="1:25" s="1" customFormat="1" ht="11.25">
      <c r="A11" s="68">
        <v>8</v>
      </c>
      <c r="B11" s="72" t="s">
        <v>136</v>
      </c>
      <c r="C11" s="280">
        <f>Cruz!I18</f>
        <v>22316305.609999999</v>
      </c>
      <c r="D11" s="280">
        <v>16534154.4</v>
      </c>
      <c r="E11" s="74">
        <f>Cruz!G18</f>
        <v>11599025.219999999</v>
      </c>
      <c r="F11" s="75">
        <v>9294084.5199999996</v>
      </c>
      <c r="G11" s="18">
        <f t="shared" si="1"/>
        <v>2304940.6999999993</v>
      </c>
      <c r="H11" s="13">
        <f>4821602.64</f>
        <v>4821602.6399999997</v>
      </c>
      <c r="I11" s="379">
        <v>3657664.85</v>
      </c>
      <c r="J11" s="13">
        <f>163.93</f>
        <v>163.93</v>
      </c>
      <c r="K11" s="421">
        <v>1384267.51</v>
      </c>
      <c r="L11" s="13">
        <f>I11-K11</f>
        <v>2273397.34</v>
      </c>
      <c r="M11" s="352">
        <f t="shared" si="5"/>
        <v>0</v>
      </c>
      <c r="N11" s="352">
        <f>2273397.34-L11</f>
        <v>0</v>
      </c>
      <c r="O11" s="51">
        <v>19652574.84</v>
      </c>
      <c r="P11" s="51">
        <v>19504921.5</v>
      </c>
      <c r="Q11" s="13">
        <v>13240899.83</v>
      </c>
      <c r="R11" s="13">
        <v>6607777.2599999998</v>
      </c>
      <c r="S11" s="13">
        <v>6321781.4900000002</v>
      </c>
      <c r="T11" s="13">
        <f t="shared" si="2"/>
        <v>285995.76999999955</v>
      </c>
      <c r="U11" s="18">
        <f t="shared" si="3"/>
        <v>6633122.5700000003</v>
      </c>
      <c r="V11" s="18">
        <f t="shared" si="7"/>
        <v>3293254.5700000003</v>
      </c>
      <c r="W11" s="18">
        <f t="shared" si="0"/>
        <v>4991247.959999999</v>
      </c>
      <c r="X11" s="18">
        <f t="shared" si="0"/>
        <v>2972303.0299999993</v>
      </c>
      <c r="Y11" s="13">
        <f t="shared" si="4"/>
        <v>2018944.9299999997</v>
      </c>
    </row>
    <row r="12" spans="1:25" s="1" customFormat="1" ht="11.25">
      <c r="A12" s="68">
        <v>9</v>
      </c>
      <c r="B12" s="72" t="s">
        <v>137</v>
      </c>
      <c r="C12" s="280">
        <f>Cruz!I19</f>
        <v>50741510.670000002</v>
      </c>
      <c r="D12" s="280">
        <v>42505942.100000001</v>
      </c>
      <c r="E12" s="74">
        <f>Cruz!G19</f>
        <v>41844974.100000009</v>
      </c>
      <c r="F12" s="75">
        <v>38927755.479999997</v>
      </c>
      <c r="G12" s="18">
        <f t="shared" si="1"/>
        <v>2917218.6200000122</v>
      </c>
      <c r="H12" s="13">
        <f>7281022.38</f>
        <v>7281022.3799999999</v>
      </c>
      <c r="I12" s="658">
        <v>6447322.6100000003</v>
      </c>
      <c r="J12" s="13">
        <f>22615.68</f>
        <v>22615.68</v>
      </c>
      <c r="K12" s="421">
        <v>2726040.49</v>
      </c>
      <c r="L12" s="13">
        <f>I12-K12</f>
        <v>3721282.12</v>
      </c>
      <c r="M12" s="352">
        <f t="shared" si="5"/>
        <v>0</v>
      </c>
      <c r="N12" s="352">
        <f>3721282.12-L12</f>
        <v>0</v>
      </c>
      <c r="O12" s="51">
        <v>35134639.18</v>
      </c>
      <c r="P12" s="51">
        <v>36694952.289999999</v>
      </c>
      <c r="Q12" s="13">
        <v>24757314.02</v>
      </c>
      <c r="R12" s="13">
        <v>24181656.600000001</v>
      </c>
      <c r="S12" s="13">
        <v>23209544.09</v>
      </c>
      <c r="T12" s="13">
        <f t="shared" si="2"/>
        <v>972112.51000000164</v>
      </c>
      <c r="U12" s="18">
        <f t="shared" si="3"/>
        <v>575657.41999999806</v>
      </c>
      <c r="V12" s="18">
        <f t="shared" si="7"/>
        <v>17748628.080000002</v>
      </c>
      <c r="W12" s="18">
        <f t="shared" si="0"/>
        <v>17663317.500000007</v>
      </c>
      <c r="X12" s="18">
        <f t="shared" si="0"/>
        <v>15718211.389999997</v>
      </c>
      <c r="Y12" s="13">
        <f t="shared" si="4"/>
        <v>1945106.1100000106</v>
      </c>
    </row>
    <row r="13" spans="1:25" s="1" customFormat="1" ht="11.25">
      <c r="A13" s="68">
        <v>10</v>
      </c>
      <c r="B13" s="72" t="s">
        <v>138</v>
      </c>
      <c r="C13" s="280">
        <f>Cruz!I20</f>
        <v>32862065.789999999</v>
      </c>
      <c r="D13" s="280">
        <v>27949773.68</v>
      </c>
      <c r="E13" s="74">
        <f>Cruz!G20</f>
        <v>26927231.460000001</v>
      </c>
      <c r="F13" s="75">
        <v>25371548.609999999</v>
      </c>
      <c r="G13" s="18">
        <f t="shared" si="1"/>
        <v>1555682.8500000015</v>
      </c>
      <c r="H13" s="13">
        <f>6685202.81</f>
        <v>6685202.8099999996</v>
      </c>
      <c r="I13" s="16">
        <v>6663080.7999999998</v>
      </c>
      <c r="J13" s="379">
        <v>2975.25</v>
      </c>
      <c r="K13" s="421">
        <v>2047781.88</v>
      </c>
      <c r="L13" s="13">
        <f t="shared" si="6"/>
        <v>4615298.92</v>
      </c>
      <c r="M13" s="352">
        <f t="shared" si="5"/>
        <v>0</v>
      </c>
      <c r="N13" s="352">
        <f>4615298.92-L13</f>
        <v>0</v>
      </c>
      <c r="O13" s="51">
        <v>23931166.809999999</v>
      </c>
      <c r="P13" s="51">
        <v>26279447.039999999</v>
      </c>
      <c r="Q13" s="13">
        <v>19358941.93</v>
      </c>
      <c r="R13" s="13">
        <v>18021663.030000001</v>
      </c>
      <c r="S13" s="13">
        <v>17441103.969999999</v>
      </c>
      <c r="T13" s="13">
        <f t="shared" si="2"/>
        <v>580559.06000000238</v>
      </c>
      <c r="U13" s="18">
        <f t="shared" si="3"/>
        <v>1337278.8999999985</v>
      </c>
      <c r="V13" s="18">
        <f t="shared" si="7"/>
        <v>8590831.75</v>
      </c>
      <c r="W13" s="18">
        <f t="shared" si="0"/>
        <v>8905568.4299999997</v>
      </c>
      <c r="X13" s="18">
        <f t="shared" si="0"/>
        <v>7930444.6400000006</v>
      </c>
      <c r="Y13" s="13">
        <f t="shared" si="4"/>
        <v>975123.78999999911</v>
      </c>
    </row>
    <row r="14" spans="1:25" s="1" customFormat="1" ht="11.25">
      <c r="A14" s="68">
        <v>11</v>
      </c>
      <c r="B14" s="72" t="s">
        <v>139</v>
      </c>
      <c r="C14" s="280">
        <f>Cruz!I21</f>
        <v>4917169.8899999997</v>
      </c>
      <c r="D14" s="280">
        <v>3892373.54</v>
      </c>
      <c r="E14" s="74">
        <f>Cruz!G21</f>
        <v>3559810.89</v>
      </c>
      <c r="F14" s="75">
        <v>3318300.51</v>
      </c>
      <c r="G14" s="18">
        <f t="shared" si="1"/>
        <v>241510.38000000035</v>
      </c>
      <c r="H14" s="13">
        <f>902825.86</f>
        <v>902825.86</v>
      </c>
      <c r="I14" s="13">
        <v>902141.83</v>
      </c>
      <c r="J14" s="13"/>
      <c r="K14" s="13">
        <v>193943.89</v>
      </c>
      <c r="L14" s="13">
        <f t="shared" si="6"/>
        <v>708197.94</v>
      </c>
      <c r="M14" s="352">
        <f t="shared" si="5"/>
        <v>0</v>
      </c>
      <c r="N14" s="352">
        <f>708197.94-L14</f>
        <v>0</v>
      </c>
      <c r="O14" s="51">
        <v>4133525.81</v>
      </c>
      <c r="P14" s="51">
        <v>4213632.7</v>
      </c>
      <c r="Q14" s="13">
        <v>2686625.22</v>
      </c>
      <c r="R14" s="13">
        <v>2372040.67</v>
      </c>
      <c r="S14" s="13">
        <v>2310768.7400000002</v>
      </c>
      <c r="T14" s="13">
        <f t="shared" si="2"/>
        <v>61271.929999999702</v>
      </c>
      <c r="U14" s="18">
        <f t="shared" si="3"/>
        <v>314584.55000000028</v>
      </c>
      <c r="V14" s="18">
        <f t="shared" si="7"/>
        <v>1205748.3199999998</v>
      </c>
      <c r="W14" s="18">
        <f t="shared" si="0"/>
        <v>1187770.2200000002</v>
      </c>
      <c r="X14" s="18">
        <f t="shared" si="0"/>
        <v>1007531.7699999996</v>
      </c>
      <c r="Y14" s="13">
        <f t="shared" si="4"/>
        <v>180238.45000000065</v>
      </c>
    </row>
    <row r="15" spans="1:25" s="1" customFormat="1" ht="11.25">
      <c r="A15" s="68">
        <v>12</v>
      </c>
      <c r="B15" s="72" t="s">
        <v>140</v>
      </c>
      <c r="C15" s="280">
        <f>Cruz!I22</f>
        <v>2809358.24</v>
      </c>
      <c r="D15" s="280">
        <v>2028129.47</v>
      </c>
      <c r="E15" s="74">
        <f>Cruz!G22</f>
        <v>1810650.1</v>
      </c>
      <c r="F15" s="75">
        <v>1513192.73</v>
      </c>
      <c r="G15" s="18">
        <f t="shared" si="1"/>
        <v>297457.37000000011</v>
      </c>
      <c r="H15" s="13">
        <f>556940.07</f>
        <v>556940.06999999995</v>
      </c>
      <c r="I15" s="13">
        <v>556165.56999999995</v>
      </c>
      <c r="J15" s="13"/>
      <c r="K15" s="13">
        <v>152157.43</v>
      </c>
      <c r="L15" s="13">
        <f>I15-K15</f>
        <v>404008.13999999996</v>
      </c>
      <c r="M15" s="352">
        <f t="shared" si="5"/>
        <v>0</v>
      </c>
      <c r="N15" s="352">
        <f>404008.14-L15</f>
        <v>0</v>
      </c>
      <c r="O15" s="51">
        <v>1963731</v>
      </c>
      <c r="P15" s="51">
        <v>2497256</v>
      </c>
      <c r="Q15" s="13">
        <v>1487529.69</v>
      </c>
      <c r="R15" s="13">
        <v>1056467.3999999999</v>
      </c>
      <c r="S15" s="13">
        <v>998520.67</v>
      </c>
      <c r="T15" s="13">
        <f t="shared" si="2"/>
        <v>57946.729999999865</v>
      </c>
      <c r="U15" s="18">
        <f t="shared" si="3"/>
        <v>431062.29000000004</v>
      </c>
      <c r="V15" s="18">
        <f t="shared" si="7"/>
        <v>540599.78</v>
      </c>
      <c r="W15" s="18">
        <f>E15-R15</f>
        <v>754182.70000000019</v>
      </c>
      <c r="X15" s="18">
        <f t="shared" si="0"/>
        <v>514672.05999999994</v>
      </c>
      <c r="Y15" s="13">
        <f t="shared" si="4"/>
        <v>239510.64000000025</v>
      </c>
    </row>
    <row r="16" spans="1:25" s="1" customFormat="1" ht="11.25">
      <c r="A16" s="68">
        <v>13</v>
      </c>
      <c r="B16" s="72" t="s">
        <v>141</v>
      </c>
      <c r="C16" s="280">
        <f>Cruz!I23</f>
        <v>3220103.51</v>
      </c>
      <c r="D16" s="280">
        <v>2931750.35</v>
      </c>
      <c r="E16" s="74">
        <f>Cruz!G23</f>
        <v>2740657.9099999997</v>
      </c>
      <c r="F16" s="75">
        <v>2695148.75</v>
      </c>
      <c r="G16" s="18">
        <f t="shared" si="1"/>
        <v>45509.159999999683</v>
      </c>
      <c r="H16" s="13">
        <f>258186.02</f>
        <v>258186.02</v>
      </c>
      <c r="I16" s="13">
        <f>257216.5</f>
        <v>257216.5</v>
      </c>
      <c r="J16" s="13"/>
      <c r="K16" s="13">
        <v>46908.18</v>
      </c>
      <c r="L16" s="379">
        <f>I16-K16</f>
        <v>210308.32</v>
      </c>
      <c r="M16" s="352">
        <f t="shared" si="5"/>
        <v>0</v>
      </c>
      <c r="N16" s="352">
        <f>210308.32-L16</f>
        <v>0</v>
      </c>
      <c r="O16" s="51">
        <v>2948144.89</v>
      </c>
      <c r="P16" s="51">
        <v>2924044.89</v>
      </c>
      <c r="Q16" s="13">
        <v>2387644.17</v>
      </c>
      <c r="R16" s="315">
        <v>1941705.61</v>
      </c>
      <c r="S16" s="13">
        <v>1918161.77</v>
      </c>
      <c r="T16" s="13">
        <f t="shared" si="2"/>
        <v>23543.840000000084</v>
      </c>
      <c r="U16" s="18">
        <f t="shared" si="3"/>
        <v>445938.55999999982</v>
      </c>
      <c r="V16" s="18">
        <f t="shared" si="7"/>
        <v>544106.18000000017</v>
      </c>
      <c r="W16" s="18">
        <f t="shared" si="0"/>
        <v>798952.29999999958</v>
      </c>
      <c r="X16" s="18">
        <f t="shared" si="0"/>
        <v>776986.98</v>
      </c>
      <c r="Y16" s="13">
        <f t="shared" si="4"/>
        <v>21965.3199999996</v>
      </c>
    </row>
    <row r="17" spans="1:25" s="1" customFormat="1" ht="11.25">
      <c r="A17" s="68">
        <v>15</v>
      </c>
      <c r="B17" s="72" t="s">
        <v>142</v>
      </c>
      <c r="C17" s="73">
        <f>Cruz!I25</f>
        <v>41552033.469999999</v>
      </c>
      <c r="D17" s="73">
        <v>24512176.329999998</v>
      </c>
      <c r="E17" s="74">
        <f>Cruz!G25</f>
        <v>24499566.550000001</v>
      </c>
      <c r="F17" s="75">
        <v>24489236.100000001</v>
      </c>
      <c r="G17" s="18">
        <f t="shared" si="1"/>
        <v>10330.449999999255</v>
      </c>
      <c r="H17" s="13">
        <f>44620.01</f>
        <v>44620.01</v>
      </c>
      <c r="I17" s="13">
        <v>44620.01</v>
      </c>
      <c r="J17" s="13"/>
      <c r="K17" s="13">
        <v>10896.22</v>
      </c>
      <c r="L17" s="13">
        <f>I17-K17</f>
        <v>33723.79</v>
      </c>
      <c r="M17" s="352">
        <f t="shared" si="5"/>
        <v>0</v>
      </c>
      <c r="N17" s="352">
        <f>33723.79-L17</f>
        <v>0</v>
      </c>
      <c r="O17" s="51">
        <v>41552033.469999999</v>
      </c>
      <c r="P17" s="51">
        <v>41552033.469999999</v>
      </c>
      <c r="Q17" s="13">
        <v>19501213.27</v>
      </c>
      <c r="R17" s="13">
        <v>19481859.710000001</v>
      </c>
      <c r="S17" s="13">
        <v>19471937.829999998</v>
      </c>
      <c r="T17" s="13">
        <f t="shared" si="2"/>
        <v>9921.8800000026822</v>
      </c>
      <c r="U17" s="18">
        <f t="shared" si="3"/>
        <v>19353.559999998659</v>
      </c>
      <c r="V17" s="18">
        <f t="shared" si="7"/>
        <v>5010963.0599999987</v>
      </c>
      <c r="W17" s="18">
        <f t="shared" si="0"/>
        <v>5017706.84</v>
      </c>
      <c r="X17" s="18">
        <f t="shared" si="0"/>
        <v>5017298.2700000033</v>
      </c>
      <c r="Y17" s="13">
        <f t="shared" si="4"/>
        <v>408.56999999657273</v>
      </c>
    </row>
    <row r="18" spans="1:25" s="1" customFormat="1" ht="11.25">
      <c r="A18" s="68">
        <v>16</v>
      </c>
      <c r="B18" s="72" t="s">
        <v>143</v>
      </c>
      <c r="C18" s="73">
        <f>Cruz!I26</f>
        <v>4355722.74</v>
      </c>
      <c r="D18" s="73">
        <v>3435548.69</v>
      </c>
      <c r="E18" s="74">
        <f>Cruz!G26</f>
        <v>2753559.47</v>
      </c>
      <c r="F18" s="75">
        <v>2753559.47</v>
      </c>
      <c r="G18" s="18">
        <f>E18-F18</f>
        <v>0</v>
      </c>
      <c r="H18" s="13">
        <f>36283.16</f>
        <v>36283.160000000003</v>
      </c>
      <c r="I18" s="13">
        <v>36283.160000000003</v>
      </c>
      <c r="J18" s="13"/>
      <c r="K18" s="13">
        <f>36283.16</f>
        <v>36283.160000000003</v>
      </c>
      <c r="L18" s="13">
        <f>I18-K18</f>
        <v>0</v>
      </c>
      <c r="M18" s="352">
        <f t="shared" si="5"/>
        <v>0</v>
      </c>
      <c r="N18" s="352"/>
      <c r="O18" s="51">
        <v>4343603.46</v>
      </c>
      <c r="P18" s="51">
        <v>4343603.46</v>
      </c>
      <c r="Q18" s="13">
        <v>2490770.5299999998</v>
      </c>
      <c r="R18" s="13">
        <v>1897489.04</v>
      </c>
      <c r="S18" s="13">
        <v>1857330.8</v>
      </c>
      <c r="T18" s="13">
        <f t="shared" si="2"/>
        <v>40158.239999999991</v>
      </c>
      <c r="U18" s="18">
        <f t="shared" si="3"/>
        <v>593281.48999999976</v>
      </c>
      <c r="V18" s="18">
        <f t="shared" si="7"/>
        <v>944778.16000000015</v>
      </c>
      <c r="W18" s="18">
        <f t="shared" si="0"/>
        <v>856070.43000000017</v>
      </c>
      <c r="X18" s="18">
        <f t="shared" si="0"/>
        <v>896228.67000000016</v>
      </c>
      <c r="Y18" s="13">
        <f t="shared" si="4"/>
        <v>-40158.239999999991</v>
      </c>
    </row>
    <row r="19" spans="1:25" s="1" customFormat="1" ht="11.25">
      <c r="C19" s="366">
        <f t="shared" ref="C19:G19" si="8">SUM(C4:C18)</f>
        <v>191311067.75999999</v>
      </c>
      <c r="D19" s="366">
        <f t="shared" si="8"/>
        <v>146517691.12</v>
      </c>
      <c r="E19" s="372">
        <f>SUM(E4:E18)</f>
        <v>138000921.88999999</v>
      </c>
      <c r="F19" s="372">
        <f t="shared" si="8"/>
        <v>128168366.90000001</v>
      </c>
      <c r="G19" s="372">
        <f t="shared" si="8"/>
        <v>9832554.9900000133</v>
      </c>
      <c r="H19" s="411">
        <f>SUM(H4:H18)</f>
        <v>28481864.460000001</v>
      </c>
      <c r="I19" s="13">
        <f>SUM(I4:I18)</f>
        <v>26411729.970000003</v>
      </c>
      <c r="J19" s="13">
        <f>SUM(J4:J18)</f>
        <v>25754.86</v>
      </c>
      <c r="K19" s="424">
        <f>SUM(K4:K18)</f>
        <v>7898911.7599999988</v>
      </c>
      <c r="L19" s="421">
        <f>SUM(L4:L18)</f>
        <v>18512818.210000005</v>
      </c>
      <c r="M19" s="352">
        <f t="shared" si="5"/>
        <v>0</v>
      </c>
      <c r="N19" s="352"/>
      <c r="O19" s="337">
        <f>SUM(O4:O18)</f>
        <v>148294379.27000001</v>
      </c>
      <c r="P19" s="337">
        <f>SUM(P4:P18)</f>
        <v>154751355.94</v>
      </c>
      <c r="Q19" s="337">
        <f t="shared" ref="Q19:U19" si="9">SUM(Q4:Q18)</f>
        <v>96271257.479999989</v>
      </c>
      <c r="R19" s="337">
        <f t="shared" si="9"/>
        <v>85415373.580000013</v>
      </c>
      <c r="S19" s="337">
        <f t="shared" si="9"/>
        <v>82969085.140000001</v>
      </c>
      <c r="T19" s="337">
        <f t="shared" si="9"/>
        <v>2446288.4400000069</v>
      </c>
      <c r="U19" s="337">
        <f t="shared" si="9"/>
        <v>10855883.899999995</v>
      </c>
      <c r="V19" s="337">
        <f>SUM(V4:V18)</f>
        <v>50246433.640000001</v>
      </c>
      <c r="W19" s="337">
        <f>SUM(W4:W18)</f>
        <v>52585548.31000001</v>
      </c>
      <c r="X19" s="337">
        <f>SUM(X4:X18)</f>
        <v>45199281.760000005</v>
      </c>
      <c r="Y19" s="337">
        <f>SUM(Y4:Y18)</f>
        <v>7386266.5500000054</v>
      </c>
    </row>
    <row r="20" spans="1:25" s="1" customFormat="1" ht="11.25">
      <c r="A20" s="5"/>
      <c r="B20" s="369" t="s">
        <v>225</v>
      </c>
      <c r="C20" s="13">
        <f>C19+Cruz!I24-Cruz!I27</f>
        <v>0</v>
      </c>
      <c r="D20" s="13">
        <f>146517691.12-D19</f>
        <v>0</v>
      </c>
      <c r="E20" s="75">
        <f>138000921.89-E19</f>
        <v>0</v>
      </c>
      <c r="F20" s="75">
        <f>128168366.9-F19</f>
        <v>0</v>
      </c>
      <c r="G20" s="75">
        <f>9832554.99-G19</f>
        <v>0</v>
      </c>
      <c r="H20" s="13">
        <f>28481864.46-H19</f>
        <v>0</v>
      </c>
      <c r="I20" s="13">
        <f>26411729.97-I19</f>
        <v>0</v>
      </c>
      <c r="J20" s="13">
        <f>25754.86-J19</f>
        <v>0</v>
      </c>
      <c r="K20" s="51">
        <f>7898911.76-K19</f>
        <v>0</v>
      </c>
      <c r="L20" s="13">
        <f>18512818.21-L19</f>
        <v>0</v>
      </c>
      <c r="M20" s="352"/>
      <c r="N20" s="352"/>
      <c r="O20" s="3" t="s">
        <v>642</v>
      </c>
      <c r="P20" s="352">
        <f>154752064.79-P19</f>
        <v>708.84999999403954</v>
      </c>
      <c r="Q20" s="352">
        <f>96271257.48-Q19</f>
        <v>0</v>
      </c>
      <c r="R20" s="365">
        <f>85415373.58-R19</f>
        <v>0</v>
      </c>
      <c r="S20" s="365">
        <f>82969085.14-S19</f>
        <v>0</v>
      </c>
      <c r="T20" s="352">
        <f>2446288.44-T19</f>
        <v>-6.9849193096160889E-9</v>
      </c>
      <c r="U20" s="352">
        <f>(13302172.34-T19)-U19</f>
        <v>0</v>
      </c>
      <c r="W20" s="445"/>
      <c r="Y20" s="365">
        <f>T19+Y19</f>
        <v>9832554.9900000133</v>
      </c>
    </row>
    <row r="21" spans="1:25" s="1" customFormat="1" ht="11.25">
      <c r="B21" s="77" t="s">
        <v>1393</v>
      </c>
      <c r="E21" s="78"/>
      <c r="F21" s="78"/>
      <c r="G21" s="78"/>
      <c r="H21" s="361"/>
      <c r="I21" s="373"/>
      <c r="J21" s="365"/>
      <c r="K21" s="370"/>
      <c r="L21" s="365"/>
      <c r="M21" s="352"/>
      <c r="N21" s="352"/>
      <c r="O21" s="352"/>
      <c r="P21" s="352"/>
      <c r="Q21" s="352"/>
      <c r="R21" s="352"/>
      <c r="S21" s="352"/>
      <c r="T21" s="352"/>
      <c r="U21" s="352"/>
      <c r="V21" s="352"/>
      <c r="W21" s="352"/>
      <c r="X21" s="352"/>
      <c r="Y21" s="352"/>
    </row>
    <row r="22" spans="1:25" s="1" customFormat="1" ht="11.25">
      <c r="B22" s="361"/>
      <c r="E22" s="78"/>
      <c r="F22" s="78"/>
      <c r="G22" s="78"/>
      <c r="H22" s="361"/>
      <c r="I22" s="373"/>
      <c r="J22" s="373"/>
      <c r="K22" s="373"/>
      <c r="L22" s="373"/>
      <c r="M22" s="352"/>
      <c r="N22" s="352"/>
      <c r="O22" s="352"/>
      <c r="P22" s="352"/>
      <c r="Q22" s="352"/>
      <c r="R22" s="352"/>
      <c r="S22" s="352"/>
      <c r="T22" s="352"/>
      <c r="U22" s="352"/>
      <c r="V22" s="352"/>
      <c r="W22" s="352"/>
      <c r="X22" s="352"/>
      <c r="Y22" s="352"/>
    </row>
    <row r="23" spans="1:25" s="1" customFormat="1" ht="11.25">
      <c r="B23" s="79"/>
      <c r="E23" s="78"/>
      <c r="F23" s="80" t="s">
        <v>577</v>
      </c>
      <c r="G23" s="78"/>
      <c r="H23" s="361"/>
      <c r="I23" s="373"/>
      <c r="J23" s="361"/>
      <c r="K23" s="370"/>
      <c r="M23" s="352"/>
      <c r="N23" s="352"/>
      <c r="O23" s="352"/>
      <c r="P23" s="352"/>
      <c r="Q23" s="352"/>
      <c r="R23" s="352"/>
      <c r="S23" s="352"/>
      <c r="T23" s="352"/>
      <c r="U23" s="352"/>
      <c r="V23" s="352"/>
      <c r="W23" s="352"/>
      <c r="X23" s="352"/>
      <c r="Y23" s="352"/>
    </row>
    <row r="24" spans="1:25" s="1" customFormat="1" ht="11.25">
      <c r="B24" s="79"/>
      <c r="E24" s="78"/>
      <c r="G24" s="78"/>
      <c r="H24" s="352">
        <f>28481864.46-H19</f>
        <v>0</v>
      </c>
      <c r="I24" s="361" t="s">
        <v>630</v>
      </c>
      <c r="M24" s="352"/>
      <c r="N24" s="352"/>
      <c r="O24" s="352"/>
      <c r="P24" s="352"/>
      <c r="Q24" s="352"/>
      <c r="R24" s="352"/>
      <c r="S24" s="352"/>
      <c r="T24" s="352"/>
      <c r="U24" s="352"/>
      <c r="V24" s="352"/>
      <c r="W24" s="352"/>
      <c r="X24" s="352"/>
      <c r="Y24" s="352"/>
    </row>
    <row r="25" spans="1:25" s="1" customFormat="1" ht="11.25">
      <c r="B25" s="79"/>
      <c r="E25" s="78"/>
      <c r="F25" s="78"/>
      <c r="G25" s="381" t="s">
        <v>1225</v>
      </c>
      <c r="H25" s="377">
        <f>(18473048.61-L19)</f>
        <v>-39769.600000005215</v>
      </c>
      <c r="I25" s="1" t="s">
        <v>1184</v>
      </c>
      <c r="J25" s="361"/>
      <c r="K25" s="361"/>
      <c r="L25" s="352">
        <f>H25+21415.08</f>
        <v>-18354.520000005214</v>
      </c>
      <c r="M25" s="352"/>
      <c r="N25" s="352"/>
      <c r="O25" s="352"/>
      <c r="P25" s="352"/>
      <c r="Q25" s="352"/>
      <c r="R25" s="352"/>
      <c r="S25" s="352"/>
      <c r="T25" s="352"/>
      <c r="U25" s="352"/>
      <c r="V25" s="352"/>
      <c r="W25" s="352"/>
      <c r="X25" s="352"/>
      <c r="Y25" s="352"/>
    </row>
    <row r="26" spans="1:25" s="1" customFormat="1" ht="11.25">
      <c r="B26" s="79"/>
      <c r="C26" s="438"/>
      <c r="D26" s="361"/>
      <c r="E26" s="78"/>
      <c r="F26" s="78"/>
      <c r="G26" s="371" t="s">
        <v>1226</v>
      </c>
      <c r="H26" s="352">
        <f>(6839095.41)-K19</f>
        <v>-1059816.3499999987</v>
      </c>
      <c r="I26" s="361" t="s">
        <v>567</v>
      </c>
      <c r="J26" s="361"/>
      <c r="K26" s="361"/>
      <c r="L26" s="365">
        <f>K19+H26</f>
        <v>6839095.4100000001</v>
      </c>
      <c r="M26" s="352">
        <f>1059816.35+H26</f>
        <v>0</v>
      </c>
      <c r="N26" s="352"/>
      <c r="O26" s="352"/>
      <c r="P26" s="352"/>
      <c r="Q26" s="352"/>
      <c r="R26" s="352"/>
      <c r="S26" s="352"/>
      <c r="T26" s="352"/>
      <c r="U26" s="352"/>
      <c r="V26" s="352"/>
      <c r="W26" s="352"/>
      <c r="X26" s="352"/>
      <c r="Y26" s="352"/>
    </row>
    <row r="27" spans="1:25" s="1" customFormat="1" ht="12.75">
      <c r="B27" s="79"/>
      <c r="D27" s="365"/>
      <c r="E27" s="363"/>
      <c r="F27" s="363"/>
      <c r="G27" s="374" t="s">
        <v>1227</v>
      </c>
      <c r="H27" s="375">
        <f>(18354.52)-J19</f>
        <v>-7400.34</v>
      </c>
      <c r="I27" s="364" t="s">
        <v>568</v>
      </c>
      <c r="J27" s="364"/>
      <c r="K27" s="364"/>
      <c r="L27" s="376">
        <f>J19+H27</f>
        <v>18354.52</v>
      </c>
      <c r="M27" s="352"/>
      <c r="N27" s="352"/>
      <c r="O27" s="352"/>
      <c r="P27" s="352"/>
      <c r="Q27" s="352"/>
      <c r="R27" s="352"/>
      <c r="S27" s="352"/>
      <c r="T27" s="352"/>
      <c r="U27" s="352"/>
      <c r="V27" s="352"/>
      <c r="W27" s="352"/>
      <c r="X27" s="352"/>
      <c r="Y27" s="352"/>
    </row>
    <row r="28" spans="1:25" s="1" customFormat="1" ht="11.25">
      <c r="B28" s="79"/>
      <c r="E28" s="78"/>
      <c r="F28" s="78"/>
      <c r="G28" s="78"/>
      <c r="H28" s="352"/>
      <c r="I28" s="361"/>
      <c r="J28" s="361"/>
      <c r="K28" s="361"/>
      <c r="L28" s="365"/>
      <c r="M28" s="352"/>
      <c r="N28" s="352"/>
      <c r="O28" s="352"/>
      <c r="P28" s="352"/>
      <c r="Q28" s="352"/>
      <c r="R28" s="352"/>
      <c r="S28" s="352"/>
      <c r="T28" s="352"/>
      <c r="U28" s="352"/>
      <c r="V28" s="352"/>
      <c r="W28" s="352"/>
      <c r="X28" s="352"/>
      <c r="Y28" s="352"/>
    </row>
    <row r="29" spans="1:25" s="1" customFormat="1" ht="11.25">
      <c r="B29" s="425"/>
      <c r="C29" s="426"/>
      <c r="D29" s="426" t="s">
        <v>626</v>
      </c>
      <c r="E29" s="363"/>
      <c r="F29" s="363"/>
      <c r="G29" s="427"/>
      <c r="H29" s="316"/>
      <c r="I29" s="426" t="s">
        <v>627</v>
      </c>
      <c r="J29" s="426"/>
      <c r="K29" s="364"/>
      <c r="L29" s="428"/>
      <c r="M29" s="429"/>
      <c r="N29" s="352"/>
      <c r="O29" s="352"/>
      <c r="P29" s="352"/>
      <c r="Q29" s="352"/>
      <c r="R29" s="352"/>
      <c r="S29" s="352"/>
      <c r="T29" s="352"/>
      <c r="U29" s="352"/>
      <c r="V29" s="352"/>
      <c r="W29" s="352"/>
      <c r="X29" s="352"/>
      <c r="Y29" s="352"/>
    </row>
    <row r="30" spans="1:25">
      <c r="B30" s="417" t="s">
        <v>470</v>
      </c>
      <c r="C30" s="418"/>
      <c r="D30" s="416" t="s">
        <v>580</v>
      </c>
      <c r="E30" s="71" t="s">
        <v>578</v>
      </c>
      <c r="F30" s="415" t="s">
        <v>579</v>
      </c>
      <c r="G30" s="71" t="s">
        <v>581</v>
      </c>
      <c r="H30" s="70" t="s">
        <v>582</v>
      </c>
      <c r="I30" s="70" t="s">
        <v>623</v>
      </c>
      <c r="J30" s="70" t="s">
        <v>624</v>
      </c>
      <c r="K30" s="70" t="s">
        <v>590</v>
      </c>
      <c r="L30" s="422" t="s">
        <v>628</v>
      </c>
      <c r="M30" s="70" t="s">
        <v>629</v>
      </c>
      <c r="R30" s="1"/>
      <c r="S30" s="1"/>
      <c r="T30" s="1"/>
      <c r="U30" s="1"/>
      <c r="V30" s="1"/>
      <c r="W30" s="1"/>
      <c r="X30" s="1"/>
      <c r="Y30" s="1"/>
    </row>
    <row r="31" spans="1:25">
      <c r="B31" s="5" t="s">
        <v>145</v>
      </c>
      <c r="C31" s="81">
        <f>Cruz!H16</f>
        <v>105912200.98</v>
      </c>
      <c r="D31" s="337">
        <f>SUM(D4:D16)</f>
        <v>118569966.10000001</v>
      </c>
      <c r="E31" s="18">
        <f>SUM(E4:E16)</f>
        <v>110747795.86999999</v>
      </c>
      <c r="F31" s="18">
        <f>SUM(F4:F16)</f>
        <v>100925571.33</v>
      </c>
      <c r="G31" s="420">
        <f>C31-F31</f>
        <v>4986629.650000006</v>
      </c>
      <c r="H31" s="18">
        <f>E31-F31</f>
        <v>9822224.5399999917</v>
      </c>
      <c r="I31" s="18">
        <f>SUM(H4:H16)</f>
        <v>28400961.289999999</v>
      </c>
      <c r="J31" s="337">
        <f>SUM(I4:I16)</f>
        <v>26330826.800000001</v>
      </c>
      <c r="K31" s="420">
        <f>SUM(K4:K16)</f>
        <v>7851732.379999999</v>
      </c>
      <c r="L31" s="420">
        <f>SUM(L4:L16)</f>
        <v>18479094.420000006</v>
      </c>
      <c r="M31" s="421">
        <f>C31-(F31+K31)</f>
        <v>-2865102.7299999893</v>
      </c>
      <c r="R31" s="1"/>
      <c r="S31" s="1"/>
      <c r="T31" s="1"/>
      <c r="U31" s="1"/>
      <c r="V31" s="1"/>
      <c r="W31" s="1"/>
      <c r="X31" s="1"/>
      <c r="Y31" s="1"/>
    </row>
    <row r="32" spans="1:25">
      <c r="B32" s="5" t="s">
        <v>142</v>
      </c>
      <c r="C32" s="82">
        <f>Cruz!H25</f>
        <v>33413163.789999999</v>
      </c>
      <c r="D32" s="18">
        <f t="shared" ref="D32:F33" si="10">D17</f>
        <v>24512176.329999998</v>
      </c>
      <c r="E32" s="18">
        <f t="shared" si="10"/>
        <v>24499566.550000001</v>
      </c>
      <c r="F32" s="18">
        <f t="shared" si="10"/>
        <v>24489236.100000001</v>
      </c>
      <c r="G32" s="18">
        <f>C32-F32</f>
        <v>8923927.6899999976</v>
      </c>
      <c r="H32" s="18">
        <f>E32-F32</f>
        <v>10330.449999999255</v>
      </c>
      <c r="I32" s="18">
        <f>H17</f>
        <v>44620.01</v>
      </c>
      <c r="J32" s="18">
        <f t="shared" ref="J32" si="11">I17</f>
        <v>44620.01</v>
      </c>
      <c r="K32" s="18">
        <f>K17</f>
        <v>10896.22</v>
      </c>
      <c r="L32" s="18">
        <f>L17</f>
        <v>33723.79</v>
      </c>
      <c r="M32" s="431">
        <f>C32-(F32+K32)</f>
        <v>8913031.4699999988</v>
      </c>
      <c r="R32" s="1"/>
      <c r="S32" s="1"/>
      <c r="T32" s="1"/>
      <c r="U32" s="1"/>
      <c r="V32" s="1"/>
      <c r="W32" s="1"/>
      <c r="X32" s="1"/>
      <c r="Y32" s="1"/>
    </row>
    <row r="33" spans="1:26">
      <c r="B33" s="5" t="s">
        <v>143</v>
      </c>
      <c r="C33" s="195">
        <f>Cruz!H26</f>
        <v>4582762.33</v>
      </c>
      <c r="D33" s="18">
        <f t="shared" si="10"/>
        <v>3435548.69</v>
      </c>
      <c r="E33" s="18">
        <f t="shared" si="10"/>
        <v>2753559.47</v>
      </c>
      <c r="F33" s="18">
        <f t="shared" si="10"/>
        <v>2753559.47</v>
      </c>
      <c r="G33" s="18">
        <f>C33-F33</f>
        <v>1829202.8599999999</v>
      </c>
      <c r="H33" s="18">
        <f>E33-F33</f>
        <v>0</v>
      </c>
      <c r="I33" s="18">
        <f>H18</f>
        <v>36283.160000000003</v>
      </c>
      <c r="J33" s="18">
        <f t="shared" ref="J33" si="12">I18</f>
        <v>36283.160000000003</v>
      </c>
      <c r="K33" s="18">
        <f>K18</f>
        <v>36283.160000000003</v>
      </c>
      <c r="L33" s="18">
        <f>L18</f>
        <v>0</v>
      </c>
      <c r="M33" s="13">
        <f>C33-(F33+K33)</f>
        <v>1792919.6999999997</v>
      </c>
      <c r="R33" s="1"/>
      <c r="S33" s="1"/>
      <c r="T33" s="1"/>
      <c r="U33" s="1"/>
      <c r="V33" s="1"/>
      <c r="W33" s="1"/>
      <c r="X33" s="1"/>
      <c r="Y33" s="1"/>
    </row>
    <row r="34" spans="1:26">
      <c r="B34" s="5" t="s">
        <v>146</v>
      </c>
      <c r="C34" s="83">
        <f t="shared" ref="C34:J34" si="13">SUM(C31:C33)</f>
        <v>143908127.10000002</v>
      </c>
      <c r="D34" s="83">
        <f t="shared" si="13"/>
        <v>146517691.12</v>
      </c>
      <c r="E34" s="83">
        <f t="shared" si="13"/>
        <v>138000921.88999999</v>
      </c>
      <c r="F34" s="83">
        <f t="shared" si="13"/>
        <v>128168366.90000001</v>
      </c>
      <c r="G34" s="432">
        <f>SUM(G31:G33)</f>
        <v>15739760.200000003</v>
      </c>
      <c r="H34" s="83">
        <f t="shared" si="13"/>
        <v>9832554.9899999909</v>
      </c>
      <c r="I34" s="83">
        <f t="shared" si="13"/>
        <v>28481864.460000001</v>
      </c>
      <c r="J34" s="120">
        <f t="shared" si="13"/>
        <v>26411729.970000003</v>
      </c>
      <c r="K34" s="430">
        <f>SUM(K31:K33)</f>
        <v>7898911.7599999988</v>
      </c>
      <c r="L34" s="423">
        <f>SUM(L31:L33)</f>
        <v>18512818.210000005</v>
      </c>
      <c r="M34" s="659">
        <f>SUM(M31:M33)</f>
        <v>7840848.4400000088</v>
      </c>
      <c r="R34" s="1"/>
      <c r="S34" s="1"/>
      <c r="T34" s="1"/>
      <c r="U34" s="1"/>
      <c r="V34" s="1"/>
      <c r="W34" s="1"/>
      <c r="X34" s="1"/>
      <c r="Y34" s="1"/>
    </row>
    <row r="35" spans="1:26" s="1" customFormat="1" ht="11.25">
      <c r="B35" s="334" t="s">
        <v>631</v>
      </c>
      <c r="C35" s="334"/>
      <c r="D35" s="334"/>
      <c r="E35" s="436"/>
      <c r="F35" s="334"/>
      <c r="G35" s="334"/>
      <c r="H35" s="437">
        <f>C34-E34</f>
        <v>5907205.2100000381</v>
      </c>
      <c r="I35" s="334" t="s">
        <v>1224</v>
      </c>
      <c r="J35" s="334"/>
      <c r="K35" s="334"/>
      <c r="L35" s="437">
        <f>(D19-F19)+(L19)</f>
        <v>36862142.430000007</v>
      </c>
    </row>
    <row r="36" spans="1:26" s="1" customFormat="1" ht="11.25">
      <c r="M36" s="361"/>
    </row>
    <row r="37" spans="1:26" s="378" customFormat="1">
      <c r="M37" s="440"/>
      <c r="Z37" s="1"/>
    </row>
    <row r="38" spans="1:26" s="378" customFormat="1">
      <c r="A38"/>
      <c r="B38"/>
      <c r="C38"/>
      <c r="D38"/>
      <c r="E38"/>
      <c r="M38" s="440"/>
      <c r="R38" s="55" t="s">
        <v>95</v>
      </c>
      <c r="S38" s="1"/>
      <c r="T38" s="55" t="s">
        <v>96</v>
      </c>
      <c r="U38" s="1"/>
      <c r="V38" s="1"/>
      <c r="W38" s="383" t="s">
        <v>97</v>
      </c>
      <c r="Z38" s="1"/>
    </row>
    <row r="39" spans="1:26" s="1" customFormat="1">
      <c r="G39" s="55" t="s">
        <v>95</v>
      </c>
      <c r="I39" s="55" t="s">
        <v>96</v>
      </c>
      <c r="L39" s="383" t="s">
        <v>97</v>
      </c>
      <c r="R39" s="55" t="s">
        <v>98</v>
      </c>
      <c r="T39" s="55" t="s">
        <v>99</v>
      </c>
      <c r="W39" s="446" t="s">
        <v>100</v>
      </c>
      <c r="Z39" s="378"/>
    </row>
    <row r="40" spans="1:26" s="1" customFormat="1" ht="11.25">
      <c r="G40" s="55" t="s">
        <v>98</v>
      </c>
      <c r="I40" s="55" t="s">
        <v>99</v>
      </c>
      <c r="L40" s="58" t="s">
        <v>100</v>
      </c>
      <c r="T40" s="367"/>
      <c r="U40" s="367"/>
      <c r="V40" s="367"/>
      <c r="W40" s="367"/>
    </row>
    <row r="43" spans="1:26">
      <c r="R43" s="1"/>
      <c r="S43" s="1"/>
      <c r="T43" s="1"/>
      <c r="U43" s="1"/>
      <c r="V43" s="1"/>
      <c r="W43" s="1"/>
      <c r="X43" s="1"/>
      <c r="Y43" s="1"/>
    </row>
    <row r="44" spans="1:26">
      <c r="R44" s="1"/>
      <c r="S44" s="1"/>
      <c r="T44" s="1"/>
      <c r="U44" s="1"/>
      <c r="V44" s="1"/>
      <c r="W44" s="1"/>
      <c r="X44" s="1"/>
      <c r="Y44" s="1"/>
    </row>
    <row r="45" spans="1:26">
      <c r="R45" s="1"/>
      <c r="S45" s="1"/>
      <c r="T45" s="1"/>
      <c r="U45" s="1"/>
      <c r="V45" s="1"/>
      <c r="W45" s="1"/>
      <c r="X45" s="1"/>
      <c r="Y45" s="1"/>
    </row>
    <row r="46" spans="1:26">
      <c r="R46" s="1"/>
      <c r="S46" s="1"/>
      <c r="T46" s="1"/>
      <c r="U46" s="1"/>
      <c r="V46" s="1"/>
      <c r="W46" s="1"/>
      <c r="X46" s="1"/>
      <c r="Y46" s="1"/>
    </row>
    <row r="47" spans="1:26">
      <c r="R47" s="1"/>
      <c r="S47" s="1"/>
      <c r="T47" s="1"/>
      <c r="U47" s="1"/>
      <c r="V47" s="1"/>
      <c r="W47" s="1"/>
      <c r="X47" s="1"/>
      <c r="Y47" s="1"/>
    </row>
    <row r="48" spans="1:26">
      <c r="R48" s="1"/>
      <c r="S48" s="1"/>
      <c r="T48" s="1"/>
      <c r="U48" s="1"/>
      <c r="V48" s="1"/>
      <c r="W48" s="1"/>
      <c r="X48" s="1"/>
      <c r="Y48" s="1"/>
    </row>
    <row r="49" spans="18:36">
      <c r="R49" s="1"/>
      <c r="S49" s="1"/>
      <c r="T49" s="1"/>
      <c r="U49" s="1"/>
      <c r="V49" s="1"/>
      <c r="W49" s="1"/>
      <c r="X49" s="1"/>
      <c r="Y49" s="1"/>
    </row>
    <row r="50" spans="18:36">
      <c r="R50" s="1"/>
      <c r="S50" s="1"/>
      <c r="T50" s="1"/>
      <c r="U50" s="1"/>
      <c r="V50" s="1"/>
      <c r="W50" s="1"/>
      <c r="X50" s="1"/>
      <c r="Y50" s="1"/>
    </row>
    <row r="51" spans="18:36">
      <c r="R51" s="1"/>
      <c r="S51" s="1"/>
      <c r="T51" s="1"/>
      <c r="U51" s="1"/>
      <c r="V51" s="1"/>
      <c r="W51" s="1"/>
      <c r="X51" s="1"/>
      <c r="Y51" s="1"/>
    </row>
    <row r="52" spans="18:36">
      <c r="R52" s="1"/>
      <c r="S52" s="1"/>
      <c r="T52" s="1"/>
      <c r="U52" s="1"/>
      <c r="V52" s="1"/>
      <c r="W52" s="1"/>
      <c r="X52" s="1"/>
      <c r="Y52" s="1"/>
    </row>
    <row r="53" spans="18:36">
      <c r="R53" s="1"/>
      <c r="S53" s="1"/>
      <c r="T53" s="1"/>
      <c r="U53" s="1"/>
      <c r="V53" s="1"/>
      <c r="W53" s="1"/>
      <c r="X53" s="1"/>
      <c r="Y53" s="1"/>
    </row>
    <row r="54" spans="18:36">
      <c r="R54" s="1"/>
      <c r="S54" s="1"/>
      <c r="T54" s="1"/>
      <c r="U54" s="1"/>
      <c r="V54" s="1"/>
      <c r="W54" s="1"/>
      <c r="X54" s="1"/>
      <c r="Y54" s="1"/>
    </row>
    <row r="55" spans="18:36">
      <c r="R55" s="1"/>
      <c r="S55" s="1"/>
      <c r="T55" s="1"/>
      <c r="U55" s="1"/>
      <c r="V55" s="1"/>
      <c r="W55" s="1"/>
      <c r="X55" s="1"/>
      <c r="Y55" s="1"/>
    </row>
    <row r="56" spans="18:36">
      <c r="R56" s="1"/>
      <c r="S56" s="1"/>
      <c r="T56" s="1"/>
      <c r="U56" s="1"/>
      <c r="V56" s="1"/>
      <c r="W56" s="1"/>
      <c r="X56" s="1"/>
      <c r="Y56" s="1"/>
    </row>
    <row r="57" spans="18:36"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</row>
    <row r="58" spans="18:36"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</row>
    <row r="59" spans="18:36"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</row>
    <row r="60" spans="18:36"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</row>
    <row r="61" spans="18:36">
      <c r="U61" s="1"/>
      <c r="V61" s="1"/>
      <c r="W61" s="1"/>
      <c r="X61" s="1"/>
      <c r="Y61" s="1"/>
    </row>
  </sheetData>
  <mergeCells count="1">
    <mergeCell ref="H2:K2"/>
  </mergeCells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X87"/>
  <sheetViews>
    <sheetView workbookViewId="0">
      <selection activeCell="K30" sqref="K30"/>
    </sheetView>
  </sheetViews>
  <sheetFormatPr defaultRowHeight="11.25"/>
  <cols>
    <col min="1" max="1" width="10.28515625" style="57" customWidth="1"/>
    <col min="2" max="2" width="10.42578125" style="57" customWidth="1"/>
    <col min="3" max="3" width="12.7109375" style="57" customWidth="1"/>
    <col min="4" max="4" width="11.85546875" style="57" customWidth="1"/>
    <col min="5" max="5" width="11" style="57" customWidth="1"/>
    <col min="6" max="6" width="11.7109375" style="57" customWidth="1"/>
    <col min="7" max="7" width="10.85546875" style="57" customWidth="1"/>
    <col min="8" max="8" width="11" style="57" customWidth="1"/>
    <col min="9" max="9" width="11.42578125" style="57" customWidth="1"/>
    <col min="10" max="10" width="11.5703125" style="57" customWidth="1"/>
    <col min="11" max="11" width="11" style="57" customWidth="1"/>
    <col min="12" max="12" width="12" style="57" customWidth="1"/>
    <col min="13" max="13" width="10" style="57" bestFit="1" customWidth="1"/>
    <col min="14" max="14" width="13.85546875" style="57" customWidth="1"/>
    <col min="15" max="15" width="11.140625" style="57" bestFit="1" customWidth="1"/>
    <col min="16" max="16" width="12" style="57" bestFit="1" customWidth="1"/>
    <col min="17" max="17" width="10.85546875" style="57" customWidth="1"/>
    <col min="18" max="18" width="12.140625" style="57" customWidth="1"/>
    <col min="19" max="19" width="10.85546875" style="57" bestFit="1" customWidth="1"/>
    <col min="20" max="20" width="10.5703125" style="57" bestFit="1" customWidth="1"/>
    <col min="21" max="21" width="11.85546875" style="57" customWidth="1"/>
    <col min="22" max="22" width="10.85546875" style="57" bestFit="1" customWidth="1"/>
    <col min="23" max="23" width="11.140625" style="57" bestFit="1" customWidth="1"/>
    <col min="24" max="256" width="9.140625" style="57"/>
    <col min="257" max="257" width="10.28515625" style="57" customWidth="1"/>
    <col min="258" max="258" width="10.42578125" style="57" customWidth="1"/>
    <col min="259" max="259" width="12.7109375" style="57" customWidth="1"/>
    <col min="260" max="260" width="11.28515625" style="57" customWidth="1"/>
    <col min="261" max="261" width="11.85546875" style="57" customWidth="1"/>
    <col min="262" max="262" width="11.7109375" style="57" customWidth="1"/>
    <col min="263" max="263" width="10.7109375" style="57" customWidth="1"/>
    <col min="264" max="264" width="11.85546875" style="57" customWidth="1"/>
    <col min="265" max="265" width="11.42578125" style="57" customWidth="1"/>
    <col min="266" max="266" width="12.28515625" style="57" customWidth="1"/>
    <col min="267" max="267" width="11" style="57" customWidth="1"/>
    <col min="268" max="268" width="12" style="57" customWidth="1"/>
    <col min="269" max="269" width="12.85546875" style="57" bestFit="1" customWidth="1"/>
    <col min="270" max="270" width="13.85546875" style="57" customWidth="1"/>
    <col min="271" max="271" width="4.85546875" style="57" bestFit="1" customWidth="1"/>
    <col min="272" max="272" width="12" style="57" bestFit="1" customWidth="1"/>
    <col min="273" max="273" width="10.28515625" style="57" bestFit="1" customWidth="1"/>
    <col min="274" max="274" width="12" style="57" bestFit="1" customWidth="1"/>
    <col min="275" max="275" width="12.5703125" style="57" bestFit="1" customWidth="1"/>
    <col min="276" max="276" width="12" style="57" bestFit="1" customWidth="1"/>
    <col min="277" max="278" width="11.7109375" style="57" bestFit="1" customWidth="1"/>
    <col min="279" max="279" width="11.140625" style="57" bestFit="1" customWidth="1"/>
    <col min="280" max="512" width="9.140625" style="57"/>
    <col min="513" max="513" width="10.28515625" style="57" customWidth="1"/>
    <col min="514" max="514" width="10.42578125" style="57" customWidth="1"/>
    <col min="515" max="515" width="12.7109375" style="57" customWidth="1"/>
    <col min="516" max="516" width="11.28515625" style="57" customWidth="1"/>
    <col min="517" max="517" width="11.85546875" style="57" customWidth="1"/>
    <col min="518" max="518" width="11.7109375" style="57" customWidth="1"/>
    <col min="519" max="519" width="10.7109375" style="57" customWidth="1"/>
    <col min="520" max="520" width="11.85546875" style="57" customWidth="1"/>
    <col min="521" max="521" width="11.42578125" style="57" customWidth="1"/>
    <col min="522" max="522" width="12.28515625" style="57" customWidth="1"/>
    <col min="523" max="523" width="11" style="57" customWidth="1"/>
    <col min="524" max="524" width="12" style="57" customWidth="1"/>
    <col min="525" max="525" width="12.85546875" style="57" bestFit="1" customWidth="1"/>
    <col min="526" max="526" width="13.85546875" style="57" customWidth="1"/>
    <col min="527" max="527" width="4.85546875" style="57" bestFit="1" customWidth="1"/>
    <col min="528" max="528" width="12" style="57" bestFit="1" customWidth="1"/>
    <col min="529" max="529" width="10.28515625" style="57" bestFit="1" customWidth="1"/>
    <col min="530" max="530" width="12" style="57" bestFit="1" customWidth="1"/>
    <col min="531" max="531" width="12.5703125" style="57" bestFit="1" customWidth="1"/>
    <col min="532" max="532" width="12" style="57" bestFit="1" customWidth="1"/>
    <col min="533" max="534" width="11.7109375" style="57" bestFit="1" customWidth="1"/>
    <col min="535" max="535" width="11.140625" style="57" bestFit="1" customWidth="1"/>
    <col min="536" max="768" width="9.140625" style="57"/>
    <col min="769" max="769" width="10.28515625" style="57" customWidth="1"/>
    <col min="770" max="770" width="10.42578125" style="57" customWidth="1"/>
    <col min="771" max="771" width="12.7109375" style="57" customWidth="1"/>
    <col min="772" max="772" width="11.28515625" style="57" customWidth="1"/>
    <col min="773" max="773" width="11.85546875" style="57" customWidth="1"/>
    <col min="774" max="774" width="11.7109375" style="57" customWidth="1"/>
    <col min="775" max="775" width="10.7109375" style="57" customWidth="1"/>
    <col min="776" max="776" width="11.85546875" style="57" customWidth="1"/>
    <col min="777" max="777" width="11.42578125" style="57" customWidth="1"/>
    <col min="778" max="778" width="12.28515625" style="57" customWidth="1"/>
    <col min="779" max="779" width="11" style="57" customWidth="1"/>
    <col min="780" max="780" width="12" style="57" customWidth="1"/>
    <col min="781" max="781" width="12.85546875" style="57" bestFit="1" customWidth="1"/>
    <col min="782" max="782" width="13.85546875" style="57" customWidth="1"/>
    <col min="783" max="783" width="4.85546875" style="57" bestFit="1" customWidth="1"/>
    <col min="784" max="784" width="12" style="57" bestFit="1" customWidth="1"/>
    <col min="785" max="785" width="10.28515625" style="57" bestFit="1" customWidth="1"/>
    <col min="786" max="786" width="12" style="57" bestFit="1" customWidth="1"/>
    <col min="787" max="787" width="12.5703125" style="57" bestFit="1" customWidth="1"/>
    <col min="788" max="788" width="12" style="57" bestFit="1" customWidth="1"/>
    <col min="789" max="790" width="11.7109375" style="57" bestFit="1" customWidth="1"/>
    <col min="791" max="791" width="11.140625" style="57" bestFit="1" customWidth="1"/>
    <col min="792" max="1024" width="9.140625" style="57"/>
    <col min="1025" max="1025" width="10.28515625" style="57" customWidth="1"/>
    <col min="1026" max="1026" width="10.42578125" style="57" customWidth="1"/>
    <col min="1027" max="1027" width="12.7109375" style="57" customWidth="1"/>
    <col min="1028" max="1028" width="11.28515625" style="57" customWidth="1"/>
    <col min="1029" max="1029" width="11.85546875" style="57" customWidth="1"/>
    <col min="1030" max="1030" width="11.7109375" style="57" customWidth="1"/>
    <col min="1031" max="1031" width="10.7109375" style="57" customWidth="1"/>
    <col min="1032" max="1032" width="11.85546875" style="57" customWidth="1"/>
    <col min="1033" max="1033" width="11.42578125" style="57" customWidth="1"/>
    <col min="1034" max="1034" width="12.28515625" style="57" customWidth="1"/>
    <col min="1035" max="1035" width="11" style="57" customWidth="1"/>
    <col min="1036" max="1036" width="12" style="57" customWidth="1"/>
    <col min="1037" max="1037" width="12.85546875" style="57" bestFit="1" customWidth="1"/>
    <col min="1038" max="1038" width="13.85546875" style="57" customWidth="1"/>
    <col min="1039" max="1039" width="4.85546875" style="57" bestFit="1" customWidth="1"/>
    <col min="1040" max="1040" width="12" style="57" bestFit="1" customWidth="1"/>
    <col min="1041" max="1041" width="10.28515625" style="57" bestFit="1" customWidth="1"/>
    <col min="1042" max="1042" width="12" style="57" bestFit="1" customWidth="1"/>
    <col min="1043" max="1043" width="12.5703125" style="57" bestFit="1" customWidth="1"/>
    <col min="1044" max="1044" width="12" style="57" bestFit="1" customWidth="1"/>
    <col min="1045" max="1046" width="11.7109375" style="57" bestFit="1" customWidth="1"/>
    <col min="1047" max="1047" width="11.140625" style="57" bestFit="1" customWidth="1"/>
    <col min="1048" max="1280" width="9.140625" style="57"/>
    <col min="1281" max="1281" width="10.28515625" style="57" customWidth="1"/>
    <col min="1282" max="1282" width="10.42578125" style="57" customWidth="1"/>
    <col min="1283" max="1283" width="12.7109375" style="57" customWidth="1"/>
    <col min="1284" max="1284" width="11.28515625" style="57" customWidth="1"/>
    <col min="1285" max="1285" width="11.85546875" style="57" customWidth="1"/>
    <col min="1286" max="1286" width="11.7109375" style="57" customWidth="1"/>
    <col min="1287" max="1287" width="10.7109375" style="57" customWidth="1"/>
    <col min="1288" max="1288" width="11.85546875" style="57" customWidth="1"/>
    <col min="1289" max="1289" width="11.42578125" style="57" customWidth="1"/>
    <col min="1290" max="1290" width="12.28515625" style="57" customWidth="1"/>
    <col min="1291" max="1291" width="11" style="57" customWidth="1"/>
    <col min="1292" max="1292" width="12" style="57" customWidth="1"/>
    <col min="1293" max="1293" width="12.85546875" style="57" bestFit="1" customWidth="1"/>
    <col min="1294" max="1294" width="13.85546875" style="57" customWidth="1"/>
    <col min="1295" max="1295" width="4.85546875" style="57" bestFit="1" customWidth="1"/>
    <col min="1296" max="1296" width="12" style="57" bestFit="1" customWidth="1"/>
    <col min="1297" max="1297" width="10.28515625" style="57" bestFit="1" customWidth="1"/>
    <col min="1298" max="1298" width="12" style="57" bestFit="1" customWidth="1"/>
    <col min="1299" max="1299" width="12.5703125" style="57" bestFit="1" customWidth="1"/>
    <col min="1300" max="1300" width="12" style="57" bestFit="1" customWidth="1"/>
    <col min="1301" max="1302" width="11.7109375" style="57" bestFit="1" customWidth="1"/>
    <col min="1303" max="1303" width="11.140625" style="57" bestFit="1" customWidth="1"/>
    <col min="1304" max="1536" width="9.140625" style="57"/>
    <col min="1537" max="1537" width="10.28515625" style="57" customWidth="1"/>
    <col min="1538" max="1538" width="10.42578125" style="57" customWidth="1"/>
    <col min="1539" max="1539" width="12.7109375" style="57" customWidth="1"/>
    <col min="1540" max="1540" width="11.28515625" style="57" customWidth="1"/>
    <col min="1541" max="1541" width="11.85546875" style="57" customWidth="1"/>
    <col min="1542" max="1542" width="11.7109375" style="57" customWidth="1"/>
    <col min="1543" max="1543" width="10.7109375" style="57" customWidth="1"/>
    <col min="1544" max="1544" width="11.85546875" style="57" customWidth="1"/>
    <col min="1545" max="1545" width="11.42578125" style="57" customWidth="1"/>
    <col min="1546" max="1546" width="12.28515625" style="57" customWidth="1"/>
    <col min="1547" max="1547" width="11" style="57" customWidth="1"/>
    <col min="1548" max="1548" width="12" style="57" customWidth="1"/>
    <col min="1549" max="1549" width="12.85546875" style="57" bestFit="1" customWidth="1"/>
    <col min="1550" max="1550" width="13.85546875" style="57" customWidth="1"/>
    <col min="1551" max="1551" width="4.85546875" style="57" bestFit="1" customWidth="1"/>
    <col min="1552" max="1552" width="12" style="57" bestFit="1" customWidth="1"/>
    <col min="1553" max="1553" width="10.28515625" style="57" bestFit="1" customWidth="1"/>
    <col min="1554" max="1554" width="12" style="57" bestFit="1" customWidth="1"/>
    <col min="1555" max="1555" width="12.5703125" style="57" bestFit="1" customWidth="1"/>
    <col min="1556" max="1556" width="12" style="57" bestFit="1" customWidth="1"/>
    <col min="1557" max="1558" width="11.7109375" style="57" bestFit="1" customWidth="1"/>
    <col min="1559" max="1559" width="11.140625" style="57" bestFit="1" customWidth="1"/>
    <col min="1560" max="1792" width="9.140625" style="57"/>
    <col min="1793" max="1793" width="10.28515625" style="57" customWidth="1"/>
    <col min="1794" max="1794" width="10.42578125" style="57" customWidth="1"/>
    <col min="1795" max="1795" width="12.7109375" style="57" customWidth="1"/>
    <col min="1796" max="1796" width="11.28515625" style="57" customWidth="1"/>
    <col min="1797" max="1797" width="11.85546875" style="57" customWidth="1"/>
    <col min="1798" max="1798" width="11.7109375" style="57" customWidth="1"/>
    <col min="1799" max="1799" width="10.7109375" style="57" customWidth="1"/>
    <col min="1800" max="1800" width="11.85546875" style="57" customWidth="1"/>
    <col min="1801" max="1801" width="11.42578125" style="57" customWidth="1"/>
    <col min="1802" max="1802" width="12.28515625" style="57" customWidth="1"/>
    <col min="1803" max="1803" width="11" style="57" customWidth="1"/>
    <col min="1804" max="1804" width="12" style="57" customWidth="1"/>
    <col min="1805" max="1805" width="12.85546875" style="57" bestFit="1" customWidth="1"/>
    <col min="1806" max="1806" width="13.85546875" style="57" customWidth="1"/>
    <col min="1807" max="1807" width="4.85546875" style="57" bestFit="1" customWidth="1"/>
    <col min="1808" max="1808" width="12" style="57" bestFit="1" customWidth="1"/>
    <col min="1809" max="1809" width="10.28515625" style="57" bestFit="1" customWidth="1"/>
    <col min="1810" max="1810" width="12" style="57" bestFit="1" customWidth="1"/>
    <col min="1811" max="1811" width="12.5703125" style="57" bestFit="1" customWidth="1"/>
    <col min="1812" max="1812" width="12" style="57" bestFit="1" customWidth="1"/>
    <col min="1813" max="1814" width="11.7109375" style="57" bestFit="1" customWidth="1"/>
    <col min="1815" max="1815" width="11.140625" style="57" bestFit="1" customWidth="1"/>
    <col min="1816" max="2048" width="9.140625" style="57"/>
    <col min="2049" max="2049" width="10.28515625" style="57" customWidth="1"/>
    <col min="2050" max="2050" width="10.42578125" style="57" customWidth="1"/>
    <col min="2051" max="2051" width="12.7109375" style="57" customWidth="1"/>
    <col min="2052" max="2052" width="11.28515625" style="57" customWidth="1"/>
    <col min="2053" max="2053" width="11.85546875" style="57" customWidth="1"/>
    <col min="2054" max="2054" width="11.7109375" style="57" customWidth="1"/>
    <col min="2055" max="2055" width="10.7109375" style="57" customWidth="1"/>
    <col min="2056" max="2056" width="11.85546875" style="57" customWidth="1"/>
    <col min="2057" max="2057" width="11.42578125" style="57" customWidth="1"/>
    <col min="2058" max="2058" width="12.28515625" style="57" customWidth="1"/>
    <col min="2059" max="2059" width="11" style="57" customWidth="1"/>
    <col min="2060" max="2060" width="12" style="57" customWidth="1"/>
    <col min="2061" max="2061" width="12.85546875" style="57" bestFit="1" customWidth="1"/>
    <col min="2062" max="2062" width="13.85546875" style="57" customWidth="1"/>
    <col min="2063" max="2063" width="4.85546875" style="57" bestFit="1" customWidth="1"/>
    <col min="2064" max="2064" width="12" style="57" bestFit="1" customWidth="1"/>
    <col min="2065" max="2065" width="10.28515625" style="57" bestFit="1" customWidth="1"/>
    <col min="2066" max="2066" width="12" style="57" bestFit="1" customWidth="1"/>
    <col min="2067" max="2067" width="12.5703125" style="57" bestFit="1" customWidth="1"/>
    <col min="2068" max="2068" width="12" style="57" bestFit="1" customWidth="1"/>
    <col min="2069" max="2070" width="11.7109375" style="57" bestFit="1" customWidth="1"/>
    <col min="2071" max="2071" width="11.140625" style="57" bestFit="1" customWidth="1"/>
    <col min="2072" max="2304" width="9.140625" style="57"/>
    <col min="2305" max="2305" width="10.28515625" style="57" customWidth="1"/>
    <col min="2306" max="2306" width="10.42578125" style="57" customWidth="1"/>
    <col min="2307" max="2307" width="12.7109375" style="57" customWidth="1"/>
    <col min="2308" max="2308" width="11.28515625" style="57" customWidth="1"/>
    <col min="2309" max="2309" width="11.85546875" style="57" customWidth="1"/>
    <col min="2310" max="2310" width="11.7109375" style="57" customWidth="1"/>
    <col min="2311" max="2311" width="10.7109375" style="57" customWidth="1"/>
    <col min="2312" max="2312" width="11.85546875" style="57" customWidth="1"/>
    <col min="2313" max="2313" width="11.42578125" style="57" customWidth="1"/>
    <col min="2314" max="2314" width="12.28515625" style="57" customWidth="1"/>
    <col min="2315" max="2315" width="11" style="57" customWidth="1"/>
    <col min="2316" max="2316" width="12" style="57" customWidth="1"/>
    <col min="2317" max="2317" width="12.85546875" style="57" bestFit="1" customWidth="1"/>
    <col min="2318" max="2318" width="13.85546875" style="57" customWidth="1"/>
    <col min="2319" max="2319" width="4.85546875" style="57" bestFit="1" customWidth="1"/>
    <col min="2320" max="2320" width="12" style="57" bestFit="1" customWidth="1"/>
    <col min="2321" max="2321" width="10.28515625" style="57" bestFit="1" customWidth="1"/>
    <col min="2322" max="2322" width="12" style="57" bestFit="1" customWidth="1"/>
    <col min="2323" max="2323" width="12.5703125" style="57" bestFit="1" customWidth="1"/>
    <col min="2324" max="2324" width="12" style="57" bestFit="1" customWidth="1"/>
    <col min="2325" max="2326" width="11.7109375" style="57" bestFit="1" customWidth="1"/>
    <col min="2327" max="2327" width="11.140625" style="57" bestFit="1" customWidth="1"/>
    <col min="2328" max="2560" width="9.140625" style="57"/>
    <col min="2561" max="2561" width="10.28515625" style="57" customWidth="1"/>
    <col min="2562" max="2562" width="10.42578125" style="57" customWidth="1"/>
    <col min="2563" max="2563" width="12.7109375" style="57" customWidth="1"/>
    <col min="2564" max="2564" width="11.28515625" style="57" customWidth="1"/>
    <col min="2565" max="2565" width="11.85546875" style="57" customWidth="1"/>
    <col min="2566" max="2566" width="11.7109375" style="57" customWidth="1"/>
    <col min="2567" max="2567" width="10.7109375" style="57" customWidth="1"/>
    <col min="2568" max="2568" width="11.85546875" style="57" customWidth="1"/>
    <col min="2569" max="2569" width="11.42578125" style="57" customWidth="1"/>
    <col min="2570" max="2570" width="12.28515625" style="57" customWidth="1"/>
    <col min="2571" max="2571" width="11" style="57" customWidth="1"/>
    <col min="2572" max="2572" width="12" style="57" customWidth="1"/>
    <col min="2573" max="2573" width="12.85546875" style="57" bestFit="1" customWidth="1"/>
    <col min="2574" max="2574" width="13.85546875" style="57" customWidth="1"/>
    <col min="2575" max="2575" width="4.85546875" style="57" bestFit="1" customWidth="1"/>
    <col min="2576" max="2576" width="12" style="57" bestFit="1" customWidth="1"/>
    <col min="2577" max="2577" width="10.28515625" style="57" bestFit="1" customWidth="1"/>
    <col min="2578" max="2578" width="12" style="57" bestFit="1" customWidth="1"/>
    <col min="2579" max="2579" width="12.5703125" style="57" bestFit="1" customWidth="1"/>
    <col min="2580" max="2580" width="12" style="57" bestFit="1" customWidth="1"/>
    <col min="2581" max="2582" width="11.7109375" style="57" bestFit="1" customWidth="1"/>
    <col min="2583" max="2583" width="11.140625" style="57" bestFit="1" customWidth="1"/>
    <col min="2584" max="2816" width="9.140625" style="57"/>
    <col min="2817" max="2817" width="10.28515625" style="57" customWidth="1"/>
    <col min="2818" max="2818" width="10.42578125" style="57" customWidth="1"/>
    <col min="2819" max="2819" width="12.7109375" style="57" customWidth="1"/>
    <col min="2820" max="2820" width="11.28515625" style="57" customWidth="1"/>
    <col min="2821" max="2821" width="11.85546875" style="57" customWidth="1"/>
    <col min="2822" max="2822" width="11.7109375" style="57" customWidth="1"/>
    <col min="2823" max="2823" width="10.7109375" style="57" customWidth="1"/>
    <col min="2824" max="2824" width="11.85546875" style="57" customWidth="1"/>
    <col min="2825" max="2825" width="11.42578125" style="57" customWidth="1"/>
    <col min="2826" max="2826" width="12.28515625" style="57" customWidth="1"/>
    <col min="2827" max="2827" width="11" style="57" customWidth="1"/>
    <col min="2828" max="2828" width="12" style="57" customWidth="1"/>
    <col min="2829" max="2829" width="12.85546875" style="57" bestFit="1" customWidth="1"/>
    <col min="2830" max="2830" width="13.85546875" style="57" customWidth="1"/>
    <col min="2831" max="2831" width="4.85546875" style="57" bestFit="1" customWidth="1"/>
    <col min="2832" max="2832" width="12" style="57" bestFit="1" customWidth="1"/>
    <col min="2833" max="2833" width="10.28515625" style="57" bestFit="1" customWidth="1"/>
    <col min="2834" max="2834" width="12" style="57" bestFit="1" customWidth="1"/>
    <col min="2835" max="2835" width="12.5703125" style="57" bestFit="1" customWidth="1"/>
    <col min="2836" max="2836" width="12" style="57" bestFit="1" customWidth="1"/>
    <col min="2837" max="2838" width="11.7109375" style="57" bestFit="1" customWidth="1"/>
    <col min="2839" max="2839" width="11.140625" style="57" bestFit="1" customWidth="1"/>
    <col min="2840" max="3072" width="9.140625" style="57"/>
    <col min="3073" max="3073" width="10.28515625" style="57" customWidth="1"/>
    <col min="3074" max="3074" width="10.42578125" style="57" customWidth="1"/>
    <col min="3075" max="3075" width="12.7109375" style="57" customWidth="1"/>
    <col min="3076" max="3076" width="11.28515625" style="57" customWidth="1"/>
    <col min="3077" max="3077" width="11.85546875" style="57" customWidth="1"/>
    <col min="3078" max="3078" width="11.7109375" style="57" customWidth="1"/>
    <col min="3079" max="3079" width="10.7109375" style="57" customWidth="1"/>
    <col min="3080" max="3080" width="11.85546875" style="57" customWidth="1"/>
    <col min="3081" max="3081" width="11.42578125" style="57" customWidth="1"/>
    <col min="3082" max="3082" width="12.28515625" style="57" customWidth="1"/>
    <col min="3083" max="3083" width="11" style="57" customWidth="1"/>
    <col min="3084" max="3084" width="12" style="57" customWidth="1"/>
    <col min="3085" max="3085" width="12.85546875" style="57" bestFit="1" customWidth="1"/>
    <col min="3086" max="3086" width="13.85546875" style="57" customWidth="1"/>
    <col min="3087" max="3087" width="4.85546875" style="57" bestFit="1" customWidth="1"/>
    <col min="3088" max="3088" width="12" style="57" bestFit="1" customWidth="1"/>
    <col min="3089" max="3089" width="10.28515625" style="57" bestFit="1" customWidth="1"/>
    <col min="3090" max="3090" width="12" style="57" bestFit="1" customWidth="1"/>
    <col min="3091" max="3091" width="12.5703125" style="57" bestFit="1" customWidth="1"/>
    <col min="3092" max="3092" width="12" style="57" bestFit="1" customWidth="1"/>
    <col min="3093" max="3094" width="11.7109375" style="57" bestFit="1" customWidth="1"/>
    <col min="3095" max="3095" width="11.140625" style="57" bestFit="1" customWidth="1"/>
    <col min="3096" max="3328" width="9.140625" style="57"/>
    <col min="3329" max="3329" width="10.28515625" style="57" customWidth="1"/>
    <col min="3330" max="3330" width="10.42578125" style="57" customWidth="1"/>
    <col min="3331" max="3331" width="12.7109375" style="57" customWidth="1"/>
    <col min="3332" max="3332" width="11.28515625" style="57" customWidth="1"/>
    <col min="3333" max="3333" width="11.85546875" style="57" customWidth="1"/>
    <col min="3334" max="3334" width="11.7109375" style="57" customWidth="1"/>
    <col min="3335" max="3335" width="10.7109375" style="57" customWidth="1"/>
    <col min="3336" max="3336" width="11.85546875" style="57" customWidth="1"/>
    <col min="3337" max="3337" width="11.42578125" style="57" customWidth="1"/>
    <col min="3338" max="3338" width="12.28515625" style="57" customWidth="1"/>
    <col min="3339" max="3339" width="11" style="57" customWidth="1"/>
    <col min="3340" max="3340" width="12" style="57" customWidth="1"/>
    <col min="3341" max="3341" width="12.85546875" style="57" bestFit="1" customWidth="1"/>
    <col min="3342" max="3342" width="13.85546875" style="57" customWidth="1"/>
    <col min="3343" max="3343" width="4.85546875" style="57" bestFit="1" customWidth="1"/>
    <col min="3344" max="3344" width="12" style="57" bestFit="1" customWidth="1"/>
    <col min="3345" max="3345" width="10.28515625" style="57" bestFit="1" customWidth="1"/>
    <col min="3346" max="3346" width="12" style="57" bestFit="1" customWidth="1"/>
    <col min="3347" max="3347" width="12.5703125" style="57" bestFit="1" customWidth="1"/>
    <col min="3348" max="3348" width="12" style="57" bestFit="1" customWidth="1"/>
    <col min="3349" max="3350" width="11.7109375" style="57" bestFit="1" customWidth="1"/>
    <col min="3351" max="3351" width="11.140625" style="57" bestFit="1" customWidth="1"/>
    <col min="3352" max="3584" width="9.140625" style="57"/>
    <col min="3585" max="3585" width="10.28515625" style="57" customWidth="1"/>
    <col min="3586" max="3586" width="10.42578125" style="57" customWidth="1"/>
    <col min="3587" max="3587" width="12.7109375" style="57" customWidth="1"/>
    <col min="3588" max="3588" width="11.28515625" style="57" customWidth="1"/>
    <col min="3589" max="3589" width="11.85546875" style="57" customWidth="1"/>
    <col min="3590" max="3590" width="11.7109375" style="57" customWidth="1"/>
    <col min="3591" max="3591" width="10.7109375" style="57" customWidth="1"/>
    <col min="3592" max="3592" width="11.85546875" style="57" customWidth="1"/>
    <col min="3593" max="3593" width="11.42578125" style="57" customWidth="1"/>
    <col min="3594" max="3594" width="12.28515625" style="57" customWidth="1"/>
    <col min="3595" max="3595" width="11" style="57" customWidth="1"/>
    <col min="3596" max="3596" width="12" style="57" customWidth="1"/>
    <col min="3597" max="3597" width="12.85546875" style="57" bestFit="1" customWidth="1"/>
    <col min="3598" max="3598" width="13.85546875" style="57" customWidth="1"/>
    <col min="3599" max="3599" width="4.85546875" style="57" bestFit="1" customWidth="1"/>
    <col min="3600" max="3600" width="12" style="57" bestFit="1" customWidth="1"/>
    <col min="3601" max="3601" width="10.28515625" style="57" bestFit="1" customWidth="1"/>
    <col min="3602" max="3602" width="12" style="57" bestFit="1" customWidth="1"/>
    <col min="3603" max="3603" width="12.5703125" style="57" bestFit="1" customWidth="1"/>
    <col min="3604" max="3604" width="12" style="57" bestFit="1" customWidth="1"/>
    <col min="3605" max="3606" width="11.7109375" style="57" bestFit="1" customWidth="1"/>
    <col min="3607" max="3607" width="11.140625" style="57" bestFit="1" customWidth="1"/>
    <col min="3608" max="3840" width="9.140625" style="57"/>
    <col min="3841" max="3841" width="10.28515625" style="57" customWidth="1"/>
    <col min="3842" max="3842" width="10.42578125" style="57" customWidth="1"/>
    <col min="3843" max="3843" width="12.7109375" style="57" customWidth="1"/>
    <col min="3844" max="3844" width="11.28515625" style="57" customWidth="1"/>
    <col min="3845" max="3845" width="11.85546875" style="57" customWidth="1"/>
    <col min="3846" max="3846" width="11.7109375" style="57" customWidth="1"/>
    <col min="3847" max="3847" width="10.7109375" style="57" customWidth="1"/>
    <col min="3848" max="3848" width="11.85546875" style="57" customWidth="1"/>
    <col min="3849" max="3849" width="11.42578125" style="57" customWidth="1"/>
    <col min="3850" max="3850" width="12.28515625" style="57" customWidth="1"/>
    <col min="3851" max="3851" width="11" style="57" customWidth="1"/>
    <col min="3852" max="3852" width="12" style="57" customWidth="1"/>
    <col min="3853" max="3853" width="12.85546875" style="57" bestFit="1" customWidth="1"/>
    <col min="3854" max="3854" width="13.85546875" style="57" customWidth="1"/>
    <col min="3855" max="3855" width="4.85546875" style="57" bestFit="1" customWidth="1"/>
    <col min="3856" max="3856" width="12" style="57" bestFit="1" customWidth="1"/>
    <col min="3857" max="3857" width="10.28515625" style="57" bestFit="1" customWidth="1"/>
    <col min="3858" max="3858" width="12" style="57" bestFit="1" customWidth="1"/>
    <col min="3859" max="3859" width="12.5703125" style="57" bestFit="1" customWidth="1"/>
    <col min="3860" max="3860" width="12" style="57" bestFit="1" customWidth="1"/>
    <col min="3861" max="3862" width="11.7109375" style="57" bestFit="1" customWidth="1"/>
    <col min="3863" max="3863" width="11.140625" style="57" bestFit="1" customWidth="1"/>
    <col min="3864" max="4096" width="9.140625" style="57"/>
    <col min="4097" max="4097" width="10.28515625" style="57" customWidth="1"/>
    <col min="4098" max="4098" width="10.42578125" style="57" customWidth="1"/>
    <col min="4099" max="4099" width="12.7109375" style="57" customWidth="1"/>
    <col min="4100" max="4100" width="11.28515625" style="57" customWidth="1"/>
    <col min="4101" max="4101" width="11.85546875" style="57" customWidth="1"/>
    <col min="4102" max="4102" width="11.7109375" style="57" customWidth="1"/>
    <col min="4103" max="4103" width="10.7109375" style="57" customWidth="1"/>
    <col min="4104" max="4104" width="11.85546875" style="57" customWidth="1"/>
    <col min="4105" max="4105" width="11.42578125" style="57" customWidth="1"/>
    <col min="4106" max="4106" width="12.28515625" style="57" customWidth="1"/>
    <col min="4107" max="4107" width="11" style="57" customWidth="1"/>
    <col min="4108" max="4108" width="12" style="57" customWidth="1"/>
    <col min="4109" max="4109" width="12.85546875" style="57" bestFit="1" customWidth="1"/>
    <col min="4110" max="4110" width="13.85546875" style="57" customWidth="1"/>
    <col min="4111" max="4111" width="4.85546875" style="57" bestFit="1" customWidth="1"/>
    <col min="4112" max="4112" width="12" style="57" bestFit="1" customWidth="1"/>
    <col min="4113" max="4113" width="10.28515625" style="57" bestFit="1" customWidth="1"/>
    <col min="4114" max="4114" width="12" style="57" bestFit="1" customWidth="1"/>
    <col min="4115" max="4115" width="12.5703125" style="57" bestFit="1" customWidth="1"/>
    <col min="4116" max="4116" width="12" style="57" bestFit="1" customWidth="1"/>
    <col min="4117" max="4118" width="11.7109375" style="57" bestFit="1" customWidth="1"/>
    <col min="4119" max="4119" width="11.140625" style="57" bestFit="1" customWidth="1"/>
    <col min="4120" max="4352" width="9.140625" style="57"/>
    <col min="4353" max="4353" width="10.28515625" style="57" customWidth="1"/>
    <col min="4354" max="4354" width="10.42578125" style="57" customWidth="1"/>
    <col min="4355" max="4355" width="12.7109375" style="57" customWidth="1"/>
    <col min="4356" max="4356" width="11.28515625" style="57" customWidth="1"/>
    <col min="4357" max="4357" width="11.85546875" style="57" customWidth="1"/>
    <col min="4358" max="4358" width="11.7109375" style="57" customWidth="1"/>
    <col min="4359" max="4359" width="10.7109375" style="57" customWidth="1"/>
    <col min="4360" max="4360" width="11.85546875" style="57" customWidth="1"/>
    <col min="4361" max="4361" width="11.42578125" style="57" customWidth="1"/>
    <col min="4362" max="4362" width="12.28515625" style="57" customWidth="1"/>
    <col min="4363" max="4363" width="11" style="57" customWidth="1"/>
    <col min="4364" max="4364" width="12" style="57" customWidth="1"/>
    <col min="4365" max="4365" width="12.85546875" style="57" bestFit="1" customWidth="1"/>
    <col min="4366" max="4366" width="13.85546875" style="57" customWidth="1"/>
    <col min="4367" max="4367" width="4.85546875" style="57" bestFit="1" customWidth="1"/>
    <col min="4368" max="4368" width="12" style="57" bestFit="1" customWidth="1"/>
    <col min="4369" max="4369" width="10.28515625" style="57" bestFit="1" customWidth="1"/>
    <col min="4370" max="4370" width="12" style="57" bestFit="1" customWidth="1"/>
    <col min="4371" max="4371" width="12.5703125" style="57" bestFit="1" customWidth="1"/>
    <col min="4372" max="4372" width="12" style="57" bestFit="1" customWidth="1"/>
    <col min="4373" max="4374" width="11.7109375" style="57" bestFit="1" customWidth="1"/>
    <col min="4375" max="4375" width="11.140625" style="57" bestFit="1" customWidth="1"/>
    <col min="4376" max="4608" width="9.140625" style="57"/>
    <col min="4609" max="4609" width="10.28515625" style="57" customWidth="1"/>
    <col min="4610" max="4610" width="10.42578125" style="57" customWidth="1"/>
    <col min="4611" max="4611" width="12.7109375" style="57" customWidth="1"/>
    <col min="4612" max="4612" width="11.28515625" style="57" customWidth="1"/>
    <col min="4613" max="4613" width="11.85546875" style="57" customWidth="1"/>
    <col min="4614" max="4614" width="11.7109375" style="57" customWidth="1"/>
    <col min="4615" max="4615" width="10.7109375" style="57" customWidth="1"/>
    <col min="4616" max="4616" width="11.85546875" style="57" customWidth="1"/>
    <col min="4617" max="4617" width="11.42578125" style="57" customWidth="1"/>
    <col min="4618" max="4618" width="12.28515625" style="57" customWidth="1"/>
    <col min="4619" max="4619" width="11" style="57" customWidth="1"/>
    <col min="4620" max="4620" width="12" style="57" customWidth="1"/>
    <col min="4621" max="4621" width="12.85546875" style="57" bestFit="1" customWidth="1"/>
    <col min="4622" max="4622" width="13.85546875" style="57" customWidth="1"/>
    <col min="4623" max="4623" width="4.85546875" style="57" bestFit="1" customWidth="1"/>
    <col min="4624" max="4624" width="12" style="57" bestFit="1" customWidth="1"/>
    <col min="4625" max="4625" width="10.28515625" style="57" bestFit="1" customWidth="1"/>
    <col min="4626" max="4626" width="12" style="57" bestFit="1" customWidth="1"/>
    <col min="4627" max="4627" width="12.5703125" style="57" bestFit="1" customWidth="1"/>
    <col min="4628" max="4628" width="12" style="57" bestFit="1" customWidth="1"/>
    <col min="4629" max="4630" width="11.7109375" style="57" bestFit="1" customWidth="1"/>
    <col min="4631" max="4631" width="11.140625" style="57" bestFit="1" customWidth="1"/>
    <col min="4632" max="4864" width="9.140625" style="57"/>
    <col min="4865" max="4865" width="10.28515625" style="57" customWidth="1"/>
    <col min="4866" max="4866" width="10.42578125" style="57" customWidth="1"/>
    <col min="4867" max="4867" width="12.7109375" style="57" customWidth="1"/>
    <col min="4868" max="4868" width="11.28515625" style="57" customWidth="1"/>
    <col min="4869" max="4869" width="11.85546875" style="57" customWidth="1"/>
    <col min="4870" max="4870" width="11.7109375" style="57" customWidth="1"/>
    <col min="4871" max="4871" width="10.7109375" style="57" customWidth="1"/>
    <col min="4872" max="4872" width="11.85546875" style="57" customWidth="1"/>
    <col min="4873" max="4873" width="11.42578125" style="57" customWidth="1"/>
    <col min="4874" max="4874" width="12.28515625" style="57" customWidth="1"/>
    <col min="4875" max="4875" width="11" style="57" customWidth="1"/>
    <col min="4876" max="4876" width="12" style="57" customWidth="1"/>
    <col min="4877" max="4877" width="12.85546875" style="57" bestFit="1" customWidth="1"/>
    <col min="4878" max="4878" width="13.85546875" style="57" customWidth="1"/>
    <col min="4879" max="4879" width="4.85546875" style="57" bestFit="1" customWidth="1"/>
    <col min="4880" max="4880" width="12" style="57" bestFit="1" customWidth="1"/>
    <col min="4881" max="4881" width="10.28515625" style="57" bestFit="1" customWidth="1"/>
    <col min="4882" max="4882" width="12" style="57" bestFit="1" customWidth="1"/>
    <col min="4883" max="4883" width="12.5703125" style="57" bestFit="1" customWidth="1"/>
    <col min="4884" max="4884" width="12" style="57" bestFit="1" customWidth="1"/>
    <col min="4885" max="4886" width="11.7109375" style="57" bestFit="1" customWidth="1"/>
    <col min="4887" max="4887" width="11.140625" style="57" bestFit="1" customWidth="1"/>
    <col min="4888" max="5120" width="9.140625" style="57"/>
    <col min="5121" max="5121" width="10.28515625" style="57" customWidth="1"/>
    <col min="5122" max="5122" width="10.42578125" style="57" customWidth="1"/>
    <col min="5123" max="5123" width="12.7109375" style="57" customWidth="1"/>
    <col min="5124" max="5124" width="11.28515625" style="57" customWidth="1"/>
    <col min="5125" max="5125" width="11.85546875" style="57" customWidth="1"/>
    <col min="5126" max="5126" width="11.7109375" style="57" customWidth="1"/>
    <col min="5127" max="5127" width="10.7109375" style="57" customWidth="1"/>
    <col min="5128" max="5128" width="11.85546875" style="57" customWidth="1"/>
    <col min="5129" max="5129" width="11.42578125" style="57" customWidth="1"/>
    <col min="5130" max="5130" width="12.28515625" style="57" customWidth="1"/>
    <col min="5131" max="5131" width="11" style="57" customWidth="1"/>
    <col min="5132" max="5132" width="12" style="57" customWidth="1"/>
    <col min="5133" max="5133" width="12.85546875" style="57" bestFit="1" customWidth="1"/>
    <col min="5134" max="5134" width="13.85546875" style="57" customWidth="1"/>
    <col min="5135" max="5135" width="4.85546875" style="57" bestFit="1" customWidth="1"/>
    <col min="5136" max="5136" width="12" style="57" bestFit="1" customWidth="1"/>
    <col min="5137" max="5137" width="10.28515625" style="57" bestFit="1" customWidth="1"/>
    <col min="5138" max="5138" width="12" style="57" bestFit="1" customWidth="1"/>
    <col min="5139" max="5139" width="12.5703125" style="57" bestFit="1" customWidth="1"/>
    <col min="5140" max="5140" width="12" style="57" bestFit="1" customWidth="1"/>
    <col min="5141" max="5142" width="11.7109375" style="57" bestFit="1" customWidth="1"/>
    <col min="5143" max="5143" width="11.140625" style="57" bestFit="1" customWidth="1"/>
    <col min="5144" max="5376" width="9.140625" style="57"/>
    <col min="5377" max="5377" width="10.28515625" style="57" customWidth="1"/>
    <col min="5378" max="5378" width="10.42578125" style="57" customWidth="1"/>
    <col min="5379" max="5379" width="12.7109375" style="57" customWidth="1"/>
    <col min="5380" max="5380" width="11.28515625" style="57" customWidth="1"/>
    <col min="5381" max="5381" width="11.85546875" style="57" customWidth="1"/>
    <col min="5382" max="5382" width="11.7109375" style="57" customWidth="1"/>
    <col min="5383" max="5383" width="10.7109375" style="57" customWidth="1"/>
    <col min="5384" max="5384" width="11.85546875" style="57" customWidth="1"/>
    <col min="5385" max="5385" width="11.42578125" style="57" customWidth="1"/>
    <col min="5386" max="5386" width="12.28515625" style="57" customWidth="1"/>
    <col min="5387" max="5387" width="11" style="57" customWidth="1"/>
    <col min="5388" max="5388" width="12" style="57" customWidth="1"/>
    <col min="5389" max="5389" width="12.85546875" style="57" bestFit="1" customWidth="1"/>
    <col min="5390" max="5390" width="13.85546875" style="57" customWidth="1"/>
    <col min="5391" max="5391" width="4.85546875" style="57" bestFit="1" customWidth="1"/>
    <col min="5392" max="5392" width="12" style="57" bestFit="1" customWidth="1"/>
    <col min="5393" max="5393" width="10.28515625" style="57" bestFit="1" customWidth="1"/>
    <col min="5394" max="5394" width="12" style="57" bestFit="1" customWidth="1"/>
    <col min="5395" max="5395" width="12.5703125" style="57" bestFit="1" customWidth="1"/>
    <col min="5396" max="5396" width="12" style="57" bestFit="1" customWidth="1"/>
    <col min="5397" max="5398" width="11.7109375" style="57" bestFit="1" customWidth="1"/>
    <col min="5399" max="5399" width="11.140625" style="57" bestFit="1" customWidth="1"/>
    <col min="5400" max="5632" width="9.140625" style="57"/>
    <col min="5633" max="5633" width="10.28515625" style="57" customWidth="1"/>
    <col min="5634" max="5634" width="10.42578125" style="57" customWidth="1"/>
    <col min="5635" max="5635" width="12.7109375" style="57" customWidth="1"/>
    <col min="5636" max="5636" width="11.28515625" style="57" customWidth="1"/>
    <col min="5637" max="5637" width="11.85546875" style="57" customWidth="1"/>
    <col min="5638" max="5638" width="11.7109375" style="57" customWidth="1"/>
    <col min="5639" max="5639" width="10.7109375" style="57" customWidth="1"/>
    <col min="5640" max="5640" width="11.85546875" style="57" customWidth="1"/>
    <col min="5641" max="5641" width="11.42578125" style="57" customWidth="1"/>
    <col min="5642" max="5642" width="12.28515625" style="57" customWidth="1"/>
    <col min="5643" max="5643" width="11" style="57" customWidth="1"/>
    <col min="5644" max="5644" width="12" style="57" customWidth="1"/>
    <col min="5645" max="5645" width="12.85546875" style="57" bestFit="1" customWidth="1"/>
    <col min="5646" max="5646" width="13.85546875" style="57" customWidth="1"/>
    <col min="5647" max="5647" width="4.85546875" style="57" bestFit="1" customWidth="1"/>
    <col min="5648" max="5648" width="12" style="57" bestFit="1" customWidth="1"/>
    <col min="5649" max="5649" width="10.28515625" style="57" bestFit="1" customWidth="1"/>
    <col min="5650" max="5650" width="12" style="57" bestFit="1" customWidth="1"/>
    <col min="5651" max="5651" width="12.5703125" style="57" bestFit="1" customWidth="1"/>
    <col min="5652" max="5652" width="12" style="57" bestFit="1" customWidth="1"/>
    <col min="5653" max="5654" width="11.7109375" style="57" bestFit="1" customWidth="1"/>
    <col min="5655" max="5655" width="11.140625" style="57" bestFit="1" customWidth="1"/>
    <col min="5656" max="5888" width="9.140625" style="57"/>
    <col min="5889" max="5889" width="10.28515625" style="57" customWidth="1"/>
    <col min="5890" max="5890" width="10.42578125" style="57" customWidth="1"/>
    <col min="5891" max="5891" width="12.7109375" style="57" customWidth="1"/>
    <col min="5892" max="5892" width="11.28515625" style="57" customWidth="1"/>
    <col min="5893" max="5893" width="11.85546875" style="57" customWidth="1"/>
    <col min="5894" max="5894" width="11.7109375" style="57" customWidth="1"/>
    <col min="5895" max="5895" width="10.7109375" style="57" customWidth="1"/>
    <col min="5896" max="5896" width="11.85546875" style="57" customWidth="1"/>
    <col min="5897" max="5897" width="11.42578125" style="57" customWidth="1"/>
    <col min="5898" max="5898" width="12.28515625" style="57" customWidth="1"/>
    <col min="5899" max="5899" width="11" style="57" customWidth="1"/>
    <col min="5900" max="5900" width="12" style="57" customWidth="1"/>
    <col min="5901" max="5901" width="12.85546875" style="57" bestFit="1" customWidth="1"/>
    <col min="5902" max="5902" width="13.85546875" style="57" customWidth="1"/>
    <col min="5903" max="5903" width="4.85546875" style="57" bestFit="1" customWidth="1"/>
    <col min="5904" max="5904" width="12" style="57" bestFit="1" customWidth="1"/>
    <col min="5905" max="5905" width="10.28515625" style="57" bestFit="1" customWidth="1"/>
    <col min="5906" max="5906" width="12" style="57" bestFit="1" customWidth="1"/>
    <col min="5907" max="5907" width="12.5703125" style="57" bestFit="1" customWidth="1"/>
    <col min="5908" max="5908" width="12" style="57" bestFit="1" customWidth="1"/>
    <col min="5909" max="5910" width="11.7109375" style="57" bestFit="1" customWidth="1"/>
    <col min="5911" max="5911" width="11.140625" style="57" bestFit="1" customWidth="1"/>
    <col min="5912" max="6144" width="9.140625" style="57"/>
    <col min="6145" max="6145" width="10.28515625" style="57" customWidth="1"/>
    <col min="6146" max="6146" width="10.42578125" style="57" customWidth="1"/>
    <col min="6147" max="6147" width="12.7109375" style="57" customWidth="1"/>
    <col min="6148" max="6148" width="11.28515625" style="57" customWidth="1"/>
    <col min="6149" max="6149" width="11.85546875" style="57" customWidth="1"/>
    <col min="6150" max="6150" width="11.7109375" style="57" customWidth="1"/>
    <col min="6151" max="6151" width="10.7109375" style="57" customWidth="1"/>
    <col min="6152" max="6152" width="11.85546875" style="57" customWidth="1"/>
    <col min="6153" max="6153" width="11.42578125" style="57" customWidth="1"/>
    <col min="6154" max="6154" width="12.28515625" style="57" customWidth="1"/>
    <col min="6155" max="6155" width="11" style="57" customWidth="1"/>
    <col min="6156" max="6156" width="12" style="57" customWidth="1"/>
    <col min="6157" max="6157" width="12.85546875" style="57" bestFit="1" customWidth="1"/>
    <col min="6158" max="6158" width="13.85546875" style="57" customWidth="1"/>
    <col min="6159" max="6159" width="4.85546875" style="57" bestFit="1" customWidth="1"/>
    <col min="6160" max="6160" width="12" style="57" bestFit="1" customWidth="1"/>
    <col min="6161" max="6161" width="10.28515625" style="57" bestFit="1" customWidth="1"/>
    <col min="6162" max="6162" width="12" style="57" bestFit="1" customWidth="1"/>
    <col min="6163" max="6163" width="12.5703125" style="57" bestFit="1" customWidth="1"/>
    <col min="6164" max="6164" width="12" style="57" bestFit="1" customWidth="1"/>
    <col min="6165" max="6166" width="11.7109375" style="57" bestFit="1" customWidth="1"/>
    <col min="6167" max="6167" width="11.140625" style="57" bestFit="1" customWidth="1"/>
    <col min="6168" max="6400" width="9.140625" style="57"/>
    <col min="6401" max="6401" width="10.28515625" style="57" customWidth="1"/>
    <col min="6402" max="6402" width="10.42578125" style="57" customWidth="1"/>
    <col min="6403" max="6403" width="12.7109375" style="57" customWidth="1"/>
    <col min="6404" max="6404" width="11.28515625" style="57" customWidth="1"/>
    <col min="6405" max="6405" width="11.85546875" style="57" customWidth="1"/>
    <col min="6406" max="6406" width="11.7109375" style="57" customWidth="1"/>
    <col min="6407" max="6407" width="10.7109375" style="57" customWidth="1"/>
    <col min="6408" max="6408" width="11.85546875" style="57" customWidth="1"/>
    <col min="6409" max="6409" width="11.42578125" style="57" customWidth="1"/>
    <col min="6410" max="6410" width="12.28515625" style="57" customWidth="1"/>
    <col min="6411" max="6411" width="11" style="57" customWidth="1"/>
    <col min="6412" max="6412" width="12" style="57" customWidth="1"/>
    <col min="6413" max="6413" width="12.85546875" style="57" bestFit="1" customWidth="1"/>
    <col min="6414" max="6414" width="13.85546875" style="57" customWidth="1"/>
    <col min="6415" max="6415" width="4.85546875" style="57" bestFit="1" customWidth="1"/>
    <col min="6416" max="6416" width="12" style="57" bestFit="1" customWidth="1"/>
    <col min="6417" max="6417" width="10.28515625" style="57" bestFit="1" customWidth="1"/>
    <col min="6418" max="6418" width="12" style="57" bestFit="1" customWidth="1"/>
    <col min="6419" max="6419" width="12.5703125" style="57" bestFit="1" customWidth="1"/>
    <col min="6420" max="6420" width="12" style="57" bestFit="1" customWidth="1"/>
    <col min="6421" max="6422" width="11.7109375" style="57" bestFit="1" customWidth="1"/>
    <col min="6423" max="6423" width="11.140625" style="57" bestFit="1" customWidth="1"/>
    <col min="6424" max="6656" width="9.140625" style="57"/>
    <col min="6657" max="6657" width="10.28515625" style="57" customWidth="1"/>
    <col min="6658" max="6658" width="10.42578125" style="57" customWidth="1"/>
    <col min="6659" max="6659" width="12.7109375" style="57" customWidth="1"/>
    <col min="6660" max="6660" width="11.28515625" style="57" customWidth="1"/>
    <col min="6661" max="6661" width="11.85546875" style="57" customWidth="1"/>
    <col min="6662" max="6662" width="11.7109375" style="57" customWidth="1"/>
    <col min="6663" max="6663" width="10.7109375" style="57" customWidth="1"/>
    <col min="6664" max="6664" width="11.85546875" style="57" customWidth="1"/>
    <col min="6665" max="6665" width="11.42578125" style="57" customWidth="1"/>
    <col min="6666" max="6666" width="12.28515625" style="57" customWidth="1"/>
    <col min="6667" max="6667" width="11" style="57" customWidth="1"/>
    <col min="6668" max="6668" width="12" style="57" customWidth="1"/>
    <col min="6669" max="6669" width="12.85546875" style="57" bestFit="1" customWidth="1"/>
    <col min="6670" max="6670" width="13.85546875" style="57" customWidth="1"/>
    <col min="6671" max="6671" width="4.85546875" style="57" bestFit="1" customWidth="1"/>
    <col min="6672" max="6672" width="12" style="57" bestFit="1" customWidth="1"/>
    <col min="6673" max="6673" width="10.28515625" style="57" bestFit="1" customWidth="1"/>
    <col min="6674" max="6674" width="12" style="57" bestFit="1" customWidth="1"/>
    <col min="6675" max="6675" width="12.5703125" style="57" bestFit="1" customWidth="1"/>
    <col min="6676" max="6676" width="12" style="57" bestFit="1" customWidth="1"/>
    <col min="6677" max="6678" width="11.7109375" style="57" bestFit="1" customWidth="1"/>
    <col min="6679" max="6679" width="11.140625" style="57" bestFit="1" customWidth="1"/>
    <col min="6680" max="6912" width="9.140625" style="57"/>
    <col min="6913" max="6913" width="10.28515625" style="57" customWidth="1"/>
    <col min="6914" max="6914" width="10.42578125" style="57" customWidth="1"/>
    <col min="6915" max="6915" width="12.7109375" style="57" customWidth="1"/>
    <col min="6916" max="6916" width="11.28515625" style="57" customWidth="1"/>
    <col min="6917" max="6917" width="11.85546875" style="57" customWidth="1"/>
    <col min="6918" max="6918" width="11.7109375" style="57" customWidth="1"/>
    <col min="6919" max="6919" width="10.7109375" style="57" customWidth="1"/>
    <col min="6920" max="6920" width="11.85546875" style="57" customWidth="1"/>
    <col min="6921" max="6921" width="11.42578125" style="57" customWidth="1"/>
    <col min="6922" max="6922" width="12.28515625" style="57" customWidth="1"/>
    <col min="6923" max="6923" width="11" style="57" customWidth="1"/>
    <col min="6924" max="6924" width="12" style="57" customWidth="1"/>
    <col min="6925" max="6925" width="12.85546875" style="57" bestFit="1" customWidth="1"/>
    <col min="6926" max="6926" width="13.85546875" style="57" customWidth="1"/>
    <col min="6927" max="6927" width="4.85546875" style="57" bestFit="1" customWidth="1"/>
    <col min="6928" max="6928" width="12" style="57" bestFit="1" customWidth="1"/>
    <col min="6929" max="6929" width="10.28515625" style="57" bestFit="1" customWidth="1"/>
    <col min="6930" max="6930" width="12" style="57" bestFit="1" customWidth="1"/>
    <col min="6931" max="6931" width="12.5703125" style="57" bestFit="1" customWidth="1"/>
    <col min="6932" max="6932" width="12" style="57" bestFit="1" customWidth="1"/>
    <col min="6933" max="6934" width="11.7109375" style="57" bestFit="1" customWidth="1"/>
    <col min="6935" max="6935" width="11.140625" style="57" bestFit="1" customWidth="1"/>
    <col min="6936" max="7168" width="9.140625" style="57"/>
    <col min="7169" max="7169" width="10.28515625" style="57" customWidth="1"/>
    <col min="7170" max="7170" width="10.42578125" style="57" customWidth="1"/>
    <col min="7171" max="7171" width="12.7109375" style="57" customWidth="1"/>
    <col min="7172" max="7172" width="11.28515625" style="57" customWidth="1"/>
    <col min="7173" max="7173" width="11.85546875" style="57" customWidth="1"/>
    <col min="7174" max="7174" width="11.7109375" style="57" customWidth="1"/>
    <col min="7175" max="7175" width="10.7109375" style="57" customWidth="1"/>
    <col min="7176" max="7176" width="11.85546875" style="57" customWidth="1"/>
    <col min="7177" max="7177" width="11.42578125" style="57" customWidth="1"/>
    <col min="7178" max="7178" width="12.28515625" style="57" customWidth="1"/>
    <col min="7179" max="7179" width="11" style="57" customWidth="1"/>
    <col min="7180" max="7180" width="12" style="57" customWidth="1"/>
    <col min="7181" max="7181" width="12.85546875" style="57" bestFit="1" customWidth="1"/>
    <col min="7182" max="7182" width="13.85546875" style="57" customWidth="1"/>
    <col min="7183" max="7183" width="4.85546875" style="57" bestFit="1" customWidth="1"/>
    <col min="7184" max="7184" width="12" style="57" bestFit="1" customWidth="1"/>
    <col min="7185" max="7185" width="10.28515625" style="57" bestFit="1" customWidth="1"/>
    <col min="7186" max="7186" width="12" style="57" bestFit="1" customWidth="1"/>
    <col min="7187" max="7187" width="12.5703125" style="57" bestFit="1" customWidth="1"/>
    <col min="7188" max="7188" width="12" style="57" bestFit="1" customWidth="1"/>
    <col min="7189" max="7190" width="11.7109375" style="57" bestFit="1" customWidth="1"/>
    <col min="7191" max="7191" width="11.140625" style="57" bestFit="1" customWidth="1"/>
    <col min="7192" max="7424" width="9.140625" style="57"/>
    <col min="7425" max="7425" width="10.28515625" style="57" customWidth="1"/>
    <col min="7426" max="7426" width="10.42578125" style="57" customWidth="1"/>
    <col min="7427" max="7427" width="12.7109375" style="57" customWidth="1"/>
    <col min="7428" max="7428" width="11.28515625" style="57" customWidth="1"/>
    <col min="7429" max="7429" width="11.85546875" style="57" customWidth="1"/>
    <col min="7430" max="7430" width="11.7109375" style="57" customWidth="1"/>
    <col min="7431" max="7431" width="10.7109375" style="57" customWidth="1"/>
    <col min="7432" max="7432" width="11.85546875" style="57" customWidth="1"/>
    <col min="7433" max="7433" width="11.42578125" style="57" customWidth="1"/>
    <col min="7434" max="7434" width="12.28515625" style="57" customWidth="1"/>
    <col min="7435" max="7435" width="11" style="57" customWidth="1"/>
    <col min="7436" max="7436" width="12" style="57" customWidth="1"/>
    <col min="7437" max="7437" width="12.85546875" style="57" bestFit="1" customWidth="1"/>
    <col min="7438" max="7438" width="13.85546875" style="57" customWidth="1"/>
    <col min="7439" max="7439" width="4.85546875" style="57" bestFit="1" customWidth="1"/>
    <col min="7440" max="7440" width="12" style="57" bestFit="1" customWidth="1"/>
    <col min="7441" max="7441" width="10.28515625" style="57" bestFit="1" customWidth="1"/>
    <col min="7442" max="7442" width="12" style="57" bestFit="1" customWidth="1"/>
    <col min="7443" max="7443" width="12.5703125" style="57" bestFit="1" customWidth="1"/>
    <col min="7444" max="7444" width="12" style="57" bestFit="1" customWidth="1"/>
    <col min="7445" max="7446" width="11.7109375" style="57" bestFit="1" customWidth="1"/>
    <col min="7447" max="7447" width="11.140625" style="57" bestFit="1" customWidth="1"/>
    <col min="7448" max="7680" width="9.140625" style="57"/>
    <col min="7681" max="7681" width="10.28515625" style="57" customWidth="1"/>
    <col min="7682" max="7682" width="10.42578125" style="57" customWidth="1"/>
    <col min="7683" max="7683" width="12.7109375" style="57" customWidth="1"/>
    <col min="7684" max="7684" width="11.28515625" style="57" customWidth="1"/>
    <col min="7685" max="7685" width="11.85546875" style="57" customWidth="1"/>
    <col min="7686" max="7686" width="11.7109375" style="57" customWidth="1"/>
    <col min="7687" max="7687" width="10.7109375" style="57" customWidth="1"/>
    <col min="7688" max="7688" width="11.85546875" style="57" customWidth="1"/>
    <col min="7689" max="7689" width="11.42578125" style="57" customWidth="1"/>
    <col min="7690" max="7690" width="12.28515625" style="57" customWidth="1"/>
    <col min="7691" max="7691" width="11" style="57" customWidth="1"/>
    <col min="7692" max="7692" width="12" style="57" customWidth="1"/>
    <col min="7693" max="7693" width="12.85546875" style="57" bestFit="1" customWidth="1"/>
    <col min="7694" max="7694" width="13.85546875" style="57" customWidth="1"/>
    <col min="7695" max="7695" width="4.85546875" style="57" bestFit="1" customWidth="1"/>
    <col min="7696" max="7696" width="12" style="57" bestFit="1" customWidth="1"/>
    <col min="7697" max="7697" width="10.28515625" style="57" bestFit="1" customWidth="1"/>
    <col min="7698" max="7698" width="12" style="57" bestFit="1" customWidth="1"/>
    <col min="7699" max="7699" width="12.5703125" style="57" bestFit="1" customWidth="1"/>
    <col min="7700" max="7700" width="12" style="57" bestFit="1" customWidth="1"/>
    <col min="7701" max="7702" width="11.7109375" style="57" bestFit="1" customWidth="1"/>
    <col min="7703" max="7703" width="11.140625" style="57" bestFit="1" customWidth="1"/>
    <col min="7704" max="7936" width="9.140625" style="57"/>
    <col min="7937" max="7937" width="10.28515625" style="57" customWidth="1"/>
    <col min="7938" max="7938" width="10.42578125" style="57" customWidth="1"/>
    <col min="7939" max="7939" width="12.7109375" style="57" customWidth="1"/>
    <col min="7940" max="7940" width="11.28515625" style="57" customWidth="1"/>
    <col min="7941" max="7941" width="11.85546875" style="57" customWidth="1"/>
    <col min="7942" max="7942" width="11.7109375" style="57" customWidth="1"/>
    <col min="7943" max="7943" width="10.7109375" style="57" customWidth="1"/>
    <col min="7944" max="7944" width="11.85546875" style="57" customWidth="1"/>
    <col min="7945" max="7945" width="11.42578125" style="57" customWidth="1"/>
    <col min="7946" max="7946" width="12.28515625" style="57" customWidth="1"/>
    <col min="7947" max="7947" width="11" style="57" customWidth="1"/>
    <col min="7948" max="7948" width="12" style="57" customWidth="1"/>
    <col min="7949" max="7949" width="12.85546875" style="57" bestFit="1" customWidth="1"/>
    <col min="7950" max="7950" width="13.85546875" style="57" customWidth="1"/>
    <col min="7951" max="7951" width="4.85546875" style="57" bestFit="1" customWidth="1"/>
    <col min="7952" max="7952" width="12" style="57" bestFit="1" customWidth="1"/>
    <col min="7953" max="7953" width="10.28515625" style="57" bestFit="1" customWidth="1"/>
    <col min="7954" max="7954" width="12" style="57" bestFit="1" customWidth="1"/>
    <col min="7955" max="7955" width="12.5703125" style="57" bestFit="1" customWidth="1"/>
    <col min="7956" max="7956" width="12" style="57" bestFit="1" customWidth="1"/>
    <col min="7957" max="7958" width="11.7109375" style="57" bestFit="1" customWidth="1"/>
    <col min="7959" max="7959" width="11.140625" style="57" bestFit="1" customWidth="1"/>
    <col min="7960" max="8192" width="9.140625" style="57"/>
    <col min="8193" max="8193" width="10.28515625" style="57" customWidth="1"/>
    <col min="8194" max="8194" width="10.42578125" style="57" customWidth="1"/>
    <col min="8195" max="8195" width="12.7109375" style="57" customWidth="1"/>
    <col min="8196" max="8196" width="11.28515625" style="57" customWidth="1"/>
    <col min="8197" max="8197" width="11.85546875" style="57" customWidth="1"/>
    <col min="8198" max="8198" width="11.7109375" style="57" customWidth="1"/>
    <col min="8199" max="8199" width="10.7109375" style="57" customWidth="1"/>
    <col min="8200" max="8200" width="11.85546875" style="57" customWidth="1"/>
    <col min="8201" max="8201" width="11.42578125" style="57" customWidth="1"/>
    <col min="8202" max="8202" width="12.28515625" style="57" customWidth="1"/>
    <col min="8203" max="8203" width="11" style="57" customWidth="1"/>
    <col min="8204" max="8204" width="12" style="57" customWidth="1"/>
    <col min="8205" max="8205" width="12.85546875" style="57" bestFit="1" customWidth="1"/>
    <col min="8206" max="8206" width="13.85546875" style="57" customWidth="1"/>
    <col min="8207" max="8207" width="4.85546875" style="57" bestFit="1" customWidth="1"/>
    <col min="8208" max="8208" width="12" style="57" bestFit="1" customWidth="1"/>
    <col min="8209" max="8209" width="10.28515625" style="57" bestFit="1" customWidth="1"/>
    <col min="8210" max="8210" width="12" style="57" bestFit="1" customWidth="1"/>
    <col min="8211" max="8211" width="12.5703125" style="57" bestFit="1" customWidth="1"/>
    <col min="8212" max="8212" width="12" style="57" bestFit="1" customWidth="1"/>
    <col min="8213" max="8214" width="11.7109375" style="57" bestFit="1" customWidth="1"/>
    <col min="8215" max="8215" width="11.140625" style="57" bestFit="1" customWidth="1"/>
    <col min="8216" max="8448" width="9.140625" style="57"/>
    <col min="8449" max="8449" width="10.28515625" style="57" customWidth="1"/>
    <col min="8450" max="8450" width="10.42578125" style="57" customWidth="1"/>
    <col min="8451" max="8451" width="12.7109375" style="57" customWidth="1"/>
    <col min="8452" max="8452" width="11.28515625" style="57" customWidth="1"/>
    <col min="8453" max="8453" width="11.85546875" style="57" customWidth="1"/>
    <col min="8454" max="8454" width="11.7109375" style="57" customWidth="1"/>
    <col min="8455" max="8455" width="10.7109375" style="57" customWidth="1"/>
    <col min="8456" max="8456" width="11.85546875" style="57" customWidth="1"/>
    <col min="8457" max="8457" width="11.42578125" style="57" customWidth="1"/>
    <col min="8458" max="8458" width="12.28515625" style="57" customWidth="1"/>
    <col min="8459" max="8459" width="11" style="57" customWidth="1"/>
    <col min="8460" max="8460" width="12" style="57" customWidth="1"/>
    <col min="8461" max="8461" width="12.85546875" style="57" bestFit="1" customWidth="1"/>
    <col min="8462" max="8462" width="13.85546875" style="57" customWidth="1"/>
    <col min="8463" max="8463" width="4.85546875" style="57" bestFit="1" customWidth="1"/>
    <col min="8464" max="8464" width="12" style="57" bestFit="1" customWidth="1"/>
    <col min="8465" max="8465" width="10.28515625" style="57" bestFit="1" customWidth="1"/>
    <col min="8466" max="8466" width="12" style="57" bestFit="1" customWidth="1"/>
    <col min="8467" max="8467" width="12.5703125" style="57" bestFit="1" customWidth="1"/>
    <col min="8468" max="8468" width="12" style="57" bestFit="1" customWidth="1"/>
    <col min="8469" max="8470" width="11.7109375" style="57" bestFit="1" customWidth="1"/>
    <col min="8471" max="8471" width="11.140625" style="57" bestFit="1" customWidth="1"/>
    <col min="8472" max="8704" width="9.140625" style="57"/>
    <col min="8705" max="8705" width="10.28515625" style="57" customWidth="1"/>
    <col min="8706" max="8706" width="10.42578125" style="57" customWidth="1"/>
    <col min="8707" max="8707" width="12.7109375" style="57" customWidth="1"/>
    <col min="8708" max="8708" width="11.28515625" style="57" customWidth="1"/>
    <col min="8709" max="8709" width="11.85546875" style="57" customWidth="1"/>
    <col min="8710" max="8710" width="11.7109375" style="57" customWidth="1"/>
    <col min="8711" max="8711" width="10.7109375" style="57" customWidth="1"/>
    <col min="8712" max="8712" width="11.85546875" style="57" customWidth="1"/>
    <col min="8713" max="8713" width="11.42578125" style="57" customWidth="1"/>
    <col min="8714" max="8714" width="12.28515625" style="57" customWidth="1"/>
    <col min="8715" max="8715" width="11" style="57" customWidth="1"/>
    <col min="8716" max="8716" width="12" style="57" customWidth="1"/>
    <col min="8717" max="8717" width="12.85546875" style="57" bestFit="1" customWidth="1"/>
    <col min="8718" max="8718" width="13.85546875" style="57" customWidth="1"/>
    <col min="8719" max="8719" width="4.85546875" style="57" bestFit="1" customWidth="1"/>
    <col min="8720" max="8720" width="12" style="57" bestFit="1" customWidth="1"/>
    <col min="8721" max="8721" width="10.28515625" style="57" bestFit="1" customWidth="1"/>
    <col min="8722" max="8722" width="12" style="57" bestFit="1" customWidth="1"/>
    <col min="8723" max="8723" width="12.5703125" style="57" bestFit="1" customWidth="1"/>
    <col min="8724" max="8724" width="12" style="57" bestFit="1" customWidth="1"/>
    <col min="8725" max="8726" width="11.7109375" style="57" bestFit="1" customWidth="1"/>
    <col min="8727" max="8727" width="11.140625" style="57" bestFit="1" customWidth="1"/>
    <col min="8728" max="8960" width="9.140625" style="57"/>
    <col min="8961" max="8961" width="10.28515625" style="57" customWidth="1"/>
    <col min="8962" max="8962" width="10.42578125" style="57" customWidth="1"/>
    <col min="8963" max="8963" width="12.7109375" style="57" customWidth="1"/>
    <col min="8964" max="8964" width="11.28515625" style="57" customWidth="1"/>
    <col min="8965" max="8965" width="11.85546875" style="57" customWidth="1"/>
    <col min="8966" max="8966" width="11.7109375" style="57" customWidth="1"/>
    <col min="8967" max="8967" width="10.7109375" style="57" customWidth="1"/>
    <col min="8968" max="8968" width="11.85546875" style="57" customWidth="1"/>
    <col min="8969" max="8969" width="11.42578125" style="57" customWidth="1"/>
    <col min="8970" max="8970" width="12.28515625" style="57" customWidth="1"/>
    <col min="8971" max="8971" width="11" style="57" customWidth="1"/>
    <col min="8972" max="8972" width="12" style="57" customWidth="1"/>
    <col min="8973" max="8973" width="12.85546875" style="57" bestFit="1" customWidth="1"/>
    <col min="8974" max="8974" width="13.85546875" style="57" customWidth="1"/>
    <col min="8975" max="8975" width="4.85546875" style="57" bestFit="1" customWidth="1"/>
    <col min="8976" max="8976" width="12" style="57" bestFit="1" customWidth="1"/>
    <col min="8977" max="8977" width="10.28515625" style="57" bestFit="1" customWidth="1"/>
    <col min="8978" max="8978" width="12" style="57" bestFit="1" customWidth="1"/>
    <col min="8979" max="8979" width="12.5703125" style="57" bestFit="1" customWidth="1"/>
    <col min="8980" max="8980" width="12" style="57" bestFit="1" customWidth="1"/>
    <col min="8981" max="8982" width="11.7109375" style="57" bestFit="1" customWidth="1"/>
    <col min="8983" max="8983" width="11.140625" style="57" bestFit="1" customWidth="1"/>
    <col min="8984" max="9216" width="9.140625" style="57"/>
    <col min="9217" max="9217" width="10.28515625" style="57" customWidth="1"/>
    <col min="9218" max="9218" width="10.42578125" style="57" customWidth="1"/>
    <col min="9219" max="9219" width="12.7109375" style="57" customWidth="1"/>
    <col min="9220" max="9220" width="11.28515625" style="57" customWidth="1"/>
    <col min="9221" max="9221" width="11.85546875" style="57" customWidth="1"/>
    <col min="9222" max="9222" width="11.7109375" style="57" customWidth="1"/>
    <col min="9223" max="9223" width="10.7109375" style="57" customWidth="1"/>
    <col min="9224" max="9224" width="11.85546875" style="57" customWidth="1"/>
    <col min="9225" max="9225" width="11.42578125" style="57" customWidth="1"/>
    <col min="9226" max="9226" width="12.28515625" style="57" customWidth="1"/>
    <col min="9227" max="9227" width="11" style="57" customWidth="1"/>
    <col min="9228" max="9228" width="12" style="57" customWidth="1"/>
    <col min="9229" max="9229" width="12.85546875" style="57" bestFit="1" customWidth="1"/>
    <col min="9230" max="9230" width="13.85546875" style="57" customWidth="1"/>
    <col min="9231" max="9231" width="4.85546875" style="57" bestFit="1" customWidth="1"/>
    <col min="9232" max="9232" width="12" style="57" bestFit="1" customWidth="1"/>
    <col min="9233" max="9233" width="10.28515625" style="57" bestFit="1" customWidth="1"/>
    <col min="9234" max="9234" width="12" style="57" bestFit="1" customWidth="1"/>
    <col min="9235" max="9235" width="12.5703125" style="57" bestFit="1" customWidth="1"/>
    <col min="9236" max="9236" width="12" style="57" bestFit="1" customWidth="1"/>
    <col min="9237" max="9238" width="11.7109375" style="57" bestFit="1" customWidth="1"/>
    <col min="9239" max="9239" width="11.140625" style="57" bestFit="1" customWidth="1"/>
    <col min="9240" max="9472" width="9.140625" style="57"/>
    <col min="9473" max="9473" width="10.28515625" style="57" customWidth="1"/>
    <col min="9474" max="9474" width="10.42578125" style="57" customWidth="1"/>
    <col min="9475" max="9475" width="12.7109375" style="57" customWidth="1"/>
    <col min="9476" max="9476" width="11.28515625" style="57" customWidth="1"/>
    <col min="9477" max="9477" width="11.85546875" style="57" customWidth="1"/>
    <col min="9478" max="9478" width="11.7109375" style="57" customWidth="1"/>
    <col min="9479" max="9479" width="10.7109375" style="57" customWidth="1"/>
    <col min="9480" max="9480" width="11.85546875" style="57" customWidth="1"/>
    <col min="9481" max="9481" width="11.42578125" style="57" customWidth="1"/>
    <col min="9482" max="9482" width="12.28515625" style="57" customWidth="1"/>
    <col min="9483" max="9483" width="11" style="57" customWidth="1"/>
    <col min="9484" max="9484" width="12" style="57" customWidth="1"/>
    <col min="9485" max="9485" width="12.85546875" style="57" bestFit="1" customWidth="1"/>
    <col min="9486" max="9486" width="13.85546875" style="57" customWidth="1"/>
    <col min="9487" max="9487" width="4.85546875" style="57" bestFit="1" customWidth="1"/>
    <col min="9488" max="9488" width="12" style="57" bestFit="1" customWidth="1"/>
    <col min="9489" max="9489" width="10.28515625" style="57" bestFit="1" customWidth="1"/>
    <col min="9490" max="9490" width="12" style="57" bestFit="1" customWidth="1"/>
    <col min="9491" max="9491" width="12.5703125" style="57" bestFit="1" customWidth="1"/>
    <col min="9492" max="9492" width="12" style="57" bestFit="1" customWidth="1"/>
    <col min="9493" max="9494" width="11.7109375" style="57" bestFit="1" customWidth="1"/>
    <col min="9495" max="9495" width="11.140625" style="57" bestFit="1" customWidth="1"/>
    <col min="9496" max="9728" width="9.140625" style="57"/>
    <col min="9729" max="9729" width="10.28515625" style="57" customWidth="1"/>
    <col min="9730" max="9730" width="10.42578125" style="57" customWidth="1"/>
    <col min="9731" max="9731" width="12.7109375" style="57" customWidth="1"/>
    <col min="9732" max="9732" width="11.28515625" style="57" customWidth="1"/>
    <col min="9733" max="9733" width="11.85546875" style="57" customWidth="1"/>
    <col min="9734" max="9734" width="11.7109375" style="57" customWidth="1"/>
    <col min="9735" max="9735" width="10.7109375" style="57" customWidth="1"/>
    <col min="9736" max="9736" width="11.85546875" style="57" customWidth="1"/>
    <col min="9737" max="9737" width="11.42578125" style="57" customWidth="1"/>
    <col min="9738" max="9738" width="12.28515625" style="57" customWidth="1"/>
    <col min="9739" max="9739" width="11" style="57" customWidth="1"/>
    <col min="9740" max="9740" width="12" style="57" customWidth="1"/>
    <col min="9741" max="9741" width="12.85546875" style="57" bestFit="1" customWidth="1"/>
    <col min="9742" max="9742" width="13.85546875" style="57" customWidth="1"/>
    <col min="9743" max="9743" width="4.85546875" style="57" bestFit="1" customWidth="1"/>
    <col min="9744" max="9744" width="12" style="57" bestFit="1" customWidth="1"/>
    <col min="9745" max="9745" width="10.28515625" style="57" bestFit="1" customWidth="1"/>
    <col min="9746" max="9746" width="12" style="57" bestFit="1" customWidth="1"/>
    <col min="9747" max="9747" width="12.5703125" style="57" bestFit="1" customWidth="1"/>
    <col min="9748" max="9748" width="12" style="57" bestFit="1" customWidth="1"/>
    <col min="9749" max="9750" width="11.7109375" style="57" bestFit="1" customWidth="1"/>
    <col min="9751" max="9751" width="11.140625" style="57" bestFit="1" customWidth="1"/>
    <col min="9752" max="9984" width="9.140625" style="57"/>
    <col min="9985" max="9985" width="10.28515625" style="57" customWidth="1"/>
    <col min="9986" max="9986" width="10.42578125" style="57" customWidth="1"/>
    <col min="9987" max="9987" width="12.7109375" style="57" customWidth="1"/>
    <col min="9988" max="9988" width="11.28515625" style="57" customWidth="1"/>
    <col min="9989" max="9989" width="11.85546875" style="57" customWidth="1"/>
    <col min="9990" max="9990" width="11.7109375" style="57" customWidth="1"/>
    <col min="9991" max="9991" width="10.7109375" style="57" customWidth="1"/>
    <col min="9992" max="9992" width="11.85546875" style="57" customWidth="1"/>
    <col min="9993" max="9993" width="11.42578125" style="57" customWidth="1"/>
    <col min="9994" max="9994" width="12.28515625" style="57" customWidth="1"/>
    <col min="9995" max="9995" width="11" style="57" customWidth="1"/>
    <col min="9996" max="9996" width="12" style="57" customWidth="1"/>
    <col min="9997" max="9997" width="12.85546875" style="57" bestFit="1" customWidth="1"/>
    <col min="9998" max="9998" width="13.85546875" style="57" customWidth="1"/>
    <col min="9999" max="9999" width="4.85546875" style="57" bestFit="1" customWidth="1"/>
    <col min="10000" max="10000" width="12" style="57" bestFit="1" customWidth="1"/>
    <col min="10001" max="10001" width="10.28515625" style="57" bestFit="1" customWidth="1"/>
    <col min="10002" max="10002" width="12" style="57" bestFit="1" customWidth="1"/>
    <col min="10003" max="10003" width="12.5703125" style="57" bestFit="1" customWidth="1"/>
    <col min="10004" max="10004" width="12" style="57" bestFit="1" customWidth="1"/>
    <col min="10005" max="10006" width="11.7109375" style="57" bestFit="1" customWidth="1"/>
    <col min="10007" max="10007" width="11.140625" style="57" bestFit="1" customWidth="1"/>
    <col min="10008" max="10240" width="9.140625" style="57"/>
    <col min="10241" max="10241" width="10.28515625" style="57" customWidth="1"/>
    <col min="10242" max="10242" width="10.42578125" style="57" customWidth="1"/>
    <col min="10243" max="10243" width="12.7109375" style="57" customWidth="1"/>
    <col min="10244" max="10244" width="11.28515625" style="57" customWidth="1"/>
    <col min="10245" max="10245" width="11.85546875" style="57" customWidth="1"/>
    <col min="10246" max="10246" width="11.7109375" style="57" customWidth="1"/>
    <col min="10247" max="10247" width="10.7109375" style="57" customWidth="1"/>
    <col min="10248" max="10248" width="11.85546875" style="57" customWidth="1"/>
    <col min="10249" max="10249" width="11.42578125" style="57" customWidth="1"/>
    <col min="10250" max="10250" width="12.28515625" style="57" customWidth="1"/>
    <col min="10251" max="10251" width="11" style="57" customWidth="1"/>
    <col min="10252" max="10252" width="12" style="57" customWidth="1"/>
    <col min="10253" max="10253" width="12.85546875" style="57" bestFit="1" customWidth="1"/>
    <col min="10254" max="10254" width="13.85546875" style="57" customWidth="1"/>
    <col min="10255" max="10255" width="4.85546875" style="57" bestFit="1" customWidth="1"/>
    <col min="10256" max="10256" width="12" style="57" bestFit="1" customWidth="1"/>
    <col min="10257" max="10257" width="10.28515625" style="57" bestFit="1" customWidth="1"/>
    <col min="10258" max="10258" width="12" style="57" bestFit="1" customWidth="1"/>
    <col min="10259" max="10259" width="12.5703125" style="57" bestFit="1" customWidth="1"/>
    <col min="10260" max="10260" width="12" style="57" bestFit="1" customWidth="1"/>
    <col min="10261" max="10262" width="11.7109375" style="57" bestFit="1" customWidth="1"/>
    <col min="10263" max="10263" width="11.140625" style="57" bestFit="1" customWidth="1"/>
    <col min="10264" max="10496" width="9.140625" style="57"/>
    <col min="10497" max="10497" width="10.28515625" style="57" customWidth="1"/>
    <col min="10498" max="10498" width="10.42578125" style="57" customWidth="1"/>
    <col min="10499" max="10499" width="12.7109375" style="57" customWidth="1"/>
    <col min="10500" max="10500" width="11.28515625" style="57" customWidth="1"/>
    <col min="10501" max="10501" width="11.85546875" style="57" customWidth="1"/>
    <col min="10502" max="10502" width="11.7109375" style="57" customWidth="1"/>
    <col min="10503" max="10503" width="10.7109375" style="57" customWidth="1"/>
    <col min="10504" max="10504" width="11.85546875" style="57" customWidth="1"/>
    <col min="10505" max="10505" width="11.42578125" style="57" customWidth="1"/>
    <col min="10506" max="10506" width="12.28515625" style="57" customWidth="1"/>
    <col min="10507" max="10507" width="11" style="57" customWidth="1"/>
    <col min="10508" max="10508" width="12" style="57" customWidth="1"/>
    <col min="10509" max="10509" width="12.85546875" style="57" bestFit="1" customWidth="1"/>
    <col min="10510" max="10510" width="13.85546875" style="57" customWidth="1"/>
    <col min="10511" max="10511" width="4.85546875" style="57" bestFit="1" customWidth="1"/>
    <col min="10512" max="10512" width="12" style="57" bestFit="1" customWidth="1"/>
    <col min="10513" max="10513" width="10.28515625" style="57" bestFit="1" customWidth="1"/>
    <col min="10514" max="10514" width="12" style="57" bestFit="1" customWidth="1"/>
    <col min="10515" max="10515" width="12.5703125" style="57" bestFit="1" customWidth="1"/>
    <col min="10516" max="10516" width="12" style="57" bestFit="1" customWidth="1"/>
    <col min="10517" max="10518" width="11.7109375" style="57" bestFit="1" customWidth="1"/>
    <col min="10519" max="10519" width="11.140625" style="57" bestFit="1" customWidth="1"/>
    <col min="10520" max="10752" width="9.140625" style="57"/>
    <col min="10753" max="10753" width="10.28515625" style="57" customWidth="1"/>
    <col min="10754" max="10754" width="10.42578125" style="57" customWidth="1"/>
    <col min="10755" max="10755" width="12.7109375" style="57" customWidth="1"/>
    <col min="10756" max="10756" width="11.28515625" style="57" customWidth="1"/>
    <col min="10757" max="10757" width="11.85546875" style="57" customWidth="1"/>
    <col min="10758" max="10758" width="11.7109375" style="57" customWidth="1"/>
    <col min="10759" max="10759" width="10.7109375" style="57" customWidth="1"/>
    <col min="10760" max="10760" width="11.85546875" style="57" customWidth="1"/>
    <col min="10761" max="10761" width="11.42578125" style="57" customWidth="1"/>
    <col min="10762" max="10762" width="12.28515625" style="57" customWidth="1"/>
    <col min="10763" max="10763" width="11" style="57" customWidth="1"/>
    <col min="10764" max="10764" width="12" style="57" customWidth="1"/>
    <col min="10765" max="10765" width="12.85546875" style="57" bestFit="1" customWidth="1"/>
    <col min="10766" max="10766" width="13.85546875" style="57" customWidth="1"/>
    <col min="10767" max="10767" width="4.85546875" style="57" bestFit="1" customWidth="1"/>
    <col min="10768" max="10768" width="12" style="57" bestFit="1" customWidth="1"/>
    <col min="10769" max="10769" width="10.28515625" style="57" bestFit="1" customWidth="1"/>
    <col min="10770" max="10770" width="12" style="57" bestFit="1" customWidth="1"/>
    <col min="10771" max="10771" width="12.5703125" style="57" bestFit="1" customWidth="1"/>
    <col min="10772" max="10772" width="12" style="57" bestFit="1" customWidth="1"/>
    <col min="10773" max="10774" width="11.7109375" style="57" bestFit="1" customWidth="1"/>
    <col min="10775" max="10775" width="11.140625" style="57" bestFit="1" customWidth="1"/>
    <col min="10776" max="11008" width="9.140625" style="57"/>
    <col min="11009" max="11009" width="10.28515625" style="57" customWidth="1"/>
    <col min="11010" max="11010" width="10.42578125" style="57" customWidth="1"/>
    <col min="11011" max="11011" width="12.7109375" style="57" customWidth="1"/>
    <col min="11012" max="11012" width="11.28515625" style="57" customWidth="1"/>
    <col min="11013" max="11013" width="11.85546875" style="57" customWidth="1"/>
    <col min="11014" max="11014" width="11.7109375" style="57" customWidth="1"/>
    <col min="11015" max="11015" width="10.7109375" style="57" customWidth="1"/>
    <col min="11016" max="11016" width="11.85546875" style="57" customWidth="1"/>
    <col min="11017" max="11017" width="11.42578125" style="57" customWidth="1"/>
    <col min="11018" max="11018" width="12.28515625" style="57" customWidth="1"/>
    <col min="11019" max="11019" width="11" style="57" customWidth="1"/>
    <col min="11020" max="11020" width="12" style="57" customWidth="1"/>
    <col min="11021" max="11021" width="12.85546875" style="57" bestFit="1" customWidth="1"/>
    <col min="11022" max="11022" width="13.85546875" style="57" customWidth="1"/>
    <col min="11023" max="11023" width="4.85546875" style="57" bestFit="1" customWidth="1"/>
    <col min="11024" max="11024" width="12" style="57" bestFit="1" customWidth="1"/>
    <col min="11025" max="11025" width="10.28515625" style="57" bestFit="1" customWidth="1"/>
    <col min="11026" max="11026" width="12" style="57" bestFit="1" customWidth="1"/>
    <col min="11027" max="11027" width="12.5703125" style="57" bestFit="1" customWidth="1"/>
    <col min="11028" max="11028" width="12" style="57" bestFit="1" customWidth="1"/>
    <col min="11029" max="11030" width="11.7109375" style="57" bestFit="1" customWidth="1"/>
    <col min="11031" max="11031" width="11.140625" style="57" bestFit="1" customWidth="1"/>
    <col min="11032" max="11264" width="9.140625" style="57"/>
    <col min="11265" max="11265" width="10.28515625" style="57" customWidth="1"/>
    <col min="11266" max="11266" width="10.42578125" style="57" customWidth="1"/>
    <col min="11267" max="11267" width="12.7109375" style="57" customWidth="1"/>
    <col min="11268" max="11268" width="11.28515625" style="57" customWidth="1"/>
    <col min="11269" max="11269" width="11.85546875" style="57" customWidth="1"/>
    <col min="11270" max="11270" width="11.7109375" style="57" customWidth="1"/>
    <col min="11271" max="11271" width="10.7109375" style="57" customWidth="1"/>
    <col min="11272" max="11272" width="11.85546875" style="57" customWidth="1"/>
    <col min="11273" max="11273" width="11.42578125" style="57" customWidth="1"/>
    <col min="11274" max="11274" width="12.28515625" style="57" customWidth="1"/>
    <col min="11275" max="11275" width="11" style="57" customWidth="1"/>
    <col min="11276" max="11276" width="12" style="57" customWidth="1"/>
    <col min="11277" max="11277" width="12.85546875" style="57" bestFit="1" customWidth="1"/>
    <col min="11278" max="11278" width="13.85546875" style="57" customWidth="1"/>
    <col min="11279" max="11279" width="4.85546875" style="57" bestFit="1" customWidth="1"/>
    <col min="11280" max="11280" width="12" style="57" bestFit="1" customWidth="1"/>
    <col min="11281" max="11281" width="10.28515625" style="57" bestFit="1" customWidth="1"/>
    <col min="11282" max="11282" width="12" style="57" bestFit="1" customWidth="1"/>
    <col min="11283" max="11283" width="12.5703125" style="57" bestFit="1" customWidth="1"/>
    <col min="11284" max="11284" width="12" style="57" bestFit="1" customWidth="1"/>
    <col min="11285" max="11286" width="11.7109375" style="57" bestFit="1" customWidth="1"/>
    <col min="11287" max="11287" width="11.140625" style="57" bestFit="1" customWidth="1"/>
    <col min="11288" max="11520" width="9.140625" style="57"/>
    <col min="11521" max="11521" width="10.28515625" style="57" customWidth="1"/>
    <col min="11522" max="11522" width="10.42578125" style="57" customWidth="1"/>
    <col min="11523" max="11523" width="12.7109375" style="57" customWidth="1"/>
    <col min="11524" max="11524" width="11.28515625" style="57" customWidth="1"/>
    <col min="11525" max="11525" width="11.85546875" style="57" customWidth="1"/>
    <col min="11526" max="11526" width="11.7109375" style="57" customWidth="1"/>
    <col min="11527" max="11527" width="10.7109375" style="57" customWidth="1"/>
    <col min="11528" max="11528" width="11.85546875" style="57" customWidth="1"/>
    <col min="11529" max="11529" width="11.42578125" style="57" customWidth="1"/>
    <col min="11530" max="11530" width="12.28515625" style="57" customWidth="1"/>
    <col min="11531" max="11531" width="11" style="57" customWidth="1"/>
    <col min="11532" max="11532" width="12" style="57" customWidth="1"/>
    <col min="11533" max="11533" width="12.85546875" style="57" bestFit="1" customWidth="1"/>
    <col min="11534" max="11534" width="13.85546875" style="57" customWidth="1"/>
    <col min="11535" max="11535" width="4.85546875" style="57" bestFit="1" customWidth="1"/>
    <col min="11536" max="11536" width="12" style="57" bestFit="1" customWidth="1"/>
    <col min="11537" max="11537" width="10.28515625" style="57" bestFit="1" customWidth="1"/>
    <col min="11538" max="11538" width="12" style="57" bestFit="1" customWidth="1"/>
    <col min="11539" max="11539" width="12.5703125" style="57" bestFit="1" customWidth="1"/>
    <col min="11540" max="11540" width="12" style="57" bestFit="1" customWidth="1"/>
    <col min="11541" max="11542" width="11.7109375" style="57" bestFit="1" customWidth="1"/>
    <col min="11543" max="11543" width="11.140625" style="57" bestFit="1" customWidth="1"/>
    <col min="11544" max="11776" width="9.140625" style="57"/>
    <col min="11777" max="11777" width="10.28515625" style="57" customWidth="1"/>
    <col min="11778" max="11778" width="10.42578125" style="57" customWidth="1"/>
    <col min="11779" max="11779" width="12.7109375" style="57" customWidth="1"/>
    <col min="11780" max="11780" width="11.28515625" style="57" customWidth="1"/>
    <col min="11781" max="11781" width="11.85546875" style="57" customWidth="1"/>
    <col min="11782" max="11782" width="11.7109375" style="57" customWidth="1"/>
    <col min="11783" max="11783" width="10.7109375" style="57" customWidth="1"/>
    <col min="11784" max="11784" width="11.85546875" style="57" customWidth="1"/>
    <col min="11785" max="11785" width="11.42578125" style="57" customWidth="1"/>
    <col min="11786" max="11786" width="12.28515625" style="57" customWidth="1"/>
    <col min="11787" max="11787" width="11" style="57" customWidth="1"/>
    <col min="11788" max="11788" width="12" style="57" customWidth="1"/>
    <col min="11789" max="11789" width="12.85546875" style="57" bestFit="1" customWidth="1"/>
    <col min="11790" max="11790" width="13.85546875" style="57" customWidth="1"/>
    <col min="11791" max="11791" width="4.85546875" style="57" bestFit="1" customWidth="1"/>
    <col min="11792" max="11792" width="12" style="57" bestFit="1" customWidth="1"/>
    <col min="11793" max="11793" width="10.28515625" style="57" bestFit="1" customWidth="1"/>
    <col min="11794" max="11794" width="12" style="57" bestFit="1" customWidth="1"/>
    <col min="11795" max="11795" width="12.5703125" style="57" bestFit="1" customWidth="1"/>
    <col min="11796" max="11796" width="12" style="57" bestFit="1" customWidth="1"/>
    <col min="11797" max="11798" width="11.7109375" style="57" bestFit="1" customWidth="1"/>
    <col min="11799" max="11799" width="11.140625" style="57" bestFit="1" customWidth="1"/>
    <col min="11800" max="12032" width="9.140625" style="57"/>
    <col min="12033" max="12033" width="10.28515625" style="57" customWidth="1"/>
    <col min="12034" max="12034" width="10.42578125" style="57" customWidth="1"/>
    <col min="12035" max="12035" width="12.7109375" style="57" customWidth="1"/>
    <col min="12036" max="12036" width="11.28515625" style="57" customWidth="1"/>
    <col min="12037" max="12037" width="11.85546875" style="57" customWidth="1"/>
    <col min="12038" max="12038" width="11.7109375" style="57" customWidth="1"/>
    <col min="12039" max="12039" width="10.7109375" style="57" customWidth="1"/>
    <col min="12040" max="12040" width="11.85546875" style="57" customWidth="1"/>
    <col min="12041" max="12041" width="11.42578125" style="57" customWidth="1"/>
    <col min="12042" max="12042" width="12.28515625" style="57" customWidth="1"/>
    <col min="12043" max="12043" width="11" style="57" customWidth="1"/>
    <col min="12044" max="12044" width="12" style="57" customWidth="1"/>
    <col min="12045" max="12045" width="12.85546875" style="57" bestFit="1" customWidth="1"/>
    <col min="12046" max="12046" width="13.85546875" style="57" customWidth="1"/>
    <col min="12047" max="12047" width="4.85546875" style="57" bestFit="1" customWidth="1"/>
    <col min="12048" max="12048" width="12" style="57" bestFit="1" customWidth="1"/>
    <col min="12049" max="12049" width="10.28515625" style="57" bestFit="1" customWidth="1"/>
    <col min="12050" max="12050" width="12" style="57" bestFit="1" customWidth="1"/>
    <col min="12051" max="12051" width="12.5703125" style="57" bestFit="1" customWidth="1"/>
    <col min="12052" max="12052" width="12" style="57" bestFit="1" customWidth="1"/>
    <col min="12053" max="12054" width="11.7109375" style="57" bestFit="1" customWidth="1"/>
    <col min="12055" max="12055" width="11.140625" style="57" bestFit="1" customWidth="1"/>
    <col min="12056" max="12288" width="9.140625" style="57"/>
    <col min="12289" max="12289" width="10.28515625" style="57" customWidth="1"/>
    <col min="12290" max="12290" width="10.42578125" style="57" customWidth="1"/>
    <col min="12291" max="12291" width="12.7109375" style="57" customWidth="1"/>
    <col min="12292" max="12292" width="11.28515625" style="57" customWidth="1"/>
    <col min="12293" max="12293" width="11.85546875" style="57" customWidth="1"/>
    <col min="12294" max="12294" width="11.7109375" style="57" customWidth="1"/>
    <col min="12295" max="12295" width="10.7109375" style="57" customWidth="1"/>
    <col min="12296" max="12296" width="11.85546875" style="57" customWidth="1"/>
    <col min="12297" max="12297" width="11.42578125" style="57" customWidth="1"/>
    <col min="12298" max="12298" width="12.28515625" style="57" customWidth="1"/>
    <col min="12299" max="12299" width="11" style="57" customWidth="1"/>
    <col min="12300" max="12300" width="12" style="57" customWidth="1"/>
    <col min="12301" max="12301" width="12.85546875" style="57" bestFit="1" customWidth="1"/>
    <col min="12302" max="12302" width="13.85546875" style="57" customWidth="1"/>
    <col min="12303" max="12303" width="4.85546875" style="57" bestFit="1" customWidth="1"/>
    <col min="12304" max="12304" width="12" style="57" bestFit="1" customWidth="1"/>
    <col min="12305" max="12305" width="10.28515625" style="57" bestFit="1" customWidth="1"/>
    <col min="12306" max="12306" width="12" style="57" bestFit="1" customWidth="1"/>
    <col min="12307" max="12307" width="12.5703125" style="57" bestFit="1" customWidth="1"/>
    <col min="12308" max="12308" width="12" style="57" bestFit="1" customWidth="1"/>
    <col min="12309" max="12310" width="11.7109375" style="57" bestFit="1" customWidth="1"/>
    <col min="12311" max="12311" width="11.140625" style="57" bestFit="1" customWidth="1"/>
    <col min="12312" max="12544" width="9.140625" style="57"/>
    <col min="12545" max="12545" width="10.28515625" style="57" customWidth="1"/>
    <col min="12546" max="12546" width="10.42578125" style="57" customWidth="1"/>
    <col min="12547" max="12547" width="12.7109375" style="57" customWidth="1"/>
    <col min="12548" max="12548" width="11.28515625" style="57" customWidth="1"/>
    <col min="12549" max="12549" width="11.85546875" style="57" customWidth="1"/>
    <col min="12550" max="12550" width="11.7109375" style="57" customWidth="1"/>
    <col min="12551" max="12551" width="10.7109375" style="57" customWidth="1"/>
    <col min="12552" max="12552" width="11.85546875" style="57" customWidth="1"/>
    <col min="12553" max="12553" width="11.42578125" style="57" customWidth="1"/>
    <col min="12554" max="12554" width="12.28515625" style="57" customWidth="1"/>
    <col min="12555" max="12555" width="11" style="57" customWidth="1"/>
    <col min="12556" max="12556" width="12" style="57" customWidth="1"/>
    <col min="12557" max="12557" width="12.85546875" style="57" bestFit="1" customWidth="1"/>
    <col min="12558" max="12558" width="13.85546875" style="57" customWidth="1"/>
    <col min="12559" max="12559" width="4.85546875" style="57" bestFit="1" customWidth="1"/>
    <col min="12560" max="12560" width="12" style="57" bestFit="1" customWidth="1"/>
    <col min="12561" max="12561" width="10.28515625" style="57" bestFit="1" customWidth="1"/>
    <col min="12562" max="12562" width="12" style="57" bestFit="1" customWidth="1"/>
    <col min="12563" max="12563" width="12.5703125" style="57" bestFit="1" customWidth="1"/>
    <col min="12564" max="12564" width="12" style="57" bestFit="1" customWidth="1"/>
    <col min="12565" max="12566" width="11.7109375" style="57" bestFit="1" customWidth="1"/>
    <col min="12567" max="12567" width="11.140625" style="57" bestFit="1" customWidth="1"/>
    <col min="12568" max="12800" width="9.140625" style="57"/>
    <col min="12801" max="12801" width="10.28515625" style="57" customWidth="1"/>
    <col min="12802" max="12802" width="10.42578125" style="57" customWidth="1"/>
    <col min="12803" max="12803" width="12.7109375" style="57" customWidth="1"/>
    <col min="12804" max="12804" width="11.28515625" style="57" customWidth="1"/>
    <col min="12805" max="12805" width="11.85546875" style="57" customWidth="1"/>
    <col min="12806" max="12806" width="11.7109375" style="57" customWidth="1"/>
    <col min="12807" max="12807" width="10.7109375" style="57" customWidth="1"/>
    <col min="12808" max="12808" width="11.85546875" style="57" customWidth="1"/>
    <col min="12809" max="12809" width="11.42578125" style="57" customWidth="1"/>
    <col min="12810" max="12810" width="12.28515625" style="57" customWidth="1"/>
    <col min="12811" max="12811" width="11" style="57" customWidth="1"/>
    <col min="12812" max="12812" width="12" style="57" customWidth="1"/>
    <col min="12813" max="12813" width="12.85546875" style="57" bestFit="1" customWidth="1"/>
    <col min="12814" max="12814" width="13.85546875" style="57" customWidth="1"/>
    <col min="12815" max="12815" width="4.85546875" style="57" bestFit="1" customWidth="1"/>
    <col min="12816" max="12816" width="12" style="57" bestFit="1" customWidth="1"/>
    <col min="12817" max="12817" width="10.28515625" style="57" bestFit="1" customWidth="1"/>
    <col min="12818" max="12818" width="12" style="57" bestFit="1" customWidth="1"/>
    <col min="12819" max="12819" width="12.5703125" style="57" bestFit="1" customWidth="1"/>
    <col min="12820" max="12820" width="12" style="57" bestFit="1" customWidth="1"/>
    <col min="12821" max="12822" width="11.7109375" style="57" bestFit="1" customWidth="1"/>
    <col min="12823" max="12823" width="11.140625" style="57" bestFit="1" customWidth="1"/>
    <col min="12824" max="13056" width="9.140625" style="57"/>
    <col min="13057" max="13057" width="10.28515625" style="57" customWidth="1"/>
    <col min="13058" max="13058" width="10.42578125" style="57" customWidth="1"/>
    <col min="13059" max="13059" width="12.7109375" style="57" customWidth="1"/>
    <col min="13060" max="13060" width="11.28515625" style="57" customWidth="1"/>
    <col min="13061" max="13061" width="11.85546875" style="57" customWidth="1"/>
    <col min="13062" max="13062" width="11.7109375" style="57" customWidth="1"/>
    <col min="13063" max="13063" width="10.7109375" style="57" customWidth="1"/>
    <col min="13064" max="13064" width="11.85546875" style="57" customWidth="1"/>
    <col min="13065" max="13065" width="11.42578125" style="57" customWidth="1"/>
    <col min="13066" max="13066" width="12.28515625" style="57" customWidth="1"/>
    <col min="13067" max="13067" width="11" style="57" customWidth="1"/>
    <col min="13068" max="13068" width="12" style="57" customWidth="1"/>
    <col min="13069" max="13069" width="12.85546875" style="57" bestFit="1" customWidth="1"/>
    <col min="13070" max="13070" width="13.85546875" style="57" customWidth="1"/>
    <col min="13071" max="13071" width="4.85546875" style="57" bestFit="1" customWidth="1"/>
    <col min="13072" max="13072" width="12" style="57" bestFit="1" customWidth="1"/>
    <col min="13073" max="13073" width="10.28515625" style="57" bestFit="1" customWidth="1"/>
    <col min="13074" max="13074" width="12" style="57" bestFit="1" customWidth="1"/>
    <col min="13075" max="13075" width="12.5703125" style="57" bestFit="1" customWidth="1"/>
    <col min="13076" max="13076" width="12" style="57" bestFit="1" customWidth="1"/>
    <col min="13077" max="13078" width="11.7109375" style="57" bestFit="1" customWidth="1"/>
    <col min="13079" max="13079" width="11.140625" style="57" bestFit="1" customWidth="1"/>
    <col min="13080" max="13312" width="9.140625" style="57"/>
    <col min="13313" max="13313" width="10.28515625" style="57" customWidth="1"/>
    <col min="13314" max="13314" width="10.42578125" style="57" customWidth="1"/>
    <col min="13315" max="13315" width="12.7109375" style="57" customWidth="1"/>
    <col min="13316" max="13316" width="11.28515625" style="57" customWidth="1"/>
    <col min="13317" max="13317" width="11.85546875" style="57" customWidth="1"/>
    <col min="13318" max="13318" width="11.7109375" style="57" customWidth="1"/>
    <col min="13319" max="13319" width="10.7109375" style="57" customWidth="1"/>
    <col min="13320" max="13320" width="11.85546875" style="57" customWidth="1"/>
    <col min="13321" max="13321" width="11.42578125" style="57" customWidth="1"/>
    <col min="13322" max="13322" width="12.28515625" style="57" customWidth="1"/>
    <col min="13323" max="13323" width="11" style="57" customWidth="1"/>
    <col min="13324" max="13324" width="12" style="57" customWidth="1"/>
    <col min="13325" max="13325" width="12.85546875" style="57" bestFit="1" customWidth="1"/>
    <col min="13326" max="13326" width="13.85546875" style="57" customWidth="1"/>
    <col min="13327" max="13327" width="4.85546875" style="57" bestFit="1" customWidth="1"/>
    <col min="13328" max="13328" width="12" style="57" bestFit="1" customWidth="1"/>
    <col min="13329" max="13329" width="10.28515625" style="57" bestFit="1" customWidth="1"/>
    <col min="13330" max="13330" width="12" style="57" bestFit="1" customWidth="1"/>
    <col min="13331" max="13331" width="12.5703125" style="57" bestFit="1" customWidth="1"/>
    <col min="13332" max="13332" width="12" style="57" bestFit="1" customWidth="1"/>
    <col min="13333" max="13334" width="11.7109375" style="57" bestFit="1" customWidth="1"/>
    <col min="13335" max="13335" width="11.140625" style="57" bestFit="1" customWidth="1"/>
    <col min="13336" max="13568" width="9.140625" style="57"/>
    <col min="13569" max="13569" width="10.28515625" style="57" customWidth="1"/>
    <col min="13570" max="13570" width="10.42578125" style="57" customWidth="1"/>
    <col min="13571" max="13571" width="12.7109375" style="57" customWidth="1"/>
    <col min="13572" max="13572" width="11.28515625" style="57" customWidth="1"/>
    <col min="13573" max="13573" width="11.85546875" style="57" customWidth="1"/>
    <col min="13574" max="13574" width="11.7109375" style="57" customWidth="1"/>
    <col min="13575" max="13575" width="10.7109375" style="57" customWidth="1"/>
    <col min="13576" max="13576" width="11.85546875" style="57" customWidth="1"/>
    <col min="13577" max="13577" width="11.42578125" style="57" customWidth="1"/>
    <col min="13578" max="13578" width="12.28515625" style="57" customWidth="1"/>
    <col min="13579" max="13579" width="11" style="57" customWidth="1"/>
    <col min="13580" max="13580" width="12" style="57" customWidth="1"/>
    <col min="13581" max="13581" width="12.85546875" style="57" bestFit="1" customWidth="1"/>
    <col min="13582" max="13582" width="13.85546875" style="57" customWidth="1"/>
    <col min="13583" max="13583" width="4.85546875" style="57" bestFit="1" customWidth="1"/>
    <col min="13584" max="13584" width="12" style="57" bestFit="1" customWidth="1"/>
    <col min="13585" max="13585" width="10.28515625" style="57" bestFit="1" customWidth="1"/>
    <col min="13586" max="13586" width="12" style="57" bestFit="1" customWidth="1"/>
    <col min="13587" max="13587" width="12.5703125" style="57" bestFit="1" customWidth="1"/>
    <col min="13588" max="13588" width="12" style="57" bestFit="1" customWidth="1"/>
    <col min="13589" max="13590" width="11.7109375" style="57" bestFit="1" customWidth="1"/>
    <col min="13591" max="13591" width="11.140625" style="57" bestFit="1" customWidth="1"/>
    <col min="13592" max="13824" width="9.140625" style="57"/>
    <col min="13825" max="13825" width="10.28515625" style="57" customWidth="1"/>
    <col min="13826" max="13826" width="10.42578125" style="57" customWidth="1"/>
    <col min="13827" max="13827" width="12.7109375" style="57" customWidth="1"/>
    <col min="13828" max="13828" width="11.28515625" style="57" customWidth="1"/>
    <col min="13829" max="13829" width="11.85546875" style="57" customWidth="1"/>
    <col min="13830" max="13830" width="11.7109375" style="57" customWidth="1"/>
    <col min="13831" max="13831" width="10.7109375" style="57" customWidth="1"/>
    <col min="13832" max="13832" width="11.85546875" style="57" customWidth="1"/>
    <col min="13833" max="13833" width="11.42578125" style="57" customWidth="1"/>
    <col min="13834" max="13834" width="12.28515625" style="57" customWidth="1"/>
    <col min="13835" max="13835" width="11" style="57" customWidth="1"/>
    <col min="13836" max="13836" width="12" style="57" customWidth="1"/>
    <col min="13837" max="13837" width="12.85546875" style="57" bestFit="1" customWidth="1"/>
    <col min="13838" max="13838" width="13.85546875" style="57" customWidth="1"/>
    <col min="13839" max="13839" width="4.85546875" style="57" bestFit="1" customWidth="1"/>
    <col min="13840" max="13840" width="12" style="57" bestFit="1" customWidth="1"/>
    <col min="13841" max="13841" width="10.28515625" style="57" bestFit="1" customWidth="1"/>
    <col min="13842" max="13842" width="12" style="57" bestFit="1" customWidth="1"/>
    <col min="13843" max="13843" width="12.5703125" style="57" bestFit="1" customWidth="1"/>
    <col min="13844" max="13844" width="12" style="57" bestFit="1" customWidth="1"/>
    <col min="13845" max="13846" width="11.7109375" style="57" bestFit="1" customWidth="1"/>
    <col min="13847" max="13847" width="11.140625" style="57" bestFit="1" customWidth="1"/>
    <col min="13848" max="14080" width="9.140625" style="57"/>
    <col min="14081" max="14081" width="10.28515625" style="57" customWidth="1"/>
    <col min="14082" max="14082" width="10.42578125" style="57" customWidth="1"/>
    <col min="14083" max="14083" width="12.7109375" style="57" customWidth="1"/>
    <col min="14084" max="14084" width="11.28515625" style="57" customWidth="1"/>
    <col min="14085" max="14085" width="11.85546875" style="57" customWidth="1"/>
    <col min="14086" max="14086" width="11.7109375" style="57" customWidth="1"/>
    <col min="14087" max="14087" width="10.7109375" style="57" customWidth="1"/>
    <col min="14088" max="14088" width="11.85546875" style="57" customWidth="1"/>
    <col min="14089" max="14089" width="11.42578125" style="57" customWidth="1"/>
    <col min="14090" max="14090" width="12.28515625" style="57" customWidth="1"/>
    <col min="14091" max="14091" width="11" style="57" customWidth="1"/>
    <col min="14092" max="14092" width="12" style="57" customWidth="1"/>
    <col min="14093" max="14093" width="12.85546875" style="57" bestFit="1" customWidth="1"/>
    <col min="14094" max="14094" width="13.85546875" style="57" customWidth="1"/>
    <col min="14095" max="14095" width="4.85546875" style="57" bestFit="1" customWidth="1"/>
    <col min="14096" max="14096" width="12" style="57" bestFit="1" customWidth="1"/>
    <col min="14097" max="14097" width="10.28515625" style="57" bestFit="1" customWidth="1"/>
    <col min="14098" max="14098" width="12" style="57" bestFit="1" customWidth="1"/>
    <col min="14099" max="14099" width="12.5703125" style="57" bestFit="1" customWidth="1"/>
    <col min="14100" max="14100" width="12" style="57" bestFit="1" customWidth="1"/>
    <col min="14101" max="14102" width="11.7109375" style="57" bestFit="1" customWidth="1"/>
    <col min="14103" max="14103" width="11.140625" style="57" bestFit="1" customWidth="1"/>
    <col min="14104" max="14336" width="9.140625" style="57"/>
    <col min="14337" max="14337" width="10.28515625" style="57" customWidth="1"/>
    <col min="14338" max="14338" width="10.42578125" style="57" customWidth="1"/>
    <col min="14339" max="14339" width="12.7109375" style="57" customWidth="1"/>
    <col min="14340" max="14340" width="11.28515625" style="57" customWidth="1"/>
    <col min="14341" max="14341" width="11.85546875" style="57" customWidth="1"/>
    <col min="14342" max="14342" width="11.7109375" style="57" customWidth="1"/>
    <col min="14343" max="14343" width="10.7109375" style="57" customWidth="1"/>
    <col min="14344" max="14344" width="11.85546875" style="57" customWidth="1"/>
    <col min="14345" max="14345" width="11.42578125" style="57" customWidth="1"/>
    <col min="14346" max="14346" width="12.28515625" style="57" customWidth="1"/>
    <col min="14347" max="14347" width="11" style="57" customWidth="1"/>
    <col min="14348" max="14348" width="12" style="57" customWidth="1"/>
    <col min="14349" max="14349" width="12.85546875" style="57" bestFit="1" customWidth="1"/>
    <col min="14350" max="14350" width="13.85546875" style="57" customWidth="1"/>
    <col min="14351" max="14351" width="4.85546875" style="57" bestFit="1" customWidth="1"/>
    <col min="14352" max="14352" width="12" style="57" bestFit="1" customWidth="1"/>
    <col min="14353" max="14353" width="10.28515625" style="57" bestFit="1" customWidth="1"/>
    <col min="14354" max="14354" width="12" style="57" bestFit="1" customWidth="1"/>
    <col min="14355" max="14355" width="12.5703125" style="57" bestFit="1" customWidth="1"/>
    <col min="14356" max="14356" width="12" style="57" bestFit="1" customWidth="1"/>
    <col min="14357" max="14358" width="11.7109375" style="57" bestFit="1" customWidth="1"/>
    <col min="14359" max="14359" width="11.140625" style="57" bestFit="1" customWidth="1"/>
    <col min="14360" max="14592" width="9.140625" style="57"/>
    <col min="14593" max="14593" width="10.28515625" style="57" customWidth="1"/>
    <col min="14594" max="14594" width="10.42578125" style="57" customWidth="1"/>
    <col min="14595" max="14595" width="12.7109375" style="57" customWidth="1"/>
    <col min="14596" max="14596" width="11.28515625" style="57" customWidth="1"/>
    <col min="14597" max="14597" width="11.85546875" style="57" customWidth="1"/>
    <col min="14598" max="14598" width="11.7109375" style="57" customWidth="1"/>
    <col min="14599" max="14599" width="10.7109375" style="57" customWidth="1"/>
    <col min="14600" max="14600" width="11.85546875" style="57" customWidth="1"/>
    <col min="14601" max="14601" width="11.42578125" style="57" customWidth="1"/>
    <col min="14602" max="14602" width="12.28515625" style="57" customWidth="1"/>
    <col min="14603" max="14603" width="11" style="57" customWidth="1"/>
    <col min="14604" max="14604" width="12" style="57" customWidth="1"/>
    <col min="14605" max="14605" width="12.85546875" style="57" bestFit="1" customWidth="1"/>
    <col min="14606" max="14606" width="13.85546875" style="57" customWidth="1"/>
    <col min="14607" max="14607" width="4.85546875" style="57" bestFit="1" customWidth="1"/>
    <col min="14608" max="14608" width="12" style="57" bestFit="1" customWidth="1"/>
    <col min="14609" max="14609" width="10.28515625" style="57" bestFit="1" customWidth="1"/>
    <col min="14610" max="14610" width="12" style="57" bestFit="1" customWidth="1"/>
    <col min="14611" max="14611" width="12.5703125" style="57" bestFit="1" customWidth="1"/>
    <col min="14612" max="14612" width="12" style="57" bestFit="1" customWidth="1"/>
    <col min="14613" max="14614" width="11.7109375" style="57" bestFit="1" customWidth="1"/>
    <col min="14615" max="14615" width="11.140625" style="57" bestFit="1" customWidth="1"/>
    <col min="14616" max="14848" width="9.140625" style="57"/>
    <col min="14849" max="14849" width="10.28515625" style="57" customWidth="1"/>
    <col min="14850" max="14850" width="10.42578125" style="57" customWidth="1"/>
    <col min="14851" max="14851" width="12.7109375" style="57" customWidth="1"/>
    <col min="14852" max="14852" width="11.28515625" style="57" customWidth="1"/>
    <col min="14853" max="14853" width="11.85546875" style="57" customWidth="1"/>
    <col min="14854" max="14854" width="11.7109375" style="57" customWidth="1"/>
    <col min="14855" max="14855" width="10.7109375" style="57" customWidth="1"/>
    <col min="14856" max="14856" width="11.85546875" style="57" customWidth="1"/>
    <col min="14857" max="14857" width="11.42578125" style="57" customWidth="1"/>
    <col min="14858" max="14858" width="12.28515625" style="57" customWidth="1"/>
    <col min="14859" max="14859" width="11" style="57" customWidth="1"/>
    <col min="14860" max="14860" width="12" style="57" customWidth="1"/>
    <col min="14861" max="14861" width="12.85546875" style="57" bestFit="1" customWidth="1"/>
    <col min="14862" max="14862" width="13.85546875" style="57" customWidth="1"/>
    <col min="14863" max="14863" width="4.85546875" style="57" bestFit="1" customWidth="1"/>
    <col min="14864" max="14864" width="12" style="57" bestFit="1" customWidth="1"/>
    <col min="14865" max="14865" width="10.28515625" style="57" bestFit="1" customWidth="1"/>
    <col min="14866" max="14866" width="12" style="57" bestFit="1" customWidth="1"/>
    <col min="14867" max="14867" width="12.5703125" style="57" bestFit="1" customWidth="1"/>
    <col min="14868" max="14868" width="12" style="57" bestFit="1" customWidth="1"/>
    <col min="14869" max="14870" width="11.7109375" style="57" bestFit="1" customWidth="1"/>
    <col min="14871" max="14871" width="11.140625" style="57" bestFit="1" customWidth="1"/>
    <col min="14872" max="15104" width="9.140625" style="57"/>
    <col min="15105" max="15105" width="10.28515625" style="57" customWidth="1"/>
    <col min="15106" max="15106" width="10.42578125" style="57" customWidth="1"/>
    <col min="15107" max="15107" width="12.7109375" style="57" customWidth="1"/>
    <col min="15108" max="15108" width="11.28515625" style="57" customWidth="1"/>
    <col min="15109" max="15109" width="11.85546875" style="57" customWidth="1"/>
    <col min="15110" max="15110" width="11.7109375" style="57" customWidth="1"/>
    <col min="15111" max="15111" width="10.7109375" style="57" customWidth="1"/>
    <col min="15112" max="15112" width="11.85546875" style="57" customWidth="1"/>
    <col min="15113" max="15113" width="11.42578125" style="57" customWidth="1"/>
    <col min="15114" max="15114" width="12.28515625" style="57" customWidth="1"/>
    <col min="15115" max="15115" width="11" style="57" customWidth="1"/>
    <col min="15116" max="15116" width="12" style="57" customWidth="1"/>
    <col min="15117" max="15117" width="12.85546875" style="57" bestFit="1" customWidth="1"/>
    <col min="15118" max="15118" width="13.85546875" style="57" customWidth="1"/>
    <col min="15119" max="15119" width="4.85546875" style="57" bestFit="1" customWidth="1"/>
    <col min="15120" max="15120" width="12" style="57" bestFit="1" customWidth="1"/>
    <col min="15121" max="15121" width="10.28515625" style="57" bestFit="1" customWidth="1"/>
    <col min="15122" max="15122" width="12" style="57" bestFit="1" customWidth="1"/>
    <col min="15123" max="15123" width="12.5703125" style="57" bestFit="1" customWidth="1"/>
    <col min="15124" max="15124" width="12" style="57" bestFit="1" customWidth="1"/>
    <col min="15125" max="15126" width="11.7109375" style="57" bestFit="1" customWidth="1"/>
    <col min="15127" max="15127" width="11.140625" style="57" bestFit="1" customWidth="1"/>
    <col min="15128" max="15360" width="9.140625" style="57"/>
    <col min="15361" max="15361" width="10.28515625" style="57" customWidth="1"/>
    <col min="15362" max="15362" width="10.42578125" style="57" customWidth="1"/>
    <col min="15363" max="15363" width="12.7109375" style="57" customWidth="1"/>
    <col min="15364" max="15364" width="11.28515625" style="57" customWidth="1"/>
    <col min="15365" max="15365" width="11.85546875" style="57" customWidth="1"/>
    <col min="15366" max="15366" width="11.7109375" style="57" customWidth="1"/>
    <col min="15367" max="15367" width="10.7109375" style="57" customWidth="1"/>
    <col min="15368" max="15368" width="11.85546875" style="57" customWidth="1"/>
    <col min="15369" max="15369" width="11.42578125" style="57" customWidth="1"/>
    <col min="15370" max="15370" width="12.28515625" style="57" customWidth="1"/>
    <col min="15371" max="15371" width="11" style="57" customWidth="1"/>
    <col min="15372" max="15372" width="12" style="57" customWidth="1"/>
    <col min="15373" max="15373" width="12.85546875" style="57" bestFit="1" customWidth="1"/>
    <col min="15374" max="15374" width="13.85546875" style="57" customWidth="1"/>
    <col min="15375" max="15375" width="4.85546875" style="57" bestFit="1" customWidth="1"/>
    <col min="15376" max="15376" width="12" style="57" bestFit="1" customWidth="1"/>
    <col min="15377" max="15377" width="10.28515625" style="57" bestFit="1" customWidth="1"/>
    <col min="15378" max="15378" width="12" style="57" bestFit="1" customWidth="1"/>
    <col min="15379" max="15379" width="12.5703125" style="57" bestFit="1" customWidth="1"/>
    <col min="15380" max="15380" width="12" style="57" bestFit="1" customWidth="1"/>
    <col min="15381" max="15382" width="11.7109375" style="57" bestFit="1" customWidth="1"/>
    <col min="15383" max="15383" width="11.140625" style="57" bestFit="1" customWidth="1"/>
    <col min="15384" max="15616" width="9.140625" style="57"/>
    <col min="15617" max="15617" width="10.28515625" style="57" customWidth="1"/>
    <col min="15618" max="15618" width="10.42578125" style="57" customWidth="1"/>
    <col min="15619" max="15619" width="12.7109375" style="57" customWidth="1"/>
    <col min="15620" max="15620" width="11.28515625" style="57" customWidth="1"/>
    <col min="15621" max="15621" width="11.85546875" style="57" customWidth="1"/>
    <col min="15622" max="15622" width="11.7109375" style="57" customWidth="1"/>
    <col min="15623" max="15623" width="10.7109375" style="57" customWidth="1"/>
    <col min="15624" max="15624" width="11.85546875" style="57" customWidth="1"/>
    <col min="15625" max="15625" width="11.42578125" style="57" customWidth="1"/>
    <col min="15626" max="15626" width="12.28515625" style="57" customWidth="1"/>
    <col min="15627" max="15627" width="11" style="57" customWidth="1"/>
    <col min="15628" max="15628" width="12" style="57" customWidth="1"/>
    <col min="15629" max="15629" width="12.85546875" style="57" bestFit="1" customWidth="1"/>
    <col min="15630" max="15630" width="13.85546875" style="57" customWidth="1"/>
    <col min="15631" max="15631" width="4.85546875" style="57" bestFit="1" customWidth="1"/>
    <col min="15632" max="15632" width="12" style="57" bestFit="1" customWidth="1"/>
    <col min="15633" max="15633" width="10.28515625" style="57" bestFit="1" customWidth="1"/>
    <col min="15634" max="15634" width="12" style="57" bestFit="1" customWidth="1"/>
    <col min="15635" max="15635" width="12.5703125" style="57" bestFit="1" customWidth="1"/>
    <col min="15636" max="15636" width="12" style="57" bestFit="1" customWidth="1"/>
    <col min="15637" max="15638" width="11.7109375" style="57" bestFit="1" customWidth="1"/>
    <col min="15639" max="15639" width="11.140625" style="57" bestFit="1" customWidth="1"/>
    <col min="15640" max="15872" width="9.140625" style="57"/>
    <col min="15873" max="15873" width="10.28515625" style="57" customWidth="1"/>
    <col min="15874" max="15874" width="10.42578125" style="57" customWidth="1"/>
    <col min="15875" max="15875" width="12.7109375" style="57" customWidth="1"/>
    <col min="15876" max="15876" width="11.28515625" style="57" customWidth="1"/>
    <col min="15877" max="15877" width="11.85546875" style="57" customWidth="1"/>
    <col min="15878" max="15878" width="11.7109375" style="57" customWidth="1"/>
    <col min="15879" max="15879" width="10.7109375" style="57" customWidth="1"/>
    <col min="15880" max="15880" width="11.85546875" style="57" customWidth="1"/>
    <col min="15881" max="15881" width="11.42578125" style="57" customWidth="1"/>
    <col min="15882" max="15882" width="12.28515625" style="57" customWidth="1"/>
    <col min="15883" max="15883" width="11" style="57" customWidth="1"/>
    <col min="15884" max="15884" width="12" style="57" customWidth="1"/>
    <col min="15885" max="15885" width="12.85546875" style="57" bestFit="1" customWidth="1"/>
    <col min="15886" max="15886" width="13.85546875" style="57" customWidth="1"/>
    <col min="15887" max="15887" width="4.85546875" style="57" bestFit="1" customWidth="1"/>
    <col min="15888" max="15888" width="12" style="57" bestFit="1" customWidth="1"/>
    <col min="15889" max="15889" width="10.28515625" style="57" bestFit="1" customWidth="1"/>
    <col min="15890" max="15890" width="12" style="57" bestFit="1" customWidth="1"/>
    <col min="15891" max="15891" width="12.5703125" style="57" bestFit="1" customWidth="1"/>
    <col min="15892" max="15892" width="12" style="57" bestFit="1" customWidth="1"/>
    <col min="15893" max="15894" width="11.7109375" style="57" bestFit="1" customWidth="1"/>
    <col min="15895" max="15895" width="11.140625" style="57" bestFit="1" customWidth="1"/>
    <col min="15896" max="16128" width="9.140625" style="57"/>
    <col min="16129" max="16129" width="10.28515625" style="57" customWidth="1"/>
    <col min="16130" max="16130" width="10.42578125" style="57" customWidth="1"/>
    <col min="16131" max="16131" width="12.7109375" style="57" customWidth="1"/>
    <col min="16132" max="16132" width="11.28515625" style="57" customWidth="1"/>
    <col min="16133" max="16133" width="11.85546875" style="57" customWidth="1"/>
    <col min="16134" max="16134" width="11.7109375" style="57" customWidth="1"/>
    <col min="16135" max="16135" width="10.7109375" style="57" customWidth="1"/>
    <col min="16136" max="16136" width="11.85546875" style="57" customWidth="1"/>
    <col min="16137" max="16137" width="11.42578125" style="57" customWidth="1"/>
    <col min="16138" max="16138" width="12.28515625" style="57" customWidth="1"/>
    <col min="16139" max="16139" width="11" style="57" customWidth="1"/>
    <col min="16140" max="16140" width="12" style="57" customWidth="1"/>
    <col min="16141" max="16141" width="12.85546875" style="57" bestFit="1" customWidth="1"/>
    <col min="16142" max="16142" width="13.85546875" style="57" customWidth="1"/>
    <col min="16143" max="16143" width="4.85546875" style="57" bestFit="1" customWidth="1"/>
    <col min="16144" max="16144" width="12" style="57" bestFit="1" customWidth="1"/>
    <col min="16145" max="16145" width="10.28515625" style="57" bestFit="1" customWidth="1"/>
    <col min="16146" max="16146" width="12" style="57" bestFit="1" customWidth="1"/>
    <col min="16147" max="16147" width="12.5703125" style="57" bestFit="1" customWidth="1"/>
    <col min="16148" max="16148" width="12" style="57" bestFit="1" customWidth="1"/>
    <col min="16149" max="16150" width="11.7109375" style="57" bestFit="1" customWidth="1"/>
    <col min="16151" max="16151" width="11.140625" style="57" bestFit="1" customWidth="1"/>
    <col min="16152" max="16384" width="9.140625" style="57"/>
  </cols>
  <sheetData>
    <row r="1" spans="1:24">
      <c r="A1" s="306"/>
      <c r="B1" s="133" t="s">
        <v>185</v>
      </c>
    </row>
    <row r="2" spans="1:24">
      <c r="A2" s="57" t="s">
        <v>186</v>
      </c>
      <c r="B2" s="57" t="s">
        <v>1394</v>
      </c>
      <c r="E2" s="57" t="s">
        <v>187</v>
      </c>
    </row>
    <row r="3" spans="1:24" s="59" customFormat="1" ht="8.25">
      <c r="C3" s="61"/>
      <c r="D3" s="61"/>
    </row>
    <row r="4" spans="1:24">
      <c r="A4" s="57" t="s">
        <v>188</v>
      </c>
      <c r="D4" s="134"/>
      <c r="P4" s="59"/>
      <c r="Q4" s="59"/>
      <c r="R4" s="59"/>
      <c r="S4" s="59"/>
      <c r="T4" s="59"/>
      <c r="U4" s="59"/>
      <c r="V4" s="59"/>
      <c r="W4" s="59"/>
      <c r="X4" s="59"/>
    </row>
    <row r="5" spans="1:24">
      <c r="A5" s="57" t="s">
        <v>189</v>
      </c>
      <c r="D5" s="134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</row>
    <row r="6" spans="1:24" s="59" customFormat="1">
      <c r="D6" s="61"/>
      <c r="I6" s="60"/>
      <c r="M6" s="57"/>
    </row>
    <row r="7" spans="1:24">
      <c r="A7" s="135" t="s">
        <v>190</v>
      </c>
      <c r="B7" s="136" t="s">
        <v>191</v>
      </c>
      <c r="C7" s="137" t="s">
        <v>192</v>
      </c>
      <c r="D7" s="136" t="s">
        <v>193</v>
      </c>
      <c r="E7" s="896" t="s">
        <v>194</v>
      </c>
      <c r="F7" s="897"/>
      <c r="G7" s="896" t="s">
        <v>195</v>
      </c>
      <c r="H7" s="897"/>
      <c r="I7" s="898" t="s">
        <v>196</v>
      </c>
      <c r="J7" s="899"/>
      <c r="K7" s="68" t="s">
        <v>197</v>
      </c>
      <c r="L7" s="137" t="s">
        <v>198</v>
      </c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</row>
    <row r="8" spans="1:24">
      <c r="A8" s="138" t="s">
        <v>199</v>
      </c>
      <c r="B8" s="139" t="s">
        <v>200</v>
      </c>
      <c r="C8" s="140">
        <v>3914901.83</v>
      </c>
      <c r="D8" s="145">
        <v>4674420.47</v>
      </c>
      <c r="E8" s="141">
        <f>D8*0.6</f>
        <v>2804652.2819999997</v>
      </c>
      <c r="F8" s="141">
        <f t="shared" ref="F8:F19" si="0">(((C8*0.6)/12)*10)-E8</f>
        <v>-847201.36699999985</v>
      </c>
      <c r="G8" s="141">
        <f>D8*0.25</f>
        <v>1168605.1174999999</v>
      </c>
      <c r="H8" s="141">
        <f t="shared" ref="H8:H15" si="1">(((C8*0.25)/12)*10)-G8</f>
        <v>-353000.56958333333</v>
      </c>
      <c r="I8" s="142"/>
      <c r="J8" s="143"/>
      <c r="K8" s="144">
        <f>D8*0.15</f>
        <v>701163.07049999991</v>
      </c>
      <c r="L8" s="141">
        <f t="shared" ref="L8:L15" si="2">(((C8*0.25)/12)*10)-K8</f>
        <v>114441.47741666669</v>
      </c>
      <c r="N8" s="59"/>
      <c r="V8" s="59"/>
      <c r="W8" s="59"/>
      <c r="X8" s="59"/>
    </row>
    <row r="9" spans="1:24">
      <c r="A9" s="138" t="s">
        <v>201</v>
      </c>
      <c r="B9" s="139" t="s">
        <v>202</v>
      </c>
      <c r="C9" s="140">
        <f>3467839.35</f>
        <v>3467839.35</v>
      </c>
      <c r="D9" s="145">
        <v>2164408.75</v>
      </c>
      <c r="E9" s="146">
        <f t="shared" ref="E9:E19" si="3">D9*0.6</f>
        <v>1298645.25</v>
      </c>
      <c r="F9" s="146">
        <f t="shared" si="0"/>
        <v>435274.42500000005</v>
      </c>
      <c r="G9" s="146">
        <f>D9*0.25</f>
        <v>541102.1875</v>
      </c>
      <c r="H9" s="146">
        <f t="shared" si="1"/>
        <v>181364.34375</v>
      </c>
      <c r="I9" s="142"/>
      <c r="J9" s="143"/>
      <c r="K9" s="144">
        <f t="shared" ref="K9:K19" si="4">D9*0.15</f>
        <v>324661.3125</v>
      </c>
      <c r="L9" s="146">
        <f t="shared" si="2"/>
        <v>397805.21875</v>
      </c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</row>
    <row r="10" spans="1:24">
      <c r="A10" s="138" t="s">
        <v>203</v>
      </c>
      <c r="B10" s="139" t="s">
        <v>204</v>
      </c>
      <c r="C10" s="140">
        <f>1378438.67</f>
        <v>1378438.67</v>
      </c>
      <c r="D10" s="145">
        <v>1591071.74</v>
      </c>
      <c r="E10" s="146">
        <f>D10*0.6</f>
        <v>954643.04399999999</v>
      </c>
      <c r="F10" s="146">
        <f t="shared" si="0"/>
        <v>-265423.70900000003</v>
      </c>
      <c r="G10" s="146">
        <f>D10*0.25</f>
        <v>397767.935</v>
      </c>
      <c r="H10" s="146">
        <f t="shared" si="1"/>
        <v>-110593.21208333335</v>
      </c>
      <c r="I10" s="142"/>
      <c r="J10" s="143"/>
      <c r="K10" s="144">
        <f t="shared" si="4"/>
        <v>238660.761</v>
      </c>
      <c r="L10" s="146">
        <f t="shared" si="2"/>
        <v>48513.961916666653</v>
      </c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</row>
    <row r="11" spans="1:24">
      <c r="A11" s="138" t="s">
        <v>205</v>
      </c>
      <c r="B11" s="139" t="s">
        <v>206</v>
      </c>
      <c r="C11" s="140">
        <f>5814310.6</f>
        <v>5814310.5999999996</v>
      </c>
      <c r="D11" s="145">
        <v>5487913.4000000004</v>
      </c>
      <c r="E11" s="146">
        <f t="shared" si="3"/>
        <v>3292748.04</v>
      </c>
      <c r="F11" s="146">
        <f t="shared" si="0"/>
        <v>-385592.74000000022</v>
      </c>
      <c r="G11" s="147">
        <f>D11*0.25</f>
        <v>1371978.35</v>
      </c>
      <c r="H11" s="146">
        <f t="shared" si="1"/>
        <v>-160663.64166666684</v>
      </c>
      <c r="I11" s="142"/>
      <c r="J11" s="143"/>
      <c r="K11" s="144">
        <f t="shared" si="4"/>
        <v>823187.01</v>
      </c>
      <c r="L11" s="146">
        <f t="shared" si="2"/>
        <v>388127.69833333325</v>
      </c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</row>
    <row r="12" spans="1:24">
      <c r="A12" s="138" t="s">
        <v>207</v>
      </c>
      <c r="B12" s="148" t="s">
        <v>208</v>
      </c>
      <c r="C12" s="140">
        <f>28751945.22</f>
        <v>28751945.219999999</v>
      </c>
      <c r="D12" s="145">
        <f>16848686.41+1454996.9+4212171.5+5565290.32</f>
        <v>28081145.129999999</v>
      </c>
      <c r="E12" s="382">
        <f t="shared" si="3"/>
        <v>16848687.077999998</v>
      </c>
      <c r="F12" s="146">
        <f t="shared" si="0"/>
        <v>-2472714.4679999985</v>
      </c>
      <c r="G12" s="153">
        <f>(D12*0.05)</f>
        <v>1404057.2565000001</v>
      </c>
      <c r="H12" s="147">
        <f t="shared" si="1"/>
        <v>4585931.3310000002</v>
      </c>
      <c r="I12" s="150">
        <f>-D12*0.2</f>
        <v>-5616229.0260000005</v>
      </c>
      <c r="J12" s="151">
        <f>(((C12*0.2)/12)*10)+I12</f>
        <v>-824238.15600000042</v>
      </c>
      <c r="K12" s="144">
        <f t="shared" si="4"/>
        <v>4212171.7694999995</v>
      </c>
      <c r="L12" s="146">
        <f t="shared" si="2"/>
        <v>1777816.8180000009</v>
      </c>
      <c r="M12" s="152"/>
      <c r="N12" s="60"/>
    </row>
    <row r="13" spans="1:24">
      <c r="A13" s="138" t="s">
        <v>209</v>
      </c>
      <c r="B13" s="139" t="s">
        <v>210</v>
      </c>
      <c r="C13" s="140">
        <f>1268281.42</f>
        <v>1268281.42</v>
      </c>
      <c r="D13" s="145"/>
      <c r="E13" s="146">
        <f t="shared" si="3"/>
        <v>0</v>
      </c>
      <c r="F13" s="146">
        <f t="shared" si="0"/>
        <v>634140.71</v>
      </c>
      <c r="G13" s="146">
        <f>D13*0.25</f>
        <v>0</v>
      </c>
      <c r="H13" s="146">
        <f t="shared" si="1"/>
        <v>264225.29583333334</v>
      </c>
      <c r="I13" s="142"/>
      <c r="J13" s="143"/>
      <c r="K13" s="144">
        <f t="shared" si="4"/>
        <v>0</v>
      </c>
      <c r="L13" s="146">
        <f t="shared" si="2"/>
        <v>264225.29583333334</v>
      </c>
      <c r="M13" s="152"/>
      <c r="N13" s="118"/>
      <c r="O13" s="59"/>
      <c r="P13" s="59"/>
      <c r="Q13" s="59"/>
      <c r="R13" s="59"/>
      <c r="S13" s="59"/>
      <c r="T13" s="59"/>
      <c r="U13" s="59"/>
      <c r="V13" s="59"/>
      <c r="W13" s="59"/>
      <c r="X13" s="59"/>
    </row>
    <row r="14" spans="1:24">
      <c r="A14" s="138" t="s">
        <v>211</v>
      </c>
      <c r="B14" s="139" t="s">
        <v>210</v>
      </c>
      <c r="C14" s="140">
        <f>1239869.25</f>
        <v>1239869.25</v>
      </c>
      <c r="D14" s="145">
        <f>1409602.7</f>
        <v>1409602.7</v>
      </c>
      <c r="E14" s="146">
        <f t="shared" si="3"/>
        <v>845761.62</v>
      </c>
      <c r="F14" s="146">
        <f t="shared" si="0"/>
        <v>-225826.995</v>
      </c>
      <c r="G14" s="146">
        <f>D14*0.25</f>
        <v>352400.67499999999</v>
      </c>
      <c r="H14" s="146">
        <f t="shared" si="1"/>
        <v>-94094.581249999988</v>
      </c>
      <c r="I14" s="142"/>
      <c r="J14" s="143"/>
      <c r="K14" s="144">
        <f t="shared" si="4"/>
        <v>211440.405</v>
      </c>
      <c r="L14" s="146">
        <f t="shared" si="2"/>
        <v>46865.688750000001</v>
      </c>
      <c r="M14" s="152"/>
      <c r="N14" s="118"/>
      <c r="O14" s="59"/>
      <c r="P14" s="59"/>
      <c r="Q14" s="59"/>
      <c r="R14" s="59"/>
      <c r="S14" s="59"/>
      <c r="T14" s="59"/>
      <c r="U14" s="59"/>
      <c r="V14" s="59"/>
      <c r="W14" s="59"/>
      <c r="X14" s="59"/>
    </row>
    <row r="15" spans="1:24">
      <c r="A15" s="138" t="s">
        <v>212</v>
      </c>
      <c r="B15" s="148" t="s">
        <v>213</v>
      </c>
      <c r="C15" s="140">
        <f>951759.41+237939.85</f>
        <v>1189699.26</v>
      </c>
      <c r="D15" s="145">
        <f>665203.47+55434.07+166300.8+221734.49</f>
        <v>1108672.8299999998</v>
      </c>
      <c r="E15" s="149">
        <f t="shared" si="3"/>
        <v>665203.69799999986</v>
      </c>
      <c r="F15" s="146">
        <f t="shared" si="0"/>
        <v>-70354.067999999854</v>
      </c>
      <c r="G15" s="149">
        <f>(D15*0.05)</f>
        <v>55433.641499999998</v>
      </c>
      <c r="H15" s="146">
        <f t="shared" si="1"/>
        <v>192420.37099999998</v>
      </c>
      <c r="I15" s="150">
        <f>-D15*0.2</f>
        <v>-221734.56599999999</v>
      </c>
      <c r="J15" s="151">
        <f>(((C15*0.2)/12)*10)+I15</f>
        <v>-23451.356</v>
      </c>
      <c r="K15" s="144">
        <f t="shared" si="4"/>
        <v>166300.92449999996</v>
      </c>
      <c r="L15" s="146">
        <f t="shared" si="2"/>
        <v>81553.088000000018</v>
      </c>
      <c r="M15" s="152"/>
      <c r="N15" s="60"/>
      <c r="O15" s="59"/>
      <c r="P15" s="59"/>
      <c r="Q15" s="59"/>
      <c r="R15" s="59"/>
      <c r="S15" s="59"/>
      <c r="T15" s="59"/>
      <c r="U15" s="59"/>
      <c r="V15" s="59"/>
      <c r="W15" s="59"/>
      <c r="X15" s="59"/>
    </row>
    <row r="16" spans="1:24">
      <c r="A16" s="138" t="s">
        <v>214</v>
      </c>
      <c r="B16" s="148" t="s">
        <v>215</v>
      </c>
      <c r="C16" s="140"/>
      <c r="D16" s="145"/>
      <c r="E16" s="149">
        <f>D16*1</f>
        <v>0</v>
      </c>
      <c r="F16" s="146">
        <f t="shared" si="0"/>
        <v>0</v>
      </c>
      <c r="G16" s="149"/>
      <c r="H16" s="146"/>
      <c r="I16" s="150"/>
      <c r="J16" s="151"/>
      <c r="K16" s="144"/>
      <c r="L16" s="146"/>
      <c r="M16" s="152"/>
      <c r="N16" s="60"/>
    </row>
    <row r="17" spans="1:24">
      <c r="A17" s="138" t="s">
        <v>216</v>
      </c>
      <c r="B17" s="148" t="s">
        <v>217</v>
      </c>
      <c r="C17" s="140">
        <f>22948077.82+1912339.82+5737019.45+7649359.27</f>
        <v>38246796.359999999</v>
      </c>
      <c r="D17" s="145">
        <f>16327410.3+1360617.6+4081852.64+5441062.41</f>
        <v>27210942.950000003</v>
      </c>
      <c r="E17" s="153">
        <f t="shared" si="3"/>
        <v>16326565.770000001</v>
      </c>
      <c r="F17" s="146">
        <f t="shared" si="0"/>
        <v>2796832.4099999983</v>
      </c>
      <c r="G17" s="153">
        <f>(D17*0.05)</f>
        <v>1360547.1475000002</v>
      </c>
      <c r="H17" s="146">
        <f>(((C17*0.25)/12)*10)-G17</f>
        <v>6607535.4274999993</v>
      </c>
      <c r="I17" s="154">
        <f>-D17*0.2</f>
        <v>-5442188.5900000008</v>
      </c>
      <c r="J17" s="155">
        <f>(((C17*0.2)/12)*10)+I17</f>
        <v>932277.46999999974</v>
      </c>
      <c r="K17" s="144">
        <f t="shared" si="4"/>
        <v>4081641.4425000004</v>
      </c>
      <c r="L17" s="146">
        <f>(((C17*0.25)/12)*10)-K17</f>
        <v>3886441.1324999989</v>
      </c>
      <c r="M17" s="152"/>
      <c r="N17" s="60"/>
      <c r="O17" s="59"/>
      <c r="P17" s="59"/>
      <c r="Q17" s="59"/>
      <c r="R17" s="59"/>
      <c r="S17" s="59"/>
      <c r="T17" s="59"/>
      <c r="U17" s="59"/>
      <c r="V17" s="59"/>
      <c r="W17" s="59"/>
      <c r="X17" s="59"/>
    </row>
    <row r="18" spans="1:24">
      <c r="A18" s="138" t="s">
        <v>218</v>
      </c>
      <c r="B18" s="148" t="s">
        <v>219</v>
      </c>
      <c r="C18" s="140">
        <f>3902843.86</f>
        <v>3902843.86</v>
      </c>
      <c r="D18" s="145">
        <f>1918898.21+159908.44+479724.72+639632.99</f>
        <v>3198164.3600000003</v>
      </c>
      <c r="E18" s="149">
        <f t="shared" si="3"/>
        <v>1918898.6160000002</v>
      </c>
      <c r="F18" s="146">
        <f t="shared" si="0"/>
        <v>32523.313999999547</v>
      </c>
      <c r="G18" s="149">
        <f>(D18*0.05)</f>
        <v>159908.21800000002</v>
      </c>
      <c r="H18" s="146">
        <f>(((C18*0.25)/12)*10)-G18</f>
        <v>653184.25283333333</v>
      </c>
      <c r="I18" s="150">
        <f>-D18*0.2</f>
        <v>-639632.87200000009</v>
      </c>
      <c r="J18" s="151">
        <f>(((C18*0.2)/12)*10)+I18</f>
        <v>10841.104666666593</v>
      </c>
      <c r="K18" s="144">
        <f t="shared" si="4"/>
        <v>479724.65400000004</v>
      </c>
      <c r="L18" s="146">
        <f>(((C18*0.25)/12)*10)-K18</f>
        <v>333367.81683333329</v>
      </c>
      <c r="M18" s="152"/>
      <c r="N18" s="60"/>
      <c r="O18" s="59"/>
      <c r="P18" s="59"/>
      <c r="Q18" s="59"/>
      <c r="R18" s="59"/>
      <c r="S18" s="59"/>
      <c r="T18" s="59"/>
      <c r="U18" s="59"/>
      <c r="V18" s="59"/>
      <c r="W18" s="59"/>
      <c r="X18" s="59"/>
    </row>
    <row r="19" spans="1:24">
      <c r="A19" s="138" t="s">
        <v>220</v>
      </c>
      <c r="B19" s="148" t="s">
        <v>221</v>
      </c>
      <c r="C19" s="140">
        <f>561182.43</f>
        <v>561182.43000000005</v>
      </c>
      <c r="D19" s="145">
        <f>165275.98+13773.01+41319.01+55092.04</f>
        <v>275460.04000000004</v>
      </c>
      <c r="E19" s="149">
        <f t="shared" si="3"/>
        <v>165276.024</v>
      </c>
      <c r="F19" s="146">
        <f t="shared" si="0"/>
        <v>115315.19100000002</v>
      </c>
      <c r="G19" s="149">
        <f>(D19*0.05)</f>
        <v>13773.002000000002</v>
      </c>
      <c r="H19" s="146">
        <f>(((C19*0.25)/12)*10)-G19</f>
        <v>103140.00425000001</v>
      </c>
      <c r="I19" s="150">
        <f>-D19*0.2</f>
        <v>-55092.008000000009</v>
      </c>
      <c r="J19" s="151">
        <f>(((C19*0.2)/12)*10)+I19</f>
        <v>38438.397000000004</v>
      </c>
      <c r="K19" s="144">
        <f t="shared" si="4"/>
        <v>41319.006000000001</v>
      </c>
      <c r="L19" s="146">
        <f>(((C19*0.25)/12)*10)-K19</f>
        <v>75594.000250000012</v>
      </c>
      <c r="M19" s="152"/>
      <c r="N19" s="60"/>
      <c r="O19" s="59"/>
      <c r="P19" s="59"/>
      <c r="Q19" s="59"/>
      <c r="R19" s="59"/>
      <c r="S19" s="59"/>
      <c r="T19" s="59"/>
      <c r="U19" s="59"/>
      <c r="V19" s="59"/>
      <c r="W19" s="59"/>
      <c r="X19" s="59"/>
    </row>
    <row r="20" spans="1:24">
      <c r="A20" s="138" t="s">
        <v>222</v>
      </c>
      <c r="B20" s="139" t="s">
        <v>223</v>
      </c>
      <c r="C20" s="140">
        <v>27814454.809999999</v>
      </c>
      <c r="D20" s="145">
        <f>23449723</f>
        <v>23449723</v>
      </c>
      <c r="E20" s="140"/>
      <c r="F20" s="140"/>
      <c r="G20" s="140"/>
      <c r="H20" s="140"/>
      <c r="I20" s="146">
        <f>-SUM(I12+SUM(I15:I19))-11922812.25</f>
        <v>52064.812000002712</v>
      </c>
      <c r="J20" s="145"/>
      <c r="K20" s="156"/>
      <c r="L20" s="138"/>
      <c r="M20" s="152"/>
      <c r="N20" s="60"/>
    </row>
    <row r="21" spans="1:24">
      <c r="A21" s="157"/>
      <c r="B21" s="158" t="s">
        <v>10</v>
      </c>
      <c r="C21" s="83">
        <f>SUM(C8:C20)</f>
        <v>117550563.06000002</v>
      </c>
      <c r="D21" s="159">
        <f>SUM(D8:D20)</f>
        <v>98651525.370000005</v>
      </c>
      <c r="E21" s="83">
        <f t="shared" ref="E21:L21" si="5">SUM(E8:E20)</f>
        <v>45121081.421999991</v>
      </c>
      <c r="F21" s="83">
        <f t="shared" si="5"/>
        <v>-253027.29700000057</v>
      </c>
      <c r="G21" s="83">
        <f t="shared" si="5"/>
        <v>6825573.5305000003</v>
      </c>
      <c r="H21" s="83">
        <f t="shared" si="5"/>
        <v>11869449.021583332</v>
      </c>
      <c r="I21" s="160">
        <f>SUM(I8:I20)</f>
        <v>-11922812.249999996</v>
      </c>
      <c r="J21" s="160">
        <f>SUM(J8:J20)</f>
        <v>133867.45966666588</v>
      </c>
      <c r="K21" s="161">
        <f t="shared" si="5"/>
        <v>11280270.355499998</v>
      </c>
      <c r="L21" s="83">
        <f t="shared" si="5"/>
        <v>7414752.1965833325</v>
      </c>
      <c r="N21" s="60"/>
      <c r="O21" s="59"/>
      <c r="P21" s="59"/>
      <c r="Q21" s="59"/>
      <c r="R21" s="59"/>
      <c r="S21" s="59"/>
      <c r="T21" s="59"/>
      <c r="U21" s="59"/>
      <c r="V21" s="59"/>
      <c r="W21" s="59"/>
      <c r="X21" s="59"/>
    </row>
    <row r="22" spans="1:24">
      <c r="C22" s="84" t="s">
        <v>224</v>
      </c>
      <c r="D22" s="162">
        <f>D21/C21</f>
        <v>0.83922631080589905</v>
      </c>
      <c r="F22" s="163" t="s">
        <v>225</v>
      </c>
      <c r="G22" s="69" t="s">
        <v>226</v>
      </c>
      <c r="I22" s="68" t="s">
        <v>227</v>
      </c>
      <c r="J22" s="69" t="s">
        <v>228</v>
      </c>
      <c r="K22" s="69" t="s">
        <v>229</v>
      </c>
      <c r="L22" s="69" t="s">
        <v>177</v>
      </c>
      <c r="N22" s="60"/>
      <c r="O22" s="59"/>
      <c r="P22" s="59"/>
      <c r="Q22" s="59"/>
      <c r="R22" s="59"/>
      <c r="S22" s="59"/>
      <c r="T22" s="59"/>
      <c r="U22" s="59"/>
      <c r="V22" s="59"/>
      <c r="W22" s="59"/>
      <c r="X22" s="59"/>
    </row>
    <row r="23" spans="1:24">
      <c r="B23" s="152"/>
      <c r="C23" s="164" t="s">
        <v>230</v>
      </c>
      <c r="D23" s="162">
        <f>C27/D20</f>
        <v>1.0910679968373187</v>
      </c>
      <c r="F23" s="163" t="s">
        <v>231</v>
      </c>
      <c r="G23" s="45">
        <f>I33+J33</f>
        <v>35526401.870000005</v>
      </c>
      <c r="H23" s="165"/>
      <c r="I23" s="68" t="s">
        <v>232</v>
      </c>
      <c r="J23" s="166">
        <f>D27</f>
        <v>19471640.59</v>
      </c>
      <c r="K23" s="163"/>
      <c r="L23" s="163">
        <f>SUM(J23:K23)</f>
        <v>19471640.59</v>
      </c>
      <c r="N23" s="59"/>
      <c r="O23" s="59"/>
      <c r="P23" s="59"/>
      <c r="Q23" s="59"/>
      <c r="R23" s="59"/>
      <c r="S23" s="59"/>
      <c r="T23" s="59"/>
      <c r="U23" s="59"/>
      <c r="V23" s="59"/>
      <c r="W23" s="59"/>
      <c r="X23" s="59"/>
    </row>
    <row r="24" spans="1:24">
      <c r="A24" s="167"/>
      <c r="B24" s="61"/>
      <c r="D24" s="152"/>
      <c r="F24" s="168" t="s">
        <v>233</v>
      </c>
      <c r="G24" s="45">
        <f>D20+I21</f>
        <v>11526910.750000004</v>
      </c>
      <c r="H24" s="167"/>
      <c r="I24" s="169" t="s">
        <v>236</v>
      </c>
      <c r="J24" s="163"/>
      <c r="K24" s="163"/>
      <c r="L24" s="163">
        <f>SUM(J24:K24)</f>
        <v>0</v>
      </c>
      <c r="N24" s="59"/>
    </row>
    <row r="25" spans="1:24">
      <c r="A25" s="169" t="s">
        <v>232</v>
      </c>
      <c r="B25" s="69" t="s">
        <v>234</v>
      </c>
      <c r="C25" s="69" t="s">
        <v>223</v>
      </c>
      <c r="D25" s="69" t="s">
        <v>228</v>
      </c>
      <c r="E25" s="170"/>
      <c r="F25" s="171" t="s">
        <v>235</v>
      </c>
      <c r="G25" s="163">
        <f>B34</f>
        <v>2585.4699999999998</v>
      </c>
      <c r="H25" s="167"/>
      <c r="I25" s="169" t="s">
        <v>239</v>
      </c>
      <c r="J25" s="163">
        <f>238612.23</f>
        <v>238612.23</v>
      </c>
      <c r="K25" s="68"/>
      <c r="L25" s="163">
        <f>SUM(J25:K25)</f>
        <v>238612.23</v>
      </c>
      <c r="N25" s="61"/>
      <c r="O25" s="59"/>
      <c r="P25" s="59"/>
      <c r="Q25" s="59"/>
      <c r="R25" s="59"/>
      <c r="S25" s="59"/>
      <c r="T25" s="59"/>
      <c r="U25" s="59"/>
      <c r="V25" s="59"/>
      <c r="W25" s="59"/>
      <c r="X25" s="59"/>
    </row>
    <row r="26" spans="1:24">
      <c r="A26" s="169" t="s">
        <v>237</v>
      </c>
      <c r="B26" s="172">
        <v>9941159.5700000003</v>
      </c>
      <c r="C26" s="163">
        <v>25287112.449999999</v>
      </c>
      <c r="D26" s="45">
        <v>19937592.539999999</v>
      </c>
      <c r="E26" s="173"/>
      <c r="F26" s="174" t="s">
        <v>238</v>
      </c>
      <c r="G26" s="163">
        <f>C34</f>
        <v>99084.75</v>
      </c>
      <c r="I26" s="176" t="s">
        <v>241</v>
      </c>
      <c r="J26" s="163">
        <f>D34</f>
        <v>11868.76</v>
      </c>
      <c r="K26" s="163"/>
      <c r="L26" s="163">
        <f>SUM(J26:K26)</f>
        <v>11868.76</v>
      </c>
      <c r="N26" s="380"/>
      <c r="O26" s="118"/>
      <c r="P26" s="152"/>
      <c r="Q26" s="59"/>
      <c r="R26" s="59"/>
      <c r="S26" s="59"/>
      <c r="T26" s="59"/>
      <c r="U26" s="59"/>
      <c r="V26" s="59"/>
      <c r="W26" s="59"/>
      <c r="X26" s="59"/>
    </row>
    <row r="27" spans="1:24">
      <c r="A27" s="169" t="s">
        <v>240</v>
      </c>
      <c r="B27" s="45">
        <v>9828935.9100000001</v>
      </c>
      <c r="C27" s="82">
        <v>25585242.300000001</v>
      </c>
      <c r="D27" s="166">
        <v>19471640.59</v>
      </c>
      <c r="F27" s="176" t="s">
        <v>601</v>
      </c>
      <c r="G27" s="175">
        <f>SUM(I34:J35)</f>
        <v>394668.36000000004</v>
      </c>
      <c r="I27" s="69" t="s">
        <v>244</v>
      </c>
      <c r="J27" s="175">
        <f>J23-SUM(J24:J26)</f>
        <v>19221159.600000001</v>
      </c>
      <c r="K27" s="179">
        <f>K23-SUM(K24:K26)</f>
        <v>0</v>
      </c>
      <c r="L27" s="179">
        <f>L23-SUM(L24:L26)</f>
        <v>19221159.600000001</v>
      </c>
      <c r="M27" s="362"/>
      <c r="N27" s="60"/>
      <c r="O27" s="59"/>
      <c r="P27" s="60"/>
      <c r="Q27" s="59"/>
      <c r="R27" s="59"/>
      <c r="S27" s="59"/>
      <c r="T27" s="59"/>
      <c r="U27" s="59"/>
      <c r="V27" s="59"/>
      <c r="W27" s="59"/>
      <c r="X27" s="59"/>
    </row>
    <row r="28" spans="1:24">
      <c r="A28" s="169" t="s">
        <v>242</v>
      </c>
      <c r="B28" s="45">
        <v>8693032.3399999999</v>
      </c>
      <c r="C28" s="163">
        <v>24260516.469999999</v>
      </c>
      <c r="D28" s="45">
        <v>18165094.34</v>
      </c>
      <c r="E28" s="177"/>
      <c r="F28" s="168" t="s">
        <v>243</v>
      </c>
      <c r="G28" s="175">
        <f>G23-SUM(G24:G27)</f>
        <v>23503152.539999999</v>
      </c>
      <c r="H28" s="178"/>
      <c r="I28" s="169" t="s">
        <v>247</v>
      </c>
      <c r="J28" s="82">
        <f>(J27/(SUM(D8:D19))*100)</f>
        <v>25.559440058936449</v>
      </c>
      <c r="K28" s="82">
        <f>(K27/(SUM(D8:D19)))*100</f>
        <v>0</v>
      </c>
      <c r="L28" s="184">
        <f>(L27/(SUM(D8:D19)))*100</f>
        <v>25.559440058936449</v>
      </c>
      <c r="N28" s="59"/>
      <c r="P28" s="380"/>
      <c r="Q28" s="60"/>
      <c r="R28" s="59"/>
      <c r="S28" s="59"/>
      <c r="T28" s="59"/>
      <c r="U28" s="59"/>
      <c r="V28" s="59"/>
      <c r="W28" s="59"/>
      <c r="X28" s="59"/>
    </row>
    <row r="29" spans="1:24">
      <c r="A29" s="163" t="s">
        <v>245</v>
      </c>
      <c r="B29" s="180">
        <f>B26/SUM(D8:D19)</f>
        <v>0.13219310251486463</v>
      </c>
      <c r="C29" s="181">
        <f>C26/D20</f>
        <v>1.0783544202206568</v>
      </c>
      <c r="D29" s="181">
        <f>D26/SUM(D8:D19)</f>
        <v>0.26512120603047717</v>
      </c>
      <c r="E29" s="173"/>
      <c r="F29" s="182" t="s">
        <v>246</v>
      </c>
      <c r="G29" s="183">
        <f>G28/(SUM(D8:D19))</f>
        <v>0.31253443134730013</v>
      </c>
      <c r="J29" s="61"/>
      <c r="L29" s="134"/>
      <c r="N29" s="59"/>
      <c r="O29" s="59"/>
      <c r="P29" s="380"/>
      <c r="Q29" s="60"/>
      <c r="R29" s="59"/>
      <c r="S29" s="59"/>
      <c r="T29" s="59"/>
      <c r="U29" s="59"/>
      <c r="V29" s="59"/>
      <c r="W29" s="59"/>
      <c r="X29" s="59"/>
    </row>
    <row r="30" spans="1:24">
      <c r="A30" s="72" t="s">
        <v>248</v>
      </c>
      <c r="B30" s="185">
        <f>(B27-B34)/SUM(D8:D19)</f>
        <v>0.13066642195160991</v>
      </c>
      <c r="C30" s="185">
        <f>(C26-C34)/D20</f>
        <v>1.0741290078351884</v>
      </c>
      <c r="D30" s="185">
        <f>(D27-D34)/SUM(D8:D19)</f>
        <v>0.25876735951428498</v>
      </c>
      <c r="E30" s="139"/>
      <c r="F30" s="176" t="s">
        <v>249</v>
      </c>
      <c r="G30" s="175">
        <f>G28-(SUM(D8:D19)*0.25)</f>
        <v>4702701.9474999979</v>
      </c>
      <c r="H30" s="186" t="str">
        <f>IF(G30&gt;0," = A MAIOR","= A MENOR")</f>
        <v xml:space="preserve"> = A MAIOR</v>
      </c>
      <c r="N30" s="59"/>
      <c r="O30" s="59"/>
      <c r="P30" s="380"/>
      <c r="Q30" s="380"/>
      <c r="R30" s="59"/>
      <c r="S30" s="59"/>
      <c r="T30" s="59"/>
      <c r="U30" s="59"/>
      <c r="V30" s="59"/>
      <c r="W30" s="59"/>
      <c r="X30" s="59"/>
    </row>
    <row r="31" spans="1:24">
      <c r="A31" s="169" t="s">
        <v>250</v>
      </c>
      <c r="B31" s="181">
        <f>B28/SUM(D8:D19)</f>
        <v>0.11559606373833244</v>
      </c>
      <c r="C31" s="181">
        <f>C27/D20</f>
        <v>1.0910679968373187</v>
      </c>
      <c r="D31" s="181">
        <f>D27/SUM(D8:D19)</f>
        <v>0.25892518498689271</v>
      </c>
      <c r="E31" s="68" t="s">
        <v>251</v>
      </c>
      <c r="G31" s="118"/>
      <c r="N31" s="59"/>
      <c r="O31" s="59"/>
      <c r="P31" s="167"/>
      <c r="Q31" s="167"/>
      <c r="R31" s="59"/>
      <c r="S31" s="59"/>
      <c r="T31" s="59"/>
      <c r="U31" s="59"/>
      <c r="V31" s="59"/>
      <c r="W31" s="59"/>
      <c r="X31" s="59"/>
    </row>
    <row r="32" spans="1:24">
      <c r="A32" s="169" t="s">
        <v>252</v>
      </c>
      <c r="B32" s="435">
        <f t="shared" ref="B32:D33" si="6">B26-B27</f>
        <v>112223.66000000015</v>
      </c>
      <c r="C32" s="179">
        <f t="shared" si="6"/>
        <v>-298129.85000000149</v>
      </c>
      <c r="D32" s="179">
        <f t="shared" si="6"/>
        <v>465951.94999999925</v>
      </c>
      <c r="E32" s="163">
        <f>SUM(B32:D32)</f>
        <v>280045.75999999791</v>
      </c>
      <c r="G32" s="187"/>
      <c r="H32" s="68" t="s">
        <v>227</v>
      </c>
      <c r="I32" s="69" t="s">
        <v>234</v>
      </c>
      <c r="J32" s="69" t="s">
        <v>223</v>
      </c>
      <c r="K32" s="69" t="s">
        <v>229</v>
      </c>
      <c r="L32" s="69" t="s">
        <v>177</v>
      </c>
      <c r="N32" s="59"/>
      <c r="O32" s="59"/>
      <c r="P32" s="60"/>
      <c r="Q32" s="59"/>
      <c r="R32" s="59"/>
      <c r="S32" s="59"/>
      <c r="T32" s="59"/>
      <c r="U32" s="59"/>
      <c r="V32" s="59"/>
      <c r="W32" s="59"/>
      <c r="X32" s="59"/>
    </row>
    <row r="33" spans="1:24">
      <c r="A33" s="169" t="s">
        <v>253</v>
      </c>
      <c r="B33" s="175">
        <f t="shared" si="6"/>
        <v>1135903.5700000003</v>
      </c>
      <c r="C33" s="179">
        <f t="shared" si="6"/>
        <v>1324725.8300000019</v>
      </c>
      <c r="D33" s="179">
        <f t="shared" si="6"/>
        <v>1306546.25</v>
      </c>
      <c r="E33" s="163">
        <f>SUM(B33:D33)</f>
        <v>3767175.6500000022</v>
      </c>
      <c r="G33" s="143"/>
      <c r="H33" s="68" t="s">
        <v>232</v>
      </c>
      <c r="I33" s="166">
        <f>B26</f>
        <v>9941159.5700000003</v>
      </c>
      <c r="J33" s="45">
        <f>C27</f>
        <v>25585242.300000001</v>
      </c>
      <c r="K33" s="188">
        <f>615295.32</f>
        <v>615295.31999999995</v>
      </c>
      <c r="L33" s="189">
        <f>SUM(I33:K33)</f>
        <v>36141697.190000005</v>
      </c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</row>
    <row r="34" spans="1:24">
      <c r="A34" s="169" t="s">
        <v>254</v>
      </c>
      <c r="B34" s="163">
        <f>2585.47</f>
        <v>2585.4699999999998</v>
      </c>
      <c r="C34" s="163">
        <f>99084.75</f>
        <v>99084.75</v>
      </c>
      <c r="D34" s="163">
        <f>11868.76</f>
        <v>11868.76</v>
      </c>
      <c r="E34" s="163">
        <f>SUM(B34:D34)</f>
        <v>113538.98</v>
      </c>
      <c r="F34" s="165"/>
      <c r="G34" s="143"/>
      <c r="H34" s="169" t="s">
        <v>236</v>
      </c>
      <c r="I34" s="163"/>
      <c r="J34" s="190"/>
      <c r="K34" s="163"/>
      <c r="L34" s="189">
        <f>SUM(I34:K34)</f>
        <v>0</v>
      </c>
      <c r="N34" s="59"/>
      <c r="O34" s="59"/>
      <c r="P34" s="60"/>
      <c r="Q34" s="59"/>
      <c r="R34" s="59"/>
      <c r="S34" s="59"/>
      <c r="T34" s="59"/>
      <c r="U34" s="59"/>
      <c r="V34" s="59"/>
      <c r="W34" s="59"/>
      <c r="X34" s="59"/>
    </row>
    <row r="35" spans="1:24">
      <c r="A35" s="57" t="s">
        <v>472</v>
      </c>
      <c r="E35" s="191">
        <f>(J33-(J34+J35+J37))/D20</f>
        <v>1.0744861152517664</v>
      </c>
      <c r="F35" s="165"/>
      <c r="G35" s="143"/>
      <c r="H35" s="169" t="s">
        <v>239</v>
      </c>
      <c r="I35" s="163">
        <f>104912.58</f>
        <v>104912.58</v>
      </c>
      <c r="J35" s="163">
        <f>289755.78</f>
        <v>289755.78000000003</v>
      </c>
      <c r="K35" s="163">
        <f>1243.91</f>
        <v>1243.9100000000001</v>
      </c>
      <c r="L35" s="189">
        <f>SUM(I35:K35)</f>
        <v>395912.27</v>
      </c>
      <c r="N35" s="59"/>
      <c r="O35" s="59"/>
      <c r="P35" s="60"/>
      <c r="Q35" s="59"/>
      <c r="R35" s="59"/>
      <c r="S35" s="59"/>
      <c r="T35" s="59"/>
      <c r="U35" s="59"/>
      <c r="V35" s="59"/>
      <c r="W35" s="59"/>
      <c r="X35" s="59"/>
    </row>
    <row r="36" spans="1:24">
      <c r="A36" s="165" t="s">
        <v>1229</v>
      </c>
      <c r="B36" s="165"/>
      <c r="C36" s="165"/>
      <c r="D36" s="165"/>
      <c r="E36" s="165"/>
      <c r="F36" s="165"/>
      <c r="G36" s="143"/>
      <c r="H36" s="169" t="s">
        <v>255</v>
      </c>
      <c r="I36" s="169"/>
      <c r="J36" s="45">
        <f>D20+I21</f>
        <v>11526910.750000004</v>
      </c>
      <c r="K36" s="169"/>
      <c r="L36" s="189">
        <f>SUM(I36:K36)</f>
        <v>11526910.750000004</v>
      </c>
      <c r="N36" s="59"/>
      <c r="O36" s="59"/>
      <c r="P36" s="380"/>
      <c r="Q36" s="60"/>
      <c r="R36" s="59"/>
      <c r="S36" s="59"/>
      <c r="T36" s="59"/>
      <c r="U36" s="59"/>
      <c r="V36" s="59"/>
      <c r="W36" s="59"/>
      <c r="X36" s="59"/>
    </row>
    <row r="37" spans="1:24">
      <c r="A37" s="57" t="s">
        <v>478</v>
      </c>
      <c r="B37" s="165"/>
      <c r="C37" s="165"/>
      <c r="D37" s="165"/>
      <c r="E37" s="165"/>
      <c r="F37" s="165"/>
      <c r="H37" s="176" t="s">
        <v>241</v>
      </c>
      <c r="I37" s="163">
        <f>B34</f>
        <v>2585.4699999999998</v>
      </c>
      <c r="J37" s="163">
        <f>C34</f>
        <v>99084.75</v>
      </c>
      <c r="K37" s="192"/>
      <c r="L37" s="189">
        <f>SUM(I37:K37)</f>
        <v>101670.22</v>
      </c>
      <c r="N37" s="59"/>
      <c r="O37" s="59"/>
      <c r="P37" s="380"/>
      <c r="Q37" s="60"/>
      <c r="R37" s="59"/>
      <c r="S37" s="59"/>
      <c r="T37" s="59"/>
      <c r="U37" s="59"/>
      <c r="V37" s="59"/>
      <c r="W37" s="59"/>
      <c r="X37" s="59"/>
    </row>
    <row r="38" spans="1:24">
      <c r="H38" s="69" t="s">
        <v>244</v>
      </c>
      <c r="I38" s="193">
        <f>I33-SUM(I34:I37)</f>
        <v>9833661.5199999996</v>
      </c>
      <c r="J38" s="193">
        <f>J33-SUM(J34:J37)</f>
        <v>13669491.019999998</v>
      </c>
      <c r="K38" s="189">
        <f>K33-SUM(K34:K37)</f>
        <v>614051.40999999992</v>
      </c>
      <c r="L38" s="179">
        <f>L33-SUM(L34:L37)</f>
        <v>24117203.950000003</v>
      </c>
      <c r="N38" s="59"/>
      <c r="O38" s="59"/>
      <c r="P38" s="380"/>
      <c r="Q38" s="60"/>
      <c r="R38" s="59"/>
      <c r="S38" s="59"/>
      <c r="T38" s="59"/>
      <c r="U38" s="59"/>
      <c r="V38" s="59"/>
      <c r="W38" s="59"/>
      <c r="X38" s="59"/>
    </row>
    <row r="39" spans="1:24">
      <c r="F39" s="362"/>
      <c r="H39" s="68" t="s">
        <v>256</v>
      </c>
      <c r="I39" s="190">
        <f>(I38/(SUM(D8:D19)))*100</f>
        <v>13.076364142999461</v>
      </c>
      <c r="J39" s="163">
        <f>(J38/(SUM(D8:D19)))*100</f>
        <v>18.17707899173055</v>
      </c>
      <c r="K39" s="163">
        <f>(K38/(SUM(D8:D19))*100)</f>
        <v>0.81653815553357179</v>
      </c>
      <c r="L39" s="82">
        <f>(L38/(SUM(D8:D19)))*100</f>
        <v>32.069981290263591</v>
      </c>
      <c r="N39" s="59"/>
      <c r="O39" s="59"/>
      <c r="P39" s="167"/>
      <c r="Q39" s="59"/>
      <c r="R39" s="59"/>
      <c r="S39" s="59"/>
      <c r="U39" s="59"/>
      <c r="V39" s="59"/>
    </row>
    <row r="40" spans="1:24">
      <c r="H40" s="170"/>
      <c r="I40" s="194">
        <f>I39/L39</f>
        <v>0.40774467638898904</v>
      </c>
      <c r="J40" s="194">
        <f>J39/L39</f>
        <v>0.56679418759901457</v>
      </c>
      <c r="K40" s="194">
        <f>K39/L39</f>
        <v>2.5461136011996111E-2</v>
      </c>
      <c r="L40" s="195"/>
      <c r="P40" s="60"/>
      <c r="Q40" s="59"/>
      <c r="R40" s="59"/>
      <c r="S40" s="59"/>
      <c r="U40" s="59"/>
      <c r="V40" s="59"/>
    </row>
    <row r="41" spans="1:24">
      <c r="H41" s="170"/>
      <c r="I41" s="194"/>
      <c r="J41" s="194"/>
      <c r="K41" s="194"/>
      <c r="L41" s="195"/>
      <c r="P41" s="60"/>
      <c r="Q41" s="59"/>
      <c r="R41" s="59"/>
      <c r="S41" s="59"/>
      <c r="U41" s="59"/>
      <c r="V41" s="59"/>
    </row>
    <row r="42" spans="1:24">
      <c r="H42" s="170"/>
      <c r="K42" s="143"/>
      <c r="L42" s="195"/>
      <c r="N42" s="59"/>
      <c r="O42" s="59"/>
      <c r="P42" s="59"/>
      <c r="Q42" s="59"/>
      <c r="R42" s="59"/>
      <c r="S42" s="59"/>
      <c r="U42" s="59"/>
      <c r="V42" s="59"/>
    </row>
    <row r="43" spans="1:24">
      <c r="A43" s="57" t="s">
        <v>95</v>
      </c>
      <c r="D43" s="57" t="s">
        <v>96</v>
      </c>
      <c r="G43" s="57" t="s">
        <v>97</v>
      </c>
      <c r="I43" s="353"/>
      <c r="J43" s="61"/>
      <c r="N43" s="59"/>
      <c r="O43" s="59"/>
      <c r="P43" s="59"/>
      <c r="Q43" s="59"/>
      <c r="R43" s="59"/>
      <c r="S43" s="59"/>
      <c r="U43" s="59"/>
      <c r="V43" s="59"/>
    </row>
    <row r="44" spans="1:24">
      <c r="A44" s="57" t="s">
        <v>98</v>
      </c>
      <c r="D44" s="57" t="s">
        <v>99</v>
      </c>
      <c r="G44" s="57" t="s">
        <v>100</v>
      </c>
      <c r="L44" s="152"/>
      <c r="N44" s="59"/>
      <c r="O44" s="59"/>
      <c r="P44" s="59"/>
      <c r="Q44" s="59"/>
      <c r="R44" s="59"/>
      <c r="S44" s="59"/>
      <c r="U44" s="59"/>
      <c r="V44" s="59"/>
    </row>
    <row r="45" spans="1:24">
      <c r="J45" s="167"/>
      <c r="P45" s="59"/>
      <c r="Q45" s="59"/>
      <c r="R45" s="59"/>
      <c r="S45" s="59"/>
      <c r="U45" s="59"/>
      <c r="V45" s="59"/>
    </row>
    <row r="46" spans="1:24">
      <c r="B46" s="59"/>
      <c r="N46" s="59"/>
      <c r="O46" s="59"/>
      <c r="P46" s="59"/>
      <c r="Q46" s="59"/>
      <c r="R46" s="59"/>
      <c r="S46" s="59"/>
      <c r="U46" s="59"/>
      <c r="V46" s="59"/>
    </row>
    <row r="47" spans="1:24" s="59" customFormat="1">
      <c r="A47" s="57"/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</row>
    <row r="48" spans="1:24" s="86" customFormat="1">
      <c r="A48" s="57"/>
      <c r="B48" s="59"/>
      <c r="C48" s="57"/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9"/>
      <c r="P48" s="59"/>
      <c r="Q48" s="59"/>
      <c r="R48" s="59"/>
      <c r="S48" s="59"/>
      <c r="U48" s="59"/>
      <c r="V48" s="59"/>
    </row>
    <row r="49" spans="1:22" s="86" customFormat="1">
      <c r="A49" s="57"/>
      <c r="B49" s="59"/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9"/>
      <c r="Q49" s="59"/>
      <c r="R49" s="59"/>
      <c r="S49" s="59"/>
      <c r="U49" s="59"/>
      <c r="V49" s="59"/>
    </row>
    <row r="50" spans="1:22">
      <c r="B50" s="59"/>
      <c r="O50" s="59"/>
      <c r="P50" s="59"/>
      <c r="Q50" s="59"/>
      <c r="R50" s="59"/>
      <c r="S50" s="59"/>
      <c r="U50" s="59"/>
      <c r="V50" s="59"/>
    </row>
    <row r="51" spans="1:22">
      <c r="B51" s="59"/>
      <c r="O51" s="59"/>
      <c r="P51" s="59"/>
      <c r="Q51" s="59"/>
      <c r="R51" s="59"/>
      <c r="S51" s="59"/>
      <c r="U51" s="59"/>
      <c r="V51" s="59"/>
    </row>
    <row r="52" spans="1:22">
      <c r="B52" s="59"/>
      <c r="O52" s="59"/>
      <c r="P52" s="59"/>
      <c r="Q52" s="59"/>
      <c r="R52" s="59"/>
      <c r="S52" s="59"/>
      <c r="U52" s="59"/>
      <c r="V52" s="59"/>
    </row>
    <row r="53" spans="1:22">
      <c r="B53" s="59"/>
      <c r="P53" s="59"/>
      <c r="Q53" s="59"/>
      <c r="R53" s="59"/>
      <c r="S53" s="59"/>
      <c r="U53" s="59"/>
      <c r="V53" s="59"/>
    </row>
    <row r="54" spans="1:22">
      <c r="B54" s="59"/>
    </row>
    <row r="55" spans="1:22" s="133" customFormat="1">
      <c r="A55" s="57"/>
      <c r="B55" s="59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</row>
    <row r="56" spans="1:22">
      <c r="B56" s="59"/>
    </row>
    <row r="57" spans="1:22">
      <c r="B57" s="59"/>
    </row>
    <row r="58" spans="1:22">
      <c r="B58" s="59"/>
    </row>
    <row r="59" spans="1:22">
      <c r="B59" s="59"/>
      <c r="G59" s="59"/>
      <c r="H59" s="59"/>
    </row>
    <row r="60" spans="1:22">
      <c r="B60" s="59"/>
    </row>
    <row r="61" spans="1:22">
      <c r="B61" s="59"/>
      <c r="G61" s="59"/>
      <c r="H61" s="59"/>
    </row>
    <row r="62" spans="1:22">
      <c r="B62" s="59"/>
    </row>
    <row r="63" spans="1:22">
      <c r="B63" s="59"/>
      <c r="G63" s="59"/>
      <c r="H63" s="59"/>
    </row>
    <row r="64" spans="1:22">
      <c r="B64" s="59"/>
    </row>
    <row r="65" spans="1:8">
      <c r="B65" s="59"/>
      <c r="G65" s="59"/>
      <c r="H65" s="59"/>
    </row>
    <row r="66" spans="1:8">
      <c r="B66" s="59"/>
    </row>
    <row r="67" spans="1:8">
      <c r="A67" s="59"/>
      <c r="B67" s="59"/>
      <c r="G67" s="59"/>
      <c r="H67" s="59"/>
    </row>
    <row r="69" spans="1:8">
      <c r="A69" s="59"/>
      <c r="B69" s="59"/>
      <c r="G69" s="59"/>
      <c r="H69" s="59"/>
    </row>
    <row r="71" spans="1:8">
      <c r="A71" s="59"/>
      <c r="B71" s="59"/>
      <c r="G71" s="59"/>
      <c r="H71" s="59"/>
    </row>
    <row r="73" spans="1:8">
      <c r="A73" s="59"/>
      <c r="B73" s="59"/>
      <c r="G73" s="59"/>
      <c r="H73" s="59"/>
    </row>
    <row r="75" spans="1:8">
      <c r="A75" s="59"/>
      <c r="B75" s="59"/>
      <c r="G75" s="59"/>
      <c r="H75" s="59"/>
    </row>
    <row r="77" spans="1:8">
      <c r="A77" s="59"/>
      <c r="B77" s="59"/>
      <c r="G77" s="59"/>
      <c r="H77" s="59"/>
    </row>
    <row r="79" spans="1:8">
      <c r="A79" s="59"/>
      <c r="B79" s="59"/>
      <c r="G79" s="59"/>
      <c r="H79" s="59"/>
    </row>
    <row r="81" spans="1:8">
      <c r="A81" s="59"/>
      <c r="B81" s="59"/>
      <c r="G81" s="59"/>
      <c r="H81" s="59"/>
    </row>
    <row r="83" spans="1:8">
      <c r="A83" s="59"/>
      <c r="B83" s="59"/>
      <c r="G83" s="59"/>
      <c r="H83" s="59"/>
    </row>
    <row r="85" spans="1:8">
      <c r="A85" s="59"/>
      <c r="B85" s="59"/>
      <c r="C85" s="59"/>
      <c r="D85" s="59"/>
      <c r="E85" s="59"/>
      <c r="F85" s="59"/>
      <c r="G85" s="59"/>
      <c r="H85" s="59"/>
    </row>
    <row r="87" spans="1:8">
      <c r="A87" s="59"/>
      <c r="B87" s="59"/>
      <c r="C87" s="59"/>
      <c r="D87" s="59"/>
      <c r="E87" s="59"/>
      <c r="F87" s="59"/>
      <c r="G87" s="59"/>
      <c r="H87" s="59"/>
    </row>
  </sheetData>
  <mergeCells count="3">
    <mergeCell ref="E7:F7"/>
    <mergeCell ref="G7:H7"/>
    <mergeCell ref="I7:J7"/>
  </mergeCells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3:Y103"/>
  <sheetViews>
    <sheetView topLeftCell="A6" zoomScale="172" zoomScaleNormal="172" workbookViewId="0">
      <selection activeCell="B19" sqref="B19"/>
    </sheetView>
  </sheetViews>
  <sheetFormatPr defaultRowHeight="8.25"/>
  <cols>
    <col min="1" max="1" width="11" style="59" customWidth="1"/>
    <col min="2" max="2" width="9.42578125" style="59" customWidth="1"/>
    <col min="3" max="3" width="11.140625" style="59" customWidth="1"/>
    <col min="4" max="5" width="10.85546875" style="59" customWidth="1"/>
    <col min="6" max="6" width="10.85546875" style="59" bestFit="1" customWidth="1"/>
    <col min="7" max="7" width="11.28515625" style="59" bestFit="1" customWidth="1"/>
    <col min="8" max="8" width="9.140625" style="59" bestFit="1" customWidth="1"/>
    <col min="9" max="9" width="11" style="59" customWidth="1"/>
    <col min="10" max="10" width="10.85546875" style="59" customWidth="1"/>
    <col min="11" max="12" width="9.140625" style="59"/>
    <col min="13" max="13" width="10.140625" style="59" customWidth="1"/>
    <col min="14" max="16" width="10" style="59" bestFit="1" customWidth="1"/>
    <col min="17" max="256" width="9.140625" style="59"/>
    <col min="257" max="257" width="11" style="59" customWidth="1"/>
    <col min="258" max="258" width="8.42578125" style="59" customWidth="1"/>
    <col min="259" max="259" width="11.140625" style="59" customWidth="1"/>
    <col min="260" max="260" width="10.140625" style="59" customWidth="1"/>
    <col min="261" max="261" width="10.28515625" style="59" customWidth="1"/>
    <col min="262" max="262" width="10.85546875" style="59" bestFit="1" customWidth="1"/>
    <col min="263" max="263" width="11.28515625" style="59" bestFit="1" customWidth="1"/>
    <col min="264" max="264" width="9.140625" style="59" bestFit="1" customWidth="1"/>
    <col min="265" max="265" width="11" style="59" customWidth="1"/>
    <col min="266" max="266" width="10.28515625" style="59" customWidth="1"/>
    <col min="267" max="268" width="9.140625" style="59"/>
    <col min="269" max="269" width="10.140625" style="59" customWidth="1"/>
    <col min="270" max="272" width="10" style="59" bestFit="1" customWidth="1"/>
    <col min="273" max="512" width="9.140625" style="59"/>
    <col min="513" max="513" width="11" style="59" customWidth="1"/>
    <col min="514" max="514" width="8.42578125" style="59" customWidth="1"/>
    <col min="515" max="515" width="11.140625" style="59" customWidth="1"/>
    <col min="516" max="516" width="10.140625" style="59" customWidth="1"/>
    <col min="517" max="517" width="10.28515625" style="59" customWidth="1"/>
    <col min="518" max="518" width="10.85546875" style="59" bestFit="1" customWidth="1"/>
    <col min="519" max="519" width="11.28515625" style="59" bestFit="1" customWidth="1"/>
    <col min="520" max="520" width="9.140625" style="59" bestFit="1" customWidth="1"/>
    <col min="521" max="521" width="11" style="59" customWidth="1"/>
    <col min="522" max="522" width="10.28515625" style="59" customWidth="1"/>
    <col min="523" max="524" width="9.140625" style="59"/>
    <col min="525" max="525" width="10.140625" style="59" customWidth="1"/>
    <col min="526" max="528" width="10" style="59" bestFit="1" customWidth="1"/>
    <col min="529" max="768" width="9.140625" style="59"/>
    <col min="769" max="769" width="11" style="59" customWidth="1"/>
    <col min="770" max="770" width="8.42578125" style="59" customWidth="1"/>
    <col min="771" max="771" width="11.140625" style="59" customWidth="1"/>
    <col min="772" max="772" width="10.140625" style="59" customWidth="1"/>
    <col min="773" max="773" width="10.28515625" style="59" customWidth="1"/>
    <col min="774" max="774" width="10.85546875" style="59" bestFit="1" customWidth="1"/>
    <col min="775" max="775" width="11.28515625" style="59" bestFit="1" customWidth="1"/>
    <col min="776" max="776" width="9.140625" style="59" bestFit="1" customWidth="1"/>
    <col min="777" max="777" width="11" style="59" customWidth="1"/>
    <col min="778" max="778" width="10.28515625" style="59" customWidth="1"/>
    <col min="779" max="780" width="9.140625" style="59"/>
    <col min="781" max="781" width="10.140625" style="59" customWidth="1"/>
    <col min="782" max="784" width="10" style="59" bestFit="1" customWidth="1"/>
    <col min="785" max="1024" width="9.140625" style="59"/>
    <col min="1025" max="1025" width="11" style="59" customWidth="1"/>
    <col min="1026" max="1026" width="8.42578125" style="59" customWidth="1"/>
    <col min="1027" max="1027" width="11.140625" style="59" customWidth="1"/>
    <col min="1028" max="1028" width="10.140625" style="59" customWidth="1"/>
    <col min="1029" max="1029" width="10.28515625" style="59" customWidth="1"/>
    <col min="1030" max="1030" width="10.85546875" style="59" bestFit="1" customWidth="1"/>
    <col min="1031" max="1031" width="11.28515625" style="59" bestFit="1" customWidth="1"/>
    <col min="1032" max="1032" width="9.140625" style="59" bestFit="1" customWidth="1"/>
    <col min="1033" max="1033" width="11" style="59" customWidth="1"/>
    <col min="1034" max="1034" width="10.28515625" style="59" customWidth="1"/>
    <col min="1035" max="1036" width="9.140625" style="59"/>
    <col min="1037" max="1037" width="10.140625" style="59" customWidth="1"/>
    <col min="1038" max="1040" width="10" style="59" bestFit="1" customWidth="1"/>
    <col min="1041" max="1280" width="9.140625" style="59"/>
    <col min="1281" max="1281" width="11" style="59" customWidth="1"/>
    <col min="1282" max="1282" width="8.42578125" style="59" customWidth="1"/>
    <col min="1283" max="1283" width="11.140625" style="59" customWidth="1"/>
    <col min="1284" max="1284" width="10.140625" style="59" customWidth="1"/>
    <col min="1285" max="1285" width="10.28515625" style="59" customWidth="1"/>
    <col min="1286" max="1286" width="10.85546875" style="59" bestFit="1" customWidth="1"/>
    <col min="1287" max="1287" width="11.28515625" style="59" bestFit="1" customWidth="1"/>
    <col min="1288" max="1288" width="9.140625" style="59" bestFit="1" customWidth="1"/>
    <col min="1289" max="1289" width="11" style="59" customWidth="1"/>
    <col min="1290" max="1290" width="10.28515625" style="59" customWidth="1"/>
    <col min="1291" max="1292" width="9.140625" style="59"/>
    <col min="1293" max="1293" width="10.140625" style="59" customWidth="1"/>
    <col min="1294" max="1296" width="10" style="59" bestFit="1" customWidth="1"/>
    <col min="1297" max="1536" width="9.140625" style="59"/>
    <col min="1537" max="1537" width="11" style="59" customWidth="1"/>
    <col min="1538" max="1538" width="8.42578125" style="59" customWidth="1"/>
    <col min="1539" max="1539" width="11.140625" style="59" customWidth="1"/>
    <col min="1540" max="1540" width="10.140625" style="59" customWidth="1"/>
    <col min="1541" max="1541" width="10.28515625" style="59" customWidth="1"/>
    <col min="1542" max="1542" width="10.85546875" style="59" bestFit="1" customWidth="1"/>
    <col min="1543" max="1543" width="11.28515625" style="59" bestFit="1" customWidth="1"/>
    <col min="1544" max="1544" width="9.140625" style="59" bestFit="1" customWidth="1"/>
    <col min="1545" max="1545" width="11" style="59" customWidth="1"/>
    <col min="1546" max="1546" width="10.28515625" style="59" customWidth="1"/>
    <col min="1547" max="1548" width="9.140625" style="59"/>
    <col min="1549" max="1549" width="10.140625" style="59" customWidth="1"/>
    <col min="1550" max="1552" width="10" style="59" bestFit="1" customWidth="1"/>
    <col min="1553" max="1792" width="9.140625" style="59"/>
    <col min="1793" max="1793" width="11" style="59" customWidth="1"/>
    <col min="1794" max="1794" width="8.42578125" style="59" customWidth="1"/>
    <col min="1795" max="1795" width="11.140625" style="59" customWidth="1"/>
    <col min="1796" max="1796" width="10.140625" style="59" customWidth="1"/>
    <col min="1797" max="1797" width="10.28515625" style="59" customWidth="1"/>
    <col min="1798" max="1798" width="10.85546875" style="59" bestFit="1" customWidth="1"/>
    <col min="1799" max="1799" width="11.28515625" style="59" bestFit="1" customWidth="1"/>
    <col min="1800" max="1800" width="9.140625" style="59" bestFit="1" customWidth="1"/>
    <col min="1801" max="1801" width="11" style="59" customWidth="1"/>
    <col min="1802" max="1802" width="10.28515625" style="59" customWidth="1"/>
    <col min="1803" max="1804" width="9.140625" style="59"/>
    <col min="1805" max="1805" width="10.140625" style="59" customWidth="1"/>
    <col min="1806" max="1808" width="10" style="59" bestFit="1" customWidth="1"/>
    <col min="1809" max="2048" width="9.140625" style="59"/>
    <col min="2049" max="2049" width="11" style="59" customWidth="1"/>
    <col min="2050" max="2050" width="8.42578125" style="59" customWidth="1"/>
    <col min="2051" max="2051" width="11.140625" style="59" customWidth="1"/>
    <col min="2052" max="2052" width="10.140625" style="59" customWidth="1"/>
    <col min="2053" max="2053" width="10.28515625" style="59" customWidth="1"/>
    <col min="2054" max="2054" width="10.85546875" style="59" bestFit="1" customWidth="1"/>
    <col min="2055" max="2055" width="11.28515625" style="59" bestFit="1" customWidth="1"/>
    <col min="2056" max="2056" width="9.140625" style="59" bestFit="1" customWidth="1"/>
    <col min="2057" max="2057" width="11" style="59" customWidth="1"/>
    <col min="2058" max="2058" width="10.28515625" style="59" customWidth="1"/>
    <col min="2059" max="2060" width="9.140625" style="59"/>
    <col min="2061" max="2061" width="10.140625" style="59" customWidth="1"/>
    <col min="2062" max="2064" width="10" style="59" bestFit="1" customWidth="1"/>
    <col min="2065" max="2304" width="9.140625" style="59"/>
    <col min="2305" max="2305" width="11" style="59" customWidth="1"/>
    <col min="2306" max="2306" width="8.42578125" style="59" customWidth="1"/>
    <col min="2307" max="2307" width="11.140625" style="59" customWidth="1"/>
    <col min="2308" max="2308" width="10.140625" style="59" customWidth="1"/>
    <col min="2309" max="2309" width="10.28515625" style="59" customWidth="1"/>
    <col min="2310" max="2310" width="10.85546875" style="59" bestFit="1" customWidth="1"/>
    <col min="2311" max="2311" width="11.28515625" style="59" bestFit="1" customWidth="1"/>
    <col min="2312" max="2312" width="9.140625" style="59" bestFit="1" customWidth="1"/>
    <col min="2313" max="2313" width="11" style="59" customWidth="1"/>
    <col min="2314" max="2314" width="10.28515625" style="59" customWidth="1"/>
    <col min="2315" max="2316" width="9.140625" style="59"/>
    <col min="2317" max="2317" width="10.140625" style="59" customWidth="1"/>
    <col min="2318" max="2320" width="10" style="59" bestFit="1" customWidth="1"/>
    <col min="2321" max="2560" width="9.140625" style="59"/>
    <col min="2561" max="2561" width="11" style="59" customWidth="1"/>
    <col min="2562" max="2562" width="8.42578125" style="59" customWidth="1"/>
    <col min="2563" max="2563" width="11.140625" style="59" customWidth="1"/>
    <col min="2564" max="2564" width="10.140625" style="59" customWidth="1"/>
    <col min="2565" max="2565" width="10.28515625" style="59" customWidth="1"/>
    <col min="2566" max="2566" width="10.85546875" style="59" bestFit="1" customWidth="1"/>
    <col min="2567" max="2567" width="11.28515625" style="59" bestFit="1" customWidth="1"/>
    <col min="2568" max="2568" width="9.140625" style="59" bestFit="1" customWidth="1"/>
    <col min="2569" max="2569" width="11" style="59" customWidth="1"/>
    <col min="2570" max="2570" width="10.28515625" style="59" customWidth="1"/>
    <col min="2571" max="2572" width="9.140625" style="59"/>
    <col min="2573" max="2573" width="10.140625" style="59" customWidth="1"/>
    <col min="2574" max="2576" width="10" style="59" bestFit="1" customWidth="1"/>
    <col min="2577" max="2816" width="9.140625" style="59"/>
    <col min="2817" max="2817" width="11" style="59" customWidth="1"/>
    <col min="2818" max="2818" width="8.42578125" style="59" customWidth="1"/>
    <col min="2819" max="2819" width="11.140625" style="59" customWidth="1"/>
    <col min="2820" max="2820" width="10.140625" style="59" customWidth="1"/>
    <col min="2821" max="2821" width="10.28515625" style="59" customWidth="1"/>
    <col min="2822" max="2822" width="10.85546875" style="59" bestFit="1" customWidth="1"/>
    <col min="2823" max="2823" width="11.28515625" style="59" bestFit="1" customWidth="1"/>
    <col min="2824" max="2824" width="9.140625" style="59" bestFit="1" customWidth="1"/>
    <col min="2825" max="2825" width="11" style="59" customWidth="1"/>
    <col min="2826" max="2826" width="10.28515625" style="59" customWidth="1"/>
    <col min="2827" max="2828" width="9.140625" style="59"/>
    <col min="2829" max="2829" width="10.140625" style="59" customWidth="1"/>
    <col min="2830" max="2832" width="10" style="59" bestFit="1" customWidth="1"/>
    <col min="2833" max="3072" width="9.140625" style="59"/>
    <col min="3073" max="3073" width="11" style="59" customWidth="1"/>
    <col min="3074" max="3074" width="8.42578125" style="59" customWidth="1"/>
    <col min="3075" max="3075" width="11.140625" style="59" customWidth="1"/>
    <col min="3076" max="3076" width="10.140625" style="59" customWidth="1"/>
    <col min="3077" max="3077" width="10.28515625" style="59" customWidth="1"/>
    <col min="3078" max="3078" width="10.85546875" style="59" bestFit="1" customWidth="1"/>
    <col min="3079" max="3079" width="11.28515625" style="59" bestFit="1" customWidth="1"/>
    <col min="3080" max="3080" width="9.140625" style="59" bestFit="1" customWidth="1"/>
    <col min="3081" max="3081" width="11" style="59" customWidth="1"/>
    <col min="3082" max="3082" width="10.28515625" style="59" customWidth="1"/>
    <col min="3083" max="3084" width="9.140625" style="59"/>
    <col min="3085" max="3085" width="10.140625" style="59" customWidth="1"/>
    <col min="3086" max="3088" width="10" style="59" bestFit="1" customWidth="1"/>
    <col min="3089" max="3328" width="9.140625" style="59"/>
    <col min="3329" max="3329" width="11" style="59" customWidth="1"/>
    <col min="3330" max="3330" width="8.42578125" style="59" customWidth="1"/>
    <col min="3331" max="3331" width="11.140625" style="59" customWidth="1"/>
    <col min="3332" max="3332" width="10.140625" style="59" customWidth="1"/>
    <col min="3333" max="3333" width="10.28515625" style="59" customWidth="1"/>
    <col min="3334" max="3334" width="10.85546875" style="59" bestFit="1" customWidth="1"/>
    <col min="3335" max="3335" width="11.28515625" style="59" bestFit="1" customWidth="1"/>
    <col min="3336" max="3336" width="9.140625" style="59" bestFit="1" customWidth="1"/>
    <col min="3337" max="3337" width="11" style="59" customWidth="1"/>
    <col min="3338" max="3338" width="10.28515625" style="59" customWidth="1"/>
    <col min="3339" max="3340" width="9.140625" style="59"/>
    <col min="3341" max="3341" width="10.140625" style="59" customWidth="1"/>
    <col min="3342" max="3344" width="10" style="59" bestFit="1" customWidth="1"/>
    <col min="3345" max="3584" width="9.140625" style="59"/>
    <col min="3585" max="3585" width="11" style="59" customWidth="1"/>
    <col min="3586" max="3586" width="8.42578125" style="59" customWidth="1"/>
    <col min="3587" max="3587" width="11.140625" style="59" customWidth="1"/>
    <col min="3588" max="3588" width="10.140625" style="59" customWidth="1"/>
    <col min="3589" max="3589" width="10.28515625" style="59" customWidth="1"/>
    <col min="3590" max="3590" width="10.85546875" style="59" bestFit="1" customWidth="1"/>
    <col min="3591" max="3591" width="11.28515625" style="59" bestFit="1" customWidth="1"/>
    <col min="3592" max="3592" width="9.140625" style="59" bestFit="1" customWidth="1"/>
    <col min="3593" max="3593" width="11" style="59" customWidth="1"/>
    <col min="3594" max="3594" width="10.28515625" style="59" customWidth="1"/>
    <col min="3595" max="3596" width="9.140625" style="59"/>
    <col min="3597" max="3597" width="10.140625" style="59" customWidth="1"/>
    <col min="3598" max="3600" width="10" style="59" bestFit="1" customWidth="1"/>
    <col min="3601" max="3840" width="9.140625" style="59"/>
    <col min="3841" max="3841" width="11" style="59" customWidth="1"/>
    <col min="3842" max="3842" width="8.42578125" style="59" customWidth="1"/>
    <col min="3843" max="3843" width="11.140625" style="59" customWidth="1"/>
    <col min="3844" max="3844" width="10.140625" style="59" customWidth="1"/>
    <col min="3845" max="3845" width="10.28515625" style="59" customWidth="1"/>
    <col min="3846" max="3846" width="10.85546875" style="59" bestFit="1" customWidth="1"/>
    <col min="3847" max="3847" width="11.28515625" style="59" bestFit="1" customWidth="1"/>
    <col min="3848" max="3848" width="9.140625" style="59" bestFit="1" customWidth="1"/>
    <col min="3849" max="3849" width="11" style="59" customWidth="1"/>
    <col min="3850" max="3850" width="10.28515625" style="59" customWidth="1"/>
    <col min="3851" max="3852" width="9.140625" style="59"/>
    <col min="3853" max="3853" width="10.140625" style="59" customWidth="1"/>
    <col min="3854" max="3856" width="10" style="59" bestFit="1" customWidth="1"/>
    <col min="3857" max="4096" width="9.140625" style="59"/>
    <col min="4097" max="4097" width="11" style="59" customWidth="1"/>
    <col min="4098" max="4098" width="8.42578125" style="59" customWidth="1"/>
    <col min="4099" max="4099" width="11.140625" style="59" customWidth="1"/>
    <col min="4100" max="4100" width="10.140625" style="59" customWidth="1"/>
    <col min="4101" max="4101" width="10.28515625" style="59" customWidth="1"/>
    <col min="4102" max="4102" width="10.85546875" style="59" bestFit="1" customWidth="1"/>
    <col min="4103" max="4103" width="11.28515625" style="59" bestFit="1" customWidth="1"/>
    <col min="4104" max="4104" width="9.140625" style="59" bestFit="1" customWidth="1"/>
    <col min="4105" max="4105" width="11" style="59" customWidth="1"/>
    <col min="4106" max="4106" width="10.28515625" style="59" customWidth="1"/>
    <col min="4107" max="4108" width="9.140625" style="59"/>
    <col min="4109" max="4109" width="10.140625" style="59" customWidth="1"/>
    <col min="4110" max="4112" width="10" style="59" bestFit="1" customWidth="1"/>
    <col min="4113" max="4352" width="9.140625" style="59"/>
    <col min="4353" max="4353" width="11" style="59" customWidth="1"/>
    <col min="4354" max="4354" width="8.42578125" style="59" customWidth="1"/>
    <col min="4355" max="4355" width="11.140625" style="59" customWidth="1"/>
    <col min="4356" max="4356" width="10.140625" style="59" customWidth="1"/>
    <col min="4357" max="4357" width="10.28515625" style="59" customWidth="1"/>
    <col min="4358" max="4358" width="10.85546875" style="59" bestFit="1" customWidth="1"/>
    <col min="4359" max="4359" width="11.28515625" style="59" bestFit="1" customWidth="1"/>
    <col min="4360" max="4360" width="9.140625" style="59" bestFit="1" customWidth="1"/>
    <col min="4361" max="4361" width="11" style="59" customWidth="1"/>
    <col min="4362" max="4362" width="10.28515625" style="59" customWidth="1"/>
    <col min="4363" max="4364" width="9.140625" style="59"/>
    <col min="4365" max="4365" width="10.140625" style="59" customWidth="1"/>
    <col min="4366" max="4368" width="10" style="59" bestFit="1" customWidth="1"/>
    <col min="4369" max="4608" width="9.140625" style="59"/>
    <col min="4609" max="4609" width="11" style="59" customWidth="1"/>
    <col min="4610" max="4610" width="8.42578125" style="59" customWidth="1"/>
    <col min="4611" max="4611" width="11.140625" style="59" customWidth="1"/>
    <col min="4612" max="4612" width="10.140625" style="59" customWidth="1"/>
    <col min="4613" max="4613" width="10.28515625" style="59" customWidth="1"/>
    <col min="4614" max="4614" width="10.85546875" style="59" bestFit="1" customWidth="1"/>
    <col min="4615" max="4615" width="11.28515625" style="59" bestFit="1" customWidth="1"/>
    <col min="4616" max="4616" width="9.140625" style="59" bestFit="1" customWidth="1"/>
    <col min="4617" max="4617" width="11" style="59" customWidth="1"/>
    <col min="4618" max="4618" width="10.28515625" style="59" customWidth="1"/>
    <col min="4619" max="4620" width="9.140625" style="59"/>
    <col min="4621" max="4621" width="10.140625" style="59" customWidth="1"/>
    <col min="4622" max="4624" width="10" style="59" bestFit="1" customWidth="1"/>
    <col min="4625" max="4864" width="9.140625" style="59"/>
    <col min="4865" max="4865" width="11" style="59" customWidth="1"/>
    <col min="4866" max="4866" width="8.42578125" style="59" customWidth="1"/>
    <col min="4867" max="4867" width="11.140625" style="59" customWidth="1"/>
    <col min="4868" max="4868" width="10.140625" style="59" customWidth="1"/>
    <col min="4869" max="4869" width="10.28515625" style="59" customWidth="1"/>
    <col min="4870" max="4870" width="10.85546875" style="59" bestFit="1" customWidth="1"/>
    <col min="4871" max="4871" width="11.28515625" style="59" bestFit="1" customWidth="1"/>
    <col min="4872" max="4872" width="9.140625" style="59" bestFit="1" customWidth="1"/>
    <col min="4873" max="4873" width="11" style="59" customWidth="1"/>
    <col min="4874" max="4874" width="10.28515625" style="59" customWidth="1"/>
    <col min="4875" max="4876" width="9.140625" style="59"/>
    <col min="4877" max="4877" width="10.140625" style="59" customWidth="1"/>
    <col min="4878" max="4880" width="10" style="59" bestFit="1" customWidth="1"/>
    <col min="4881" max="5120" width="9.140625" style="59"/>
    <col min="5121" max="5121" width="11" style="59" customWidth="1"/>
    <col min="5122" max="5122" width="8.42578125" style="59" customWidth="1"/>
    <col min="5123" max="5123" width="11.140625" style="59" customWidth="1"/>
    <col min="5124" max="5124" width="10.140625" style="59" customWidth="1"/>
    <col min="5125" max="5125" width="10.28515625" style="59" customWidth="1"/>
    <col min="5126" max="5126" width="10.85546875" style="59" bestFit="1" customWidth="1"/>
    <col min="5127" max="5127" width="11.28515625" style="59" bestFit="1" customWidth="1"/>
    <col min="5128" max="5128" width="9.140625" style="59" bestFit="1" customWidth="1"/>
    <col min="5129" max="5129" width="11" style="59" customWidth="1"/>
    <col min="5130" max="5130" width="10.28515625" style="59" customWidth="1"/>
    <col min="5131" max="5132" width="9.140625" style="59"/>
    <col min="5133" max="5133" width="10.140625" style="59" customWidth="1"/>
    <col min="5134" max="5136" width="10" style="59" bestFit="1" customWidth="1"/>
    <col min="5137" max="5376" width="9.140625" style="59"/>
    <col min="5377" max="5377" width="11" style="59" customWidth="1"/>
    <col min="5378" max="5378" width="8.42578125" style="59" customWidth="1"/>
    <col min="5379" max="5379" width="11.140625" style="59" customWidth="1"/>
    <col min="5380" max="5380" width="10.140625" style="59" customWidth="1"/>
    <col min="5381" max="5381" width="10.28515625" style="59" customWidth="1"/>
    <col min="5382" max="5382" width="10.85546875" style="59" bestFit="1" customWidth="1"/>
    <col min="5383" max="5383" width="11.28515625" style="59" bestFit="1" customWidth="1"/>
    <col min="5384" max="5384" width="9.140625" style="59" bestFit="1" customWidth="1"/>
    <col min="5385" max="5385" width="11" style="59" customWidth="1"/>
    <col min="5386" max="5386" width="10.28515625" style="59" customWidth="1"/>
    <col min="5387" max="5388" width="9.140625" style="59"/>
    <col min="5389" max="5389" width="10.140625" style="59" customWidth="1"/>
    <col min="5390" max="5392" width="10" style="59" bestFit="1" customWidth="1"/>
    <col min="5393" max="5632" width="9.140625" style="59"/>
    <col min="5633" max="5633" width="11" style="59" customWidth="1"/>
    <col min="5634" max="5634" width="8.42578125" style="59" customWidth="1"/>
    <col min="5635" max="5635" width="11.140625" style="59" customWidth="1"/>
    <col min="5636" max="5636" width="10.140625" style="59" customWidth="1"/>
    <col min="5637" max="5637" width="10.28515625" style="59" customWidth="1"/>
    <col min="5638" max="5638" width="10.85546875" style="59" bestFit="1" customWidth="1"/>
    <col min="5639" max="5639" width="11.28515625" style="59" bestFit="1" customWidth="1"/>
    <col min="5640" max="5640" width="9.140625" style="59" bestFit="1" customWidth="1"/>
    <col min="5641" max="5641" width="11" style="59" customWidth="1"/>
    <col min="5642" max="5642" width="10.28515625" style="59" customWidth="1"/>
    <col min="5643" max="5644" width="9.140625" style="59"/>
    <col min="5645" max="5645" width="10.140625" style="59" customWidth="1"/>
    <col min="5646" max="5648" width="10" style="59" bestFit="1" customWidth="1"/>
    <col min="5649" max="5888" width="9.140625" style="59"/>
    <col min="5889" max="5889" width="11" style="59" customWidth="1"/>
    <col min="5890" max="5890" width="8.42578125" style="59" customWidth="1"/>
    <col min="5891" max="5891" width="11.140625" style="59" customWidth="1"/>
    <col min="5892" max="5892" width="10.140625" style="59" customWidth="1"/>
    <col min="5893" max="5893" width="10.28515625" style="59" customWidth="1"/>
    <col min="5894" max="5894" width="10.85546875" style="59" bestFit="1" customWidth="1"/>
    <col min="5895" max="5895" width="11.28515625" style="59" bestFit="1" customWidth="1"/>
    <col min="5896" max="5896" width="9.140625" style="59" bestFit="1" customWidth="1"/>
    <col min="5897" max="5897" width="11" style="59" customWidth="1"/>
    <col min="5898" max="5898" width="10.28515625" style="59" customWidth="1"/>
    <col min="5899" max="5900" width="9.140625" style="59"/>
    <col min="5901" max="5901" width="10.140625" style="59" customWidth="1"/>
    <col min="5902" max="5904" width="10" style="59" bestFit="1" customWidth="1"/>
    <col min="5905" max="6144" width="9.140625" style="59"/>
    <col min="6145" max="6145" width="11" style="59" customWidth="1"/>
    <col min="6146" max="6146" width="8.42578125" style="59" customWidth="1"/>
    <col min="6147" max="6147" width="11.140625" style="59" customWidth="1"/>
    <col min="6148" max="6148" width="10.140625" style="59" customWidth="1"/>
    <col min="6149" max="6149" width="10.28515625" style="59" customWidth="1"/>
    <col min="6150" max="6150" width="10.85546875" style="59" bestFit="1" customWidth="1"/>
    <col min="6151" max="6151" width="11.28515625" style="59" bestFit="1" customWidth="1"/>
    <col min="6152" max="6152" width="9.140625" style="59" bestFit="1" customWidth="1"/>
    <col min="6153" max="6153" width="11" style="59" customWidth="1"/>
    <col min="6154" max="6154" width="10.28515625" style="59" customWidth="1"/>
    <col min="6155" max="6156" width="9.140625" style="59"/>
    <col min="6157" max="6157" width="10.140625" style="59" customWidth="1"/>
    <col min="6158" max="6160" width="10" style="59" bestFit="1" customWidth="1"/>
    <col min="6161" max="6400" width="9.140625" style="59"/>
    <col min="6401" max="6401" width="11" style="59" customWidth="1"/>
    <col min="6402" max="6402" width="8.42578125" style="59" customWidth="1"/>
    <col min="6403" max="6403" width="11.140625" style="59" customWidth="1"/>
    <col min="6404" max="6404" width="10.140625" style="59" customWidth="1"/>
    <col min="6405" max="6405" width="10.28515625" style="59" customWidth="1"/>
    <col min="6406" max="6406" width="10.85546875" style="59" bestFit="1" customWidth="1"/>
    <col min="6407" max="6407" width="11.28515625" style="59" bestFit="1" customWidth="1"/>
    <col min="6408" max="6408" width="9.140625" style="59" bestFit="1" customWidth="1"/>
    <col min="6409" max="6409" width="11" style="59" customWidth="1"/>
    <col min="6410" max="6410" width="10.28515625" style="59" customWidth="1"/>
    <col min="6411" max="6412" width="9.140625" style="59"/>
    <col min="6413" max="6413" width="10.140625" style="59" customWidth="1"/>
    <col min="6414" max="6416" width="10" style="59" bestFit="1" customWidth="1"/>
    <col min="6417" max="6656" width="9.140625" style="59"/>
    <col min="6657" max="6657" width="11" style="59" customWidth="1"/>
    <col min="6658" max="6658" width="8.42578125" style="59" customWidth="1"/>
    <col min="6659" max="6659" width="11.140625" style="59" customWidth="1"/>
    <col min="6660" max="6660" width="10.140625" style="59" customWidth="1"/>
    <col min="6661" max="6661" width="10.28515625" style="59" customWidth="1"/>
    <col min="6662" max="6662" width="10.85546875" style="59" bestFit="1" customWidth="1"/>
    <col min="6663" max="6663" width="11.28515625" style="59" bestFit="1" customWidth="1"/>
    <col min="6664" max="6664" width="9.140625" style="59" bestFit="1" customWidth="1"/>
    <col min="6665" max="6665" width="11" style="59" customWidth="1"/>
    <col min="6666" max="6666" width="10.28515625" style="59" customWidth="1"/>
    <col min="6667" max="6668" width="9.140625" style="59"/>
    <col min="6669" max="6669" width="10.140625" style="59" customWidth="1"/>
    <col min="6670" max="6672" width="10" style="59" bestFit="1" customWidth="1"/>
    <col min="6673" max="6912" width="9.140625" style="59"/>
    <col min="6913" max="6913" width="11" style="59" customWidth="1"/>
    <col min="6914" max="6914" width="8.42578125" style="59" customWidth="1"/>
    <col min="6915" max="6915" width="11.140625" style="59" customWidth="1"/>
    <col min="6916" max="6916" width="10.140625" style="59" customWidth="1"/>
    <col min="6917" max="6917" width="10.28515625" style="59" customWidth="1"/>
    <col min="6918" max="6918" width="10.85546875" style="59" bestFit="1" customWidth="1"/>
    <col min="6919" max="6919" width="11.28515625" style="59" bestFit="1" customWidth="1"/>
    <col min="6920" max="6920" width="9.140625" style="59" bestFit="1" customWidth="1"/>
    <col min="6921" max="6921" width="11" style="59" customWidth="1"/>
    <col min="6922" max="6922" width="10.28515625" style="59" customWidth="1"/>
    <col min="6923" max="6924" width="9.140625" style="59"/>
    <col min="6925" max="6925" width="10.140625" style="59" customWidth="1"/>
    <col min="6926" max="6928" width="10" style="59" bestFit="1" customWidth="1"/>
    <col min="6929" max="7168" width="9.140625" style="59"/>
    <col min="7169" max="7169" width="11" style="59" customWidth="1"/>
    <col min="7170" max="7170" width="8.42578125" style="59" customWidth="1"/>
    <col min="7171" max="7171" width="11.140625" style="59" customWidth="1"/>
    <col min="7172" max="7172" width="10.140625" style="59" customWidth="1"/>
    <col min="7173" max="7173" width="10.28515625" style="59" customWidth="1"/>
    <col min="7174" max="7174" width="10.85546875" style="59" bestFit="1" customWidth="1"/>
    <col min="7175" max="7175" width="11.28515625" style="59" bestFit="1" customWidth="1"/>
    <col min="7176" max="7176" width="9.140625" style="59" bestFit="1" customWidth="1"/>
    <col min="7177" max="7177" width="11" style="59" customWidth="1"/>
    <col min="7178" max="7178" width="10.28515625" style="59" customWidth="1"/>
    <col min="7179" max="7180" width="9.140625" style="59"/>
    <col min="7181" max="7181" width="10.140625" style="59" customWidth="1"/>
    <col min="7182" max="7184" width="10" style="59" bestFit="1" customWidth="1"/>
    <col min="7185" max="7424" width="9.140625" style="59"/>
    <col min="7425" max="7425" width="11" style="59" customWidth="1"/>
    <col min="7426" max="7426" width="8.42578125" style="59" customWidth="1"/>
    <col min="7427" max="7427" width="11.140625" style="59" customWidth="1"/>
    <col min="7428" max="7428" width="10.140625" style="59" customWidth="1"/>
    <col min="7429" max="7429" width="10.28515625" style="59" customWidth="1"/>
    <col min="7430" max="7430" width="10.85546875" style="59" bestFit="1" customWidth="1"/>
    <col min="7431" max="7431" width="11.28515625" style="59" bestFit="1" customWidth="1"/>
    <col min="7432" max="7432" width="9.140625" style="59" bestFit="1" customWidth="1"/>
    <col min="7433" max="7433" width="11" style="59" customWidth="1"/>
    <col min="7434" max="7434" width="10.28515625" style="59" customWidth="1"/>
    <col min="7435" max="7436" width="9.140625" style="59"/>
    <col min="7437" max="7437" width="10.140625" style="59" customWidth="1"/>
    <col min="7438" max="7440" width="10" style="59" bestFit="1" customWidth="1"/>
    <col min="7441" max="7680" width="9.140625" style="59"/>
    <col min="7681" max="7681" width="11" style="59" customWidth="1"/>
    <col min="7682" max="7682" width="8.42578125" style="59" customWidth="1"/>
    <col min="7683" max="7683" width="11.140625" style="59" customWidth="1"/>
    <col min="7684" max="7684" width="10.140625" style="59" customWidth="1"/>
    <col min="7685" max="7685" width="10.28515625" style="59" customWidth="1"/>
    <col min="7686" max="7686" width="10.85546875" style="59" bestFit="1" customWidth="1"/>
    <col min="7687" max="7687" width="11.28515625" style="59" bestFit="1" customWidth="1"/>
    <col min="7688" max="7688" width="9.140625" style="59" bestFit="1" customWidth="1"/>
    <col min="7689" max="7689" width="11" style="59" customWidth="1"/>
    <col min="7690" max="7690" width="10.28515625" style="59" customWidth="1"/>
    <col min="7691" max="7692" width="9.140625" style="59"/>
    <col min="7693" max="7693" width="10.140625" style="59" customWidth="1"/>
    <col min="7694" max="7696" width="10" style="59" bestFit="1" customWidth="1"/>
    <col min="7697" max="7936" width="9.140625" style="59"/>
    <col min="7937" max="7937" width="11" style="59" customWidth="1"/>
    <col min="7938" max="7938" width="8.42578125" style="59" customWidth="1"/>
    <col min="7939" max="7939" width="11.140625" style="59" customWidth="1"/>
    <col min="7940" max="7940" width="10.140625" style="59" customWidth="1"/>
    <col min="7941" max="7941" width="10.28515625" style="59" customWidth="1"/>
    <col min="7942" max="7942" width="10.85546875" style="59" bestFit="1" customWidth="1"/>
    <col min="7943" max="7943" width="11.28515625" style="59" bestFit="1" customWidth="1"/>
    <col min="7944" max="7944" width="9.140625" style="59" bestFit="1" customWidth="1"/>
    <col min="7945" max="7945" width="11" style="59" customWidth="1"/>
    <col min="7946" max="7946" width="10.28515625" style="59" customWidth="1"/>
    <col min="7947" max="7948" width="9.140625" style="59"/>
    <col min="7949" max="7949" width="10.140625" style="59" customWidth="1"/>
    <col min="7950" max="7952" width="10" style="59" bestFit="1" customWidth="1"/>
    <col min="7953" max="8192" width="9.140625" style="59"/>
    <col min="8193" max="8193" width="11" style="59" customWidth="1"/>
    <col min="8194" max="8194" width="8.42578125" style="59" customWidth="1"/>
    <col min="8195" max="8195" width="11.140625" style="59" customWidth="1"/>
    <col min="8196" max="8196" width="10.140625" style="59" customWidth="1"/>
    <col min="8197" max="8197" width="10.28515625" style="59" customWidth="1"/>
    <col min="8198" max="8198" width="10.85546875" style="59" bestFit="1" customWidth="1"/>
    <col min="8199" max="8199" width="11.28515625" style="59" bestFit="1" customWidth="1"/>
    <col min="8200" max="8200" width="9.140625" style="59" bestFit="1" customWidth="1"/>
    <col min="8201" max="8201" width="11" style="59" customWidth="1"/>
    <col min="8202" max="8202" width="10.28515625" style="59" customWidth="1"/>
    <col min="8203" max="8204" width="9.140625" style="59"/>
    <col min="8205" max="8205" width="10.140625" style="59" customWidth="1"/>
    <col min="8206" max="8208" width="10" style="59" bestFit="1" customWidth="1"/>
    <col min="8209" max="8448" width="9.140625" style="59"/>
    <col min="8449" max="8449" width="11" style="59" customWidth="1"/>
    <col min="8450" max="8450" width="8.42578125" style="59" customWidth="1"/>
    <col min="8451" max="8451" width="11.140625" style="59" customWidth="1"/>
    <col min="8452" max="8452" width="10.140625" style="59" customWidth="1"/>
    <col min="8453" max="8453" width="10.28515625" style="59" customWidth="1"/>
    <col min="8454" max="8454" width="10.85546875" style="59" bestFit="1" customWidth="1"/>
    <col min="8455" max="8455" width="11.28515625" style="59" bestFit="1" customWidth="1"/>
    <col min="8456" max="8456" width="9.140625" style="59" bestFit="1" customWidth="1"/>
    <col min="8457" max="8457" width="11" style="59" customWidth="1"/>
    <col min="8458" max="8458" width="10.28515625" style="59" customWidth="1"/>
    <col min="8459" max="8460" width="9.140625" style="59"/>
    <col min="8461" max="8461" width="10.140625" style="59" customWidth="1"/>
    <col min="8462" max="8464" width="10" style="59" bestFit="1" customWidth="1"/>
    <col min="8465" max="8704" width="9.140625" style="59"/>
    <col min="8705" max="8705" width="11" style="59" customWidth="1"/>
    <col min="8706" max="8706" width="8.42578125" style="59" customWidth="1"/>
    <col min="8707" max="8707" width="11.140625" style="59" customWidth="1"/>
    <col min="8708" max="8708" width="10.140625" style="59" customWidth="1"/>
    <col min="8709" max="8709" width="10.28515625" style="59" customWidth="1"/>
    <col min="8710" max="8710" width="10.85546875" style="59" bestFit="1" customWidth="1"/>
    <col min="8711" max="8711" width="11.28515625" style="59" bestFit="1" customWidth="1"/>
    <col min="8712" max="8712" width="9.140625" style="59" bestFit="1" customWidth="1"/>
    <col min="8713" max="8713" width="11" style="59" customWidth="1"/>
    <col min="8714" max="8714" width="10.28515625" style="59" customWidth="1"/>
    <col min="8715" max="8716" width="9.140625" style="59"/>
    <col min="8717" max="8717" width="10.140625" style="59" customWidth="1"/>
    <col min="8718" max="8720" width="10" style="59" bestFit="1" customWidth="1"/>
    <col min="8721" max="8960" width="9.140625" style="59"/>
    <col min="8961" max="8961" width="11" style="59" customWidth="1"/>
    <col min="8962" max="8962" width="8.42578125" style="59" customWidth="1"/>
    <col min="8963" max="8963" width="11.140625" style="59" customWidth="1"/>
    <col min="8964" max="8964" width="10.140625" style="59" customWidth="1"/>
    <col min="8965" max="8965" width="10.28515625" style="59" customWidth="1"/>
    <col min="8966" max="8966" width="10.85546875" style="59" bestFit="1" customWidth="1"/>
    <col min="8967" max="8967" width="11.28515625" style="59" bestFit="1" customWidth="1"/>
    <col min="8968" max="8968" width="9.140625" style="59" bestFit="1" customWidth="1"/>
    <col min="8969" max="8969" width="11" style="59" customWidth="1"/>
    <col min="8970" max="8970" width="10.28515625" style="59" customWidth="1"/>
    <col min="8971" max="8972" width="9.140625" style="59"/>
    <col min="8973" max="8973" width="10.140625" style="59" customWidth="1"/>
    <col min="8974" max="8976" width="10" style="59" bestFit="1" customWidth="1"/>
    <col min="8977" max="9216" width="9.140625" style="59"/>
    <col min="9217" max="9217" width="11" style="59" customWidth="1"/>
    <col min="9218" max="9218" width="8.42578125" style="59" customWidth="1"/>
    <col min="9219" max="9219" width="11.140625" style="59" customWidth="1"/>
    <col min="9220" max="9220" width="10.140625" style="59" customWidth="1"/>
    <col min="9221" max="9221" width="10.28515625" style="59" customWidth="1"/>
    <col min="9222" max="9222" width="10.85546875" style="59" bestFit="1" customWidth="1"/>
    <col min="9223" max="9223" width="11.28515625" style="59" bestFit="1" customWidth="1"/>
    <col min="9224" max="9224" width="9.140625" style="59" bestFit="1" customWidth="1"/>
    <col min="9225" max="9225" width="11" style="59" customWidth="1"/>
    <col min="9226" max="9226" width="10.28515625" style="59" customWidth="1"/>
    <col min="9227" max="9228" width="9.140625" style="59"/>
    <col min="9229" max="9229" width="10.140625" style="59" customWidth="1"/>
    <col min="9230" max="9232" width="10" style="59" bestFit="1" customWidth="1"/>
    <col min="9233" max="9472" width="9.140625" style="59"/>
    <col min="9473" max="9473" width="11" style="59" customWidth="1"/>
    <col min="9474" max="9474" width="8.42578125" style="59" customWidth="1"/>
    <col min="9475" max="9475" width="11.140625" style="59" customWidth="1"/>
    <col min="9476" max="9476" width="10.140625" style="59" customWidth="1"/>
    <col min="9477" max="9477" width="10.28515625" style="59" customWidth="1"/>
    <col min="9478" max="9478" width="10.85546875" style="59" bestFit="1" customWidth="1"/>
    <col min="9479" max="9479" width="11.28515625" style="59" bestFit="1" customWidth="1"/>
    <col min="9480" max="9480" width="9.140625" style="59" bestFit="1" customWidth="1"/>
    <col min="9481" max="9481" width="11" style="59" customWidth="1"/>
    <col min="9482" max="9482" width="10.28515625" style="59" customWidth="1"/>
    <col min="9483" max="9484" width="9.140625" style="59"/>
    <col min="9485" max="9485" width="10.140625" style="59" customWidth="1"/>
    <col min="9486" max="9488" width="10" style="59" bestFit="1" customWidth="1"/>
    <col min="9489" max="9728" width="9.140625" style="59"/>
    <col min="9729" max="9729" width="11" style="59" customWidth="1"/>
    <col min="9730" max="9730" width="8.42578125" style="59" customWidth="1"/>
    <col min="9731" max="9731" width="11.140625" style="59" customWidth="1"/>
    <col min="9732" max="9732" width="10.140625" style="59" customWidth="1"/>
    <col min="9733" max="9733" width="10.28515625" style="59" customWidth="1"/>
    <col min="9734" max="9734" width="10.85546875" style="59" bestFit="1" customWidth="1"/>
    <col min="9735" max="9735" width="11.28515625" style="59" bestFit="1" customWidth="1"/>
    <col min="9736" max="9736" width="9.140625" style="59" bestFit="1" customWidth="1"/>
    <col min="9737" max="9737" width="11" style="59" customWidth="1"/>
    <col min="9738" max="9738" width="10.28515625" style="59" customWidth="1"/>
    <col min="9739" max="9740" width="9.140625" style="59"/>
    <col min="9741" max="9741" width="10.140625" style="59" customWidth="1"/>
    <col min="9742" max="9744" width="10" style="59" bestFit="1" customWidth="1"/>
    <col min="9745" max="9984" width="9.140625" style="59"/>
    <col min="9985" max="9985" width="11" style="59" customWidth="1"/>
    <col min="9986" max="9986" width="8.42578125" style="59" customWidth="1"/>
    <col min="9987" max="9987" width="11.140625" style="59" customWidth="1"/>
    <col min="9988" max="9988" width="10.140625" style="59" customWidth="1"/>
    <col min="9989" max="9989" width="10.28515625" style="59" customWidth="1"/>
    <col min="9990" max="9990" width="10.85546875" style="59" bestFit="1" customWidth="1"/>
    <col min="9991" max="9991" width="11.28515625" style="59" bestFit="1" customWidth="1"/>
    <col min="9992" max="9992" width="9.140625" style="59" bestFit="1" customWidth="1"/>
    <col min="9993" max="9993" width="11" style="59" customWidth="1"/>
    <col min="9994" max="9994" width="10.28515625" style="59" customWidth="1"/>
    <col min="9995" max="9996" width="9.140625" style="59"/>
    <col min="9997" max="9997" width="10.140625" style="59" customWidth="1"/>
    <col min="9998" max="10000" width="10" style="59" bestFit="1" customWidth="1"/>
    <col min="10001" max="10240" width="9.140625" style="59"/>
    <col min="10241" max="10241" width="11" style="59" customWidth="1"/>
    <col min="10242" max="10242" width="8.42578125" style="59" customWidth="1"/>
    <col min="10243" max="10243" width="11.140625" style="59" customWidth="1"/>
    <col min="10244" max="10244" width="10.140625" style="59" customWidth="1"/>
    <col min="10245" max="10245" width="10.28515625" style="59" customWidth="1"/>
    <col min="10246" max="10246" width="10.85546875" style="59" bestFit="1" customWidth="1"/>
    <col min="10247" max="10247" width="11.28515625" style="59" bestFit="1" customWidth="1"/>
    <col min="10248" max="10248" width="9.140625" style="59" bestFit="1" customWidth="1"/>
    <col min="10249" max="10249" width="11" style="59" customWidth="1"/>
    <col min="10250" max="10250" width="10.28515625" style="59" customWidth="1"/>
    <col min="10251" max="10252" width="9.140625" style="59"/>
    <col min="10253" max="10253" width="10.140625" style="59" customWidth="1"/>
    <col min="10254" max="10256" width="10" style="59" bestFit="1" customWidth="1"/>
    <col min="10257" max="10496" width="9.140625" style="59"/>
    <col min="10497" max="10497" width="11" style="59" customWidth="1"/>
    <col min="10498" max="10498" width="8.42578125" style="59" customWidth="1"/>
    <col min="10499" max="10499" width="11.140625" style="59" customWidth="1"/>
    <col min="10500" max="10500" width="10.140625" style="59" customWidth="1"/>
    <col min="10501" max="10501" width="10.28515625" style="59" customWidth="1"/>
    <col min="10502" max="10502" width="10.85546875" style="59" bestFit="1" customWidth="1"/>
    <col min="10503" max="10503" width="11.28515625" style="59" bestFit="1" customWidth="1"/>
    <col min="10504" max="10504" width="9.140625" style="59" bestFit="1" customWidth="1"/>
    <col min="10505" max="10505" width="11" style="59" customWidth="1"/>
    <col min="10506" max="10506" width="10.28515625" style="59" customWidth="1"/>
    <col min="10507" max="10508" width="9.140625" style="59"/>
    <col min="10509" max="10509" width="10.140625" style="59" customWidth="1"/>
    <col min="10510" max="10512" width="10" style="59" bestFit="1" customWidth="1"/>
    <col min="10513" max="10752" width="9.140625" style="59"/>
    <col min="10753" max="10753" width="11" style="59" customWidth="1"/>
    <col min="10754" max="10754" width="8.42578125" style="59" customWidth="1"/>
    <col min="10755" max="10755" width="11.140625" style="59" customWidth="1"/>
    <col min="10756" max="10756" width="10.140625" style="59" customWidth="1"/>
    <col min="10757" max="10757" width="10.28515625" style="59" customWidth="1"/>
    <col min="10758" max="10758" width="10.85546875" style="59" bestFit="1" customWidth="1"/>
    <col min="10759" max="10759" width="11.28515625" style="59" bestFit="1" customWidth="1"/>
    <col min="10760" max="10760" width="9.140625" style="59" bestFit="1" customWidth="1"/>
    <col min="10761" max="10761" width="11" style="59" customWidth="1"/>
    <col min="10762" max="10762" width="10.28515625" style="59" customWidth="1"/>
    <col min="10763" max="10764" width="9.140625" style="59"/>
    <col min="10765" max="10765" width="10.140625" style="59" customWidth="1"/>
    <col min="10766" max="10768" width="10" style="59" bestFit="1" customWidth="1"/>
    <col min="10769" max="11008" width="9.140625" style="59"/>
    <col min="11009" max="11009" width="11" style="59" customWidth="1"/>
    <col min="11010" max="11010" width="8.42578125" style="59" customWidth="1"/>
    <col min="11011" max="11011" width="11.140625" style="59" customWidth="1"/>
    <col min="11012" max="11012" width="10.140625" style="59" customWidth="1"/>
    <col min="11013" max="11013" width="10.28515625" style="59" customWidth="1"/>
    <col min="11014" max="11014" width="10.85546875" style="59" bestFit="1" customWidth="1"/>
    <col min="11015" max="11015" width="11.28515625" style="59" bestFit="1" customWidth="1"/>
    <col min="11016" max="11016" width="9.140625" style="59" bestFit="1" customWidth="1"/>
    <col min="11017" max="11017" width="11" style="59" customWidth="1"/>
    <col min="11018" max="11018" width="10.28515625" style="59" customWidth="1"/>
    <col min="11019" max="11020" width="9.140625" style="59"/>
    <col min="11021" max="11021" width="10.140625" style="59" customWidth="1"/>
    <col min="11022" max="11024" width="10" style="59" bestFit="1" customWidth="1"/>
    <col min="11025" max="11264" width="9.140625" style="59"/>
    <col min="11265" max="11265" width="11" style="59" customWidth="1"/>
    <col min="11266" max="11266" width="8.42578125" style="59" customWidth="1"/>
    <col min="11267" max="11267" width="11.140625" style="59" customWidth="1"/>
    <col min="11268" max="11268" width="10.140625" style="59" customWidth="1"/>
    <col min="11269" max="11269" width="10.28515625" style="59" customWidth="1"/>
    <col min="11270" max="11270" width="10.85546875" style="59" bestFit="1" customWidth="1"/>
    <col min="11271" max="11271" width="11.28515625" style="59" bestFit="1" customWidth="1"/>
    <col min="11272" max="11272" width="9.140625" style="59" bestFit="1" customWidth="1"/>
    <col min="11273" max="11273" width="11" style="59" customWidth="1"/>
    <col min="11274" max="11274" width="10.28515625" style="59" customWidth="1"/>
    <col min="11275" max="11276" width="9.140625" style="59"/>
    <col min="11277" max="11277" width="10.140625" style="59" customWidth="1"/>
    <col min="11278" max="11280" width="10" style="59" bestFit="1" customWidth="1"/>
    <col min="11281" max="11520" width="9.140625" style="59"/>
    <col min="11521" max="11521" width="11" style="59" customWidth="1"/>
    <col min="11522" max="11522" width="8.42578125" style="59" customWidth="1"/>
    <col min="11523" max="11523" width="11.140625" style="59" customWidth="1"/>
    <col min="11524" max="11524" width="10.140625" style="59" customWidth="1"/>
    <col min="11525" max="11525" width="10.28515625" style="59" customWidth="1"/>
    <col min="11526" max="11526" width="10.85546875" style="59" bestFit="1" customWidth="1"/>
    <col min="11527" max="11527" width="11.28515625" style="59" bestFit="1" customWidth="1"/>
    <col min="11528" max="11528" width="9.140625" style="59" bestFit="1" customWidth="1"/>
    <col min="11529" max="11529" width="11" style="59" customWidth="1"/>
    <col min="11530" max="11530" width="10.28515625" style="59" customWidth="1"/>
    <col min="11531" max="11532" width="9.140625" style="59"/>
    <col min="11533" max="11533" width="10.140625" style="59" customWidth="1"/>
    <col min="11534" max="11536" width="10" style="59" bestFit="1" customWidth="1"/>
    <col min="11537" max="11776" width="9.140625" style="59"/>
    <col min="11777" max="11777" width="11" style="59" customWidth="1"/>
    <col min="11778" max="11778" width="8.42578125" style="59" customWidth="1"/>
    <col min="11779" max="11779" width="11.140625" style="59" customWidth="1"/>
    <col min="11780" max="11780" width="10.140625" style="59" customWidth="1"/>
    <col min="11781" max="11781" width="10.28515625" style="59" customWidth="1"/>
    <col min="11782" max="11782" width="10.85546875" style="59" bestFit="1" customWidth="1"/>
    <col min="11783" max="11783" width="11.28515625" style="59" bestFit="1" customWidth="1"/>
    <col min="11784" max="11784" width="9.140625" style="59" bestFit="1" customWidth="1"/>
    <col min="11785" max="11785" width="11" style="59" customWidth="1"/>
    <col min="11786" max="11786" width="10.28515625" style="59" customWidth="1"/>
    <col min="11787" max="11788" width="9.140625" style="59"/>
    <col min="11789" max="11789" width="10.140625" style="59" customWidth="1"/>
    <col min="11790" max="11792" width="10" style="59" bestFit="1" customWidth="1"/>
    <col min="11793" max="12032" width="9.140625" style="59"/>
    <col min="12033" max="12033" width="11" style="59" customWidth="1"/>
    <col min="12034" max="12034" width="8.42578125" style="59" customWidth="1"/>
    <col min="12035" max="12035" width="11.140625" style="59" customWidth="1"/>
    <col min="12036" max="12036" width="10.140625" style="59" customWidth="1"/>
    <col min="12037" max="12037" width="10.28515625" style="59" customWidth="1"/>
    <col min="12038" max="12038" width="10.85546875" style="59" bestFit="1" customWidth="1"/>
    <col min="12039" max="12039" width="11.28515625" style="59" bestFit="1" customWidth="1"/>
    <col min="12040" max="12040" width="9.140625" style="59" bestFit="1" customWidth="1"/>
    <col min="12041" max="12041" width="11" style="59" customWidth="1"/>
    <col min="12042" max="12042" width="10.28515625" style="59" customWidth="1"/>
    <col min="12043" max="12044" width="9.140625" style="59"/>
    <col min="12045" max="12045" width="10.140625" style="59" customWidth="1"/>
    <col min="12046" max="12048" width="10" style="59" bestFit="1" customWidth="1"/>
    <col min="12049" max="12288" width="9.140625" style="59"/>
    <col min="12289" max="12289" width="11" style="59" customWidth="1"/>
    <col min="12290" max="12290" width="8.42578125" style="59" customWidth="1"/>
    <col min="12291" max="12291" width="11.140625" style="59" customWidth="1"/>
    <col min="12292" max="12292" width="10.140625" style="59" customWidth="1"/>
    <col min="12293" max="12293" width="10.28515625" style="59" customWidth="1"/>
    <col min="12294" max="12294" width="10.85546875" style="59" bestFit="1" customWidth="1"/>
    <col min="12295" max="12295" width="11.28515625" style="59" bestFit="1" customWidth="1"/>
    <col min="12296" max="12296" width="9.140625" style="59" bestFit="1" customWidth="1"/>
    <col min="12297" max="12297" width="11" style="59" customWidth="1"/>
    <col min="12298" max="12298" width="10.28515625" style="59" customWidth="1"/>
    <col min="12299" max="12300" width="9.140625" style="59"/>
    <col min="12301" max="12301" width="10.140625" style="59" customWidth="1"/>
    <col min="12302" max="12304" width="10" style="59" bestFit="1" customWidth="1"/>
    <col min="12305" max="12544" width="9.140625" style="59"/>
    <col min="12545" max="12545" width="11" style="59" customWidth="1"/>
    <col min="12546" max="12546" width="8.42578125" style="59" customWidth="1"/>
    <col min="12547" max="12547" width="11.140625" style="59" customWidth="1"/>
    <col min="12548" max="12548" width="10.140625" style="59" customWidth="1"/>
    <col min="12549" max="12549" width="10.28515625" style="59" customWidth="1"/>
    <col min="12550" max="12550" width="10.85546875" style="59" bestFit="1" customWidth="1"/>
    <col min="12551" max="12551" width="11.28515625" style="59" bestFit="1" customWidth="1"/>
    <col min="12552" max="12552" width="9.140625" style="59" bestFit="1" customWidth="1"/>
    <col min="12553" max="12553" width="11" style="59" customWidth="1"/>
    <col min="12554" max="12554" width="10.28515625" style="59" customWidth="1"/>
    <col min="12555" max="12556" width="9.140625" style="59"/>
    <col min="12557" max="12557" width="10.140625" style="59" customWidth="1"/>
    <col min="12558" max="12560" width="10" style="59" bestFit="1" customWidth="1"/>
    <col min="12561" max="12800" width="9.140625" style="59"/>
    <col min="12801" max="12801" width="11" style="59" customWidth="1"/>
    <col min="12802" max="12802" width="8.42578125" style="59" customWidth="1"/>
    <col min="12803" max="12803" width="11.140625" style="59" customWidth="1"/>
    <col min="12804" max="12804" width="10.140625" style="59" customWidth="1"/>
    <col min="12805" max="12805" width="10.28515625" style="59" customWidth="1"/>
    <col min="12806" max="12806" width="10.85546875" style="59" bestFit="1" customWidth="1"/>
    <col min="12807" max="12807" width="11.28515625" style="59" bestFit="1" customWidth="1"/>
    <col min="12808" max="12808" width="9.140625" style="59" bestFit="1" customWidth="1"/>
    <col min="12809" max="12809" width="11" style="59" customWidth="1"/>
    <col min="12810" max="12810" width="10.28515625" style="59" customWidth="1"/>
    <col min="12811" max="12812" width="9.140625" style="59"/>
    <col min="12813" max="12813" width="10.140625" style="59" customWidth="1"/>
    <col min="12814" max="12816" width="10" style="59" bestFit="1" customWidth="1"/>
    <col min="12817" max="13056" width="9.140625" style="59"/>
    <col min="13057" max="13057" width="11" style="59" customWidth="1"/>
    <col min="13058" max="13058" width="8.42578125" style="59" customWidth="1"/>
    <col min="13059" max="13059" width="11.140625" style="59" customWidth="1"/>
    <col min="13060" max="13060" width="10.140625" style="59" customWidth="1"/>
    <col min="13061" max="13061" width="10.28515625" style="59" customWidth="1"/>
    <col min="13062" max="13062" width="10.85546875" style="59" bestFit="1" customWidth="1"/>
    <col min="13063" max="13063" width="11.28515625" style="59" bestFit="1" customWidth="1"/>
    <col min="13064" max="13064" width="9.140625" style="59" bestFit="1" customWidth="1"/>
    <col min="13065" max="13065" width="11" style="59" customWidth="1"/>
    <col min="13066" max="13066" width="10.28515625" style="59" customWidth="1"/>
    <col min="13067" max="13068" width="9.140625" style="59"/>
    <col min="13069" max="13069" width="10.140625" style="59" customWidth="1"/>
    <col min="13070" max="13072" width="10" style="59" bestFit="1" customWidth="1"/>
    <col min="13073" max="13312" width="9.140625" style="59"/>
    <col min="13313" max="13313" width="11" style="59" customWidth="1"/>
    <col min="13314" max="13314" width="8.42578125" style="59" customWidth="1"/>
    <col min="13315" max="13315" width="11.140625" style="59" customWidth="1"/>
    <col min="13316" max="13316" width="10.140625" style="59" customWidth="1"/>
    <col min="13317" max="13317" width="10.28515625" style="59" customWidth="1"/>
    <col min="13318" max="13318" width="10.85546875" style="59" bestFit="1" customWidth="1"/>
    <col min="13319" max="13319" width="11.28515625" style="59" bestFit="1" customWidth="1"/>
    <col min="13320" max="13320" width="9.140625" style="59" bestFit="1" customWidth="1"/>
    <col min="13321" max="13321" width="11" style="59" customWidth="1"/>
    <col min="13322" max="13322" width="10.28515625" style="59" customWidth="1"/>
    <col min="13323" max="13324" width="9.140625" style="59"/>
    <col min="13325" max="13325" width="10.140625" style="59" customWidth="1"/>
    <col min="13326" max="13328" width="10" style="59" bestFit="1" customWidth="1"/>
    <col min="13329" max="13568" width="9.140625" style="59"/>
    <col min="13569" max="13569" width="11" style="59" customWidth="1"/>
    <col min="13570" max="13570" width="8.42578125" style="59" customWidth="1"/>
    <col min="13571" max="13571" width="11.140625" style="59" customWidth="1"/>
    <col min="13572" max="13572" width="10.140625" style="59" customWidth="1"/>
    <col min="13573" max="13573" width="10.28515625" style="59" customWidth="1"/>
    <col min="13574" max="13574" width="10.85546875" style="59" bestFit="1" customWidth="1"/>
    <col min="13575" max="13575" width="11.28515625" style="59" bestFit="1" customWidth="1"/>
    <col min="13576" max="13576" width="9.140625" style="59" bestFit="1" customWidth="1"/>
    <col min="13577" max="13577" width="11" style="59" customWidth="1"/>
    <col min="13578" max="13578" width="10.28515625" style="59" customWidth="1"/>
    <col min="13579" max="13580" width="9.140625" style="59"/>
    <col min="13581" max="13581" width="10.140625" style="59" customWidth="1"/>
    <col min="13582" max="13584" width="10" style="59" bestFit="1" customWidth="1"/>
    <col min="13585" max="13824" width="9.140625" style="59"/>
    <col min="13825" max="13825" width="11" style="59" customWidth="1"/>
    <col min="13826" max="13826" width="8.42578125" style="59" customWidth="1"/>
    <col min="13827" max="13827" width="11.140625" style="59" customWidth="1"/>
    <col min="13828" max="13828" width="10.140625" style="59" customWidth="1"/>
    <col min="13829" max="13829" width="10.28515625" style="59" customWidth="1"/>
    <col min="13830" max="13830" width="10.85546875" style="59" bestFit="1" customWidth="1"/>
    <col min="13831" max="13831" width="11.28515625" style="59" bestFit="1" customWidth="1"/>
    <col min="13832" max="13832" width="9.140625" style="59" bestFit="1" customWidth="1"/>
    <col min="13833" max="13833" width="11" style="59" customWidth="1"/>
    <col min="13834" max="13834" width="10.28515625" style="59" customWidth="1"/>
    <col min="13835" max="13836" width="9.140625" style="59"/>
    <col min="13837" max="13837" width="10.140625" style="59" customWidth="1"/>
    <col min="13838" max="13840" width="10" style="59" bestFit="1" customWidth="1"/>
    <col min="13841" max="14080" width="9.140625" style="59"/>
    <col min="14081" max="14081" width="11" style="59" customWidth="1"/>
    <col min="14082" max="14082" width="8.42578125" style="59" customWidth="1"/>
    <col min="14083" max="14083" width="11.140625" style="59" customWidth="1"/>
    <col min="14084" max="14084" width="10.140625" style="59" customWidth="1"/>
    <col min="14085" max="14085" width="10.28515625" style="59" customWidth="1"/>
    <col min="14086" max="14086" width="10.85546875" style="59" bestFit="1" customWidth="1"/>
    <col min="14087" max="14087" width="11.28515625" style="59" bestFit="1" customWidth="1"/>
    <col min="14088" max="14088" width="9.140625" style="59" bestFit="1" customWidth="1"/>
    <col min="14089" max="14089" width="11" style="59" customWidth="1"/>
    <col min="14090" max="14090" width="10.28515625" style="59" customWidth="1"/>
    <col min="14091" max="14092" width="9.140625" style="59"/>
    <col min="14093" max="14093" width="10.140625" style="59" customWidth="1"/>
    <col min="14094" max="14096" width="10" style="59" bestFit="1" customWidth="1"/>
    <col min="14097" max="14336" width="9.140625" style="59"/>
    <col min="14337" max="14337" width="11" style="59" customWidth="1"/>
    <col min="14338" max="14338" width="8.42578125" style="59" customWidth="1"/>
    <col min="14339" max="14339" width="11.140625" style="59" customWidth="1"/>
    <col min="14340" max="14340" width="10.140625" style="59" customWidth="1"/>
    <col min="14341" max="14341" width="10.28515625" style="59" customWidth="1"/>
    <col min="14342" max="14342" width="10.85546875" style="59" bestFit="1" customWidth="1"/>
    <col min="14343" max="14343" width="11.28515625" style="59" bestFit="1" customWidth="1"/>
    <col min="14344" max="14344" width="9.140625" style="59" bestFit="1" customWidth="1"/>
    <col min="14345" max="14345" width="11" style="59" customWidth="1"/>
    <col min="14346" max="14346" width="10.28515625" style="59" customWidth="1"/>
    <col min="14347" max="14348" width="9.140625" style="59"/>
    <col min="14349" max="14349" width="10.140625" style="59" customWidth="1"/>
    <col min="14350" max="14352" width="10" style="59" bestFit="1" customWidth="1"/>
    <col min="14353" max="14592" width="9.140625" style="59"/>
    <col min="14593" max="14593" width="11" style="59" customWidth="1"/>
    <col min="14594" max="14594" width="8.42578125" style="59" customWidth="1"/>
    <col min="14595" max="14595" width="11.140625" style="59" customWidth="1"/>
    <col min="14596" max="14596" width="10.140625" style="59" customWidth="1"/>
    <col min="14597" max="14597" width="10.28515625" style="59" customWidth="1"/>
    <col min="14598" max="14598" width="10.85546875" style="59" bestFit="1" customWidth="1"/>
    <col min="14599" max="14599" width="11.28515625" style="59" bestFit="1" customWidth="1"/>
    <col min="14600" max="14600" width="9.140625" style="59" bestFit="1" customWidth="1"/>
    <col min="14601" max="14601" width="11" style="59" customWidth="1"/>
    <col min="14602" max="14602" width="10.28515625" style="59" customWidth="1"/>
    <col min="14603" max="14604" width="9.140625" style="59"/>
    <col min="14605" max="14605" width="10.140625" style="59" customWidth="1"/>
    <col min="14606" max="14608" width="10" style="59" bestFit="1" customWidth="1"/>
    <col min="14609" max="14848" width="9.140625" style="59"/>
    <col min="14849" max="14849" width="11" style="59" customWidth="1"/>
    <col min="14850" max="14850" width="8.42578125" style="59" customWidth="1"/>
    <col min="14851" max="14851" width="11.140625" style="59" customWidth="1"/>
    <col min="14852" max="14852" width="10.140625" style="59" customWidth="1"/>
    <col min="14853" max="14853" width="10.28515625" style="59" customWidth="1"/>
    <col min="14854" max="14854" width="10.85546875" style="59" bestFit="1" customWidth="1"/>
    <col min="14855" max="14855" width="11.28515625" style="59" bestFit="1" customWidth="1"/>
    <col min="14856" max="14856" width="9.140625" style="59" bestFit="1" customWidth="1"/>
    <col min="14857" max="14857" width="11" style="59" customWidth="1"/>
    <col min="14858" max="14858" width="10.28515625" style="59" customWidth="1"/>
    <col min="14859" max="14860" width="9.140625" style="59"/>
    <col min="14861" max="14861" width="10.140625" style="59" customWidth="1"/>
    <col min="14862" max="14864" width="10" style="59" bestFit="1" customWidth="1"/>
    <col min="14865" max="15104" width="9.140625" style="59"/>
    <col min="15105" max="15105" width="11" style="59" customWidth="1"/>
    <col min="15106" max="15106" width="8.42578125" style="59" customWidth="1"/>
    <col min="15107" max="15107" width="11.140625" style="59" customWidth="1"/>
    <col min="15108" max="15108" width="10.140625" style="59" customWidth="1"/>
    <col min="15109" max="15109" width="10.28515625" style="59" customWidth="1"/>
    <col min="15110" max="15110" width="10.85546875" style="59" bestFit="1" customWidth="1"/>
    <col min="15111" max="15111" width="11.28515625" style="59" bestFit="1" customWidth="1"/>
    <col min="15112" max="15112" width="9.140625" style="59" bestFit="1" customWidth="1"/>
    <col min="15113" max="15113" width="11" style="59" customWidth="1"/>
    <col min="15114" max="15114" width="10.28515625" style="59" customWidth="1"/>
    <col min="15115" max="15116" width="9.140625" style="59"/>
    <col min="15117" max="15117" width="10.140625" style="59" customWidth="1"/>
    <col min="15118" max="15120" width="10" style="59" bestFit="1" customWidth="1"/>
    <col min="15121" max="15360" width="9.140625" style="59"/>
    <col min="15361" max="15361" width="11" style="59" customWidth="1"/>
    <col min="15362" max="15362" width="8.42578125" style="59" customWidth="1"/>
    <col min="15363" max="15363" width="11.140625" style="59" customWidth="1"/>
    <col min="15364" max="15364" width="10.140625" style="59" customWidth="1"/>
    <col min="15365" max="15365" width="10.28515625" style="59" customWidth="1"/>
    <col min="15366" max="15366" width="10.85546875" style="59" bestFit="1" customWidth="1"/>
    <col min="15367" max="15367" width="11.28515625" style="59" bestFit="1" customWidth="1"/>
    <col min="15368" max="15368" width="9.140625" style="59" bestFit="1" customWidth="1"/>
    <col min="15369" max="15369" width="11" style="59" customWidth="1"/>
    <col min="15370" max="15370" width="10.28515625" style="59" customWidth="1"/>
    <col min="15371" max="15372" width="9.140625" style="59"/>
    <col min="15373" max="15373" width="10.140625" style="59" customWidth="1"/>
    <col min="15374" max="15376" width="10" style="59" bestFit="1" customWidth="1"/>
    <col min="15377" max="15616" width="9.140625" style="59"/>
    <col min="15617" max="15617" width="11" style="59" customWidth="1"/>
    <col min="15618" max="15618" width="8.42578125" style="59" customWidth="1"/>
    <col min="15619" max="15619" width="11.140625" style="59" customWidth="1"/>
    <col min="15620" max="15620" width="10.140625" style="59" customWidth="1"/>
    <col min="15621" max="15621" width="10.28515625" style="59" customWidth="1"/>
    <col min="15622" max="15622" width="10.85546875" style="59" bestFit="1" customWidth="1"/>
    <col min="15623" max="15623" width="11.28515625" style="59" bestFit="1" customWidth="1"/>
    <col min="15624" max="15624" width="9.140625" style="59" bestFit="1" customWidth="1"/>
    <col min="15625" max="15625" width="11" style="59" customWidth="1"/>
    <col min="15626" max="15626" width="10.28515625" style="59" customWidth="1"/>
    <col min="15627" max="15628" width="9.140625" style="59"/>
    <col min="15629" max="15629" width="10.140625" style="59" customWidth="1"/>
    <col min="15630" max="15632" width="10" style="59" bestFit="1" customWidth="1"/>
    <col min="15633" max="15872" width="9.140625" style="59"/>
    <col min="15873" max="15873" width="11" style="59" customWidth="1"/>
    <col min="15874" max="15874" width="8.42578125" style="59" customWidth="1"/>
    <col min="15875" max="15875" width="11.140625" style="59" customWidth="1"/>
    <col min="15876" max="15876" width="10.140625" style="59" customWidth="1"/>
    <col min="15877" max="15877" width="10.28515625" style="59" customWidth="1"/>
    <col min="15878" max="15878" width="10.85546875" style="59" bestFit="1" customWidth="1"/>
    <col min="15879" max="15879" width="11.28515625" style="59" bestFit="1" customWidth="1"/>
    <col min="15880" max="15880" width="9.140625" style="59" bestFit="1" customWidth="1"/>
    <col min="15881" max="15881" width="11" style="59" customWidth="1"/>
    <col min="15882" max="15882" width="10.28515625" style="59" customWidth="1"/>
    <col min="15883" max="15884" width="9.140625" style="59"/>
    <col min="15885" max="15885" width="10.140625" style="59" customWidth="1"/>
    <col min="15886" max="15888" width="10" style="59" bestFit="1" customWidth="1"/>
    <col min="15889" max="16128" width="9.140625" style="59"/>
    <col min="16129" max="16129" width="11" style="59" customWidth="1"/>
    <col min="16130" max="16130" width="8.42578125" style="59" customWidth="1"/>
    <col min="16131" max="16131" width="11.140625" style="59" customWidth="1"/>
    <col min="16132" max="16132" width="10.140625" style="59" customWidth="1"/>
    <col min="16133" max="16133" width="10.28515625" style="59" customWidth="1"/>
    <col min="16134" max="16134" width="10.85546875" style="59" bestFit="1" customWidth="1"/>
    <col min="16135" max="16135" width="11.28515625" style="59" bestFit="1" customWidth="1"/>
    <col min="16136" max="16136" width="9.140625" style="59" bestFit="1" customWidth="1"/>
    <col min="16137" max="16137" width="11" style="59" customWidth="1"/>
    <col min="16138" max="16138" width="10.28515625" style="59" customWidth="1"/>
    <col min="16139" max="16140" width="9.140625" style="59"/>
    <col min="16141" max="16141" width="10.140625" style="59" customWidth="1"/>
    <col min="16142" max="16144" width="10" style="59" bestFit="1" customWidth="1"/>
    <col min="16145" max="16384" width="9.140625" style="59"/>
  </cols>
  <sheetData>
    <row r="3" spans="1:25">
      <c r="A3" s="84" t="s">
        <v>147</v>
      </c>
      <c r="B3" s="660" t="str">
        <f>Míni!B2</f>
        <v>1º de Janeiro a 30 de Novembro de 2022</v>
      </c>
    </row>
    <row r="4" spans="1:25">
      <c r="B4" s="59" t="s">
        <v>148</v>
      </c>
    </row>
    <row r="5" spans="1:25">
      <c r="B5" s="59" t="s">
        <v>149</v>
      </c>
      <c r="D5" s="59" t="s">
        <v>150</v>
      </c>
      <c r="F5" s="59" t="s">
        <v>151</v>
      </c>
      <c r="H5" s="59" t="s">
        <v>152</v>
      </c>
      <c r="K5" s="85" t="s">
        <v>153</v>
      </c>
    </row>
    <row r="6" spans="1:25" s="86" customFormat="1">
      <c r="C6" s="87"/>
      <c r="H6" s="86" t="s">
        <v>154</v>
      </c>
      <c r="P6" s="88"/>
      <c r="R6" s="59"/>
      <c r="S6" s="59"/>
      <c r="T6" s="59"/>
      <c r="U6" s="59"/>
      <c r="V6" s="59"/>
      <c r="W6" s="59"/>
      <c r="X6" s="59"/>
      <c r="Y6" s="59"/>
    </row>
    <row r="7" spans="1:25">
      <c r="A7" s="87"/>
      <c r="B7" s="87"/>
      <c r="D7" s="89"/>
      <c r="J7" s="90"/>
    </row>
    <row r="8" spans="1:25" s="86" customFormat="1">
      <c r="C8" s="87"/>
      <c r="D8" s="87"/>
      <c r="E8" s="87"/>
      <c r="F8" s="87"/>
      <c r="G8" s="87"/>
      <c r="H8" s="87"/>
      <c r="N8" s="87"/>
      <c r="O8" s="87"/>
      <c r="P8" s="91"/>
      <c r="R8" s="59"/>
      <c r="S8" s="59"/>
      <c r="T8" s="59"/>
      <c r="U8" s="59"/>
      <c r="V8" s="59"/>
      <c r="W8" s="59"/>
      <c r="X8" s="59"/>
      <c r="Y8" s="59"/>
    </row>
    <row r="9" spans="1:25">
      <c r="A9" s="92" t="s">
        <v>155</v>
      </c>
      <c r="B9" s="93" t="s">
        <v>127</v>
      </c>
      <c r="C9" s="94" t="s">
        <v>156</v>
      </c>
      <c r="D9" s="94" t="s">
        <v>157</v>
      </c>
      <c r="E9" s="94" t="s">
        <v>158</v>
      </c>
      <c r="F9" s="94" t="s">
        <v>159</v>
      </c>
      <c r="G9" s="92" t="s">
        <v>155</v>
      </c>
      <c r="H9" s="95" t="s">
        <v>127</v>
      </c>
      <c r="I9" s="96" t="s">
        <v>156</v>
      </c>
      <c r="J9" s="96" t="s">
        <v>157</v>
      </c>
      <c r="K9" s="96" t="s">
        <v>158</v>
      </c>
      <c r="L9" s="94" t="s">
        <v>159</v>
      </c>
    </row>
    <row r="10" spans="1:25">
      <c r="A10" s="92" t="s">
        <v>596</v>
      </c>
      <c r="B10" s="560">
        <v>18215614.399999999</v>
      </c>
      <c r="C10" s="97">
        <v>17031883.739999998</v>
      </c>
      <c r="D10" s="97">
        <v>17030013.59</v>
      </c>
      <c r="E10" s="98">
        <v>15941886.460000001</v>
      </c>
      <c r="F10" s="98">
        <f>B10-C10</f>
        <v>1183730.6600000001</v>
      </c>
      <c r="G10" s="92" t="s">
        <v>591</v>
      </c>
      <c r="H10" s="96">
        <v>1622329.12</v>
      </c>
      <c r="I10" s="45">
        <v>1622321.38</v>
      </c>
      <c r="J10" s="45">
        <v>1622321.38</v>
      </c>
      <c r="K10" s="99">
        <v>1622321.38</v>
      </c>
      <c r="L10" s="98">
        <f>H10-I10</f>
        <v>7.7400000002235174</v>
      </c>
    </row>
    <row r="11" spans="1:25">
      <c r="A11" s="92" t="s">
        <v>597</v>
      </c>
      <c r="B11" s="560">
        <f>2304350.59</f>
        <v>2304350.59</v>
      </c>
      <c r="C11" s="97">
        <v>1819484.99</v>
      </c>
      <c r="D11" s="97">
        <v>1819484.99</v>
      </c>
      <c r="E11" s="97">
        <v>1751746.05</v>
      </c>
      <c r="F11" s="98">
        <f>B11-C11</f>
        <v>484865.59999999986</v>
      </c>
      <c r="G11" s="92" t="s">
        <v>592</v>
      </c>
      <c r="H11" s="96">
        <v>1227637.4099999999</v>
      </c>
      <c r="I11" s="45">
        <v>1227149.96</v>
      </c>
      <c r="J11" s="45">
        <v>1227149.96</v>
      </c>
      <c r="K11" s="99">
        <v>1227149.96</v>
      </c>
      <c r="L11" s="98">
        <f>H11-I11</f>
        <v>487.44999999995343</v>
      </c>
    </row>
    <row r="12" spans="1:25">
      <c r="A12" s="94" t="s">
        <v>598</v>
      </c>
      <c r="B12" s="560">
        <v>2896937.11</v>
      </c>
      <c r="C12" s="97">
        <v>2355354.83</v>
      </c>
      <c r="D12" s="97">
        <v>2324765.39</v>
      </c>
      <c r="E12" s="98">
        <v>2146231.04</v>
      </c>
      <c r="F12" s="98">
        <f>B12-C12</f>
        <v>541582.2799999998</v>
      </c>
      <c r="G12" s="94" t="s">
        <v>593</v>
      </c>
      <c r="H12" s="96">
        <v>558021.28</v>
      </c>
      <c r="I12" s="45">
        <v>557470.39</v>
      </c>
      <c r="J12" s="45">
        <v>557470.39</v>
      </c>
      <c r="K12" s="99">
        <v>557470.39</v>
      </c>
      <c r="L12" s="98">
        <f>H12-I12</f>
        <v>550.89000000001397</v>
      </c>
    </row>
    <row r="13" spans="1:25">
      <c r="A13" s="94" t="s">
        <v>599</v>
      </c>
      <c r="B13" s="560">
        <f>1311004.89</f>
        <v>1311004.8899999999</v>
      </c>
      <c r="C13" s="97">
        <v>912994.34</v>
      </c>
      <c r="D13" s="97">
        <v>912994.34</v>
      </c>
      <c r="E13" s="98">
        <v>857110.74</v>
      </c>
      <c r="F13" s="98">
        <f>B13-C13</f>
        <v>398010.54999999993</v>
      </c>
      <c r="G13" s="94" t="s">
        <v>594</v>
      </c>
      <c r="H13" s="97">
        <v>53706.400000000001</v>
      </c>
      <c r="I13" s="97">
        <v>53556.36</v>
      </c>
      <c r="J13" s="97">
        <v>53556.36</v>
      </c>
      <c r="K13" s="97">
        <v>53556.36</v>
      </c>
      <c r="L13" s="98">
        <f>H13-I13</f>
        <v>150.04000000000087</v>
      </c>
    </row>
    <row r="14" spans="1:25">
      <c r="A14" s="94" t="s">
        <v>600</v>
      </c>
      <c r="B14" s="560">
        <v>436691.07</v>
      </c>
      <c r="C14" s="97">
        <v>239556.47</v>
      </c>
      <c r="D14" s="97">
        <v>239556.47</v>
      </c>
      <c r="E14" s="98">
        <v>239556.47</v>
      </c>
      <c r="F14" s="98">
        <f>B14-C14</f>
        <v>197134.6</v>
      </c>
      <c r="G14" s="116" t="s">
        <v>660</v>
      </c>
      <c r="H14" s="96">
        <v>163232.79</v>
      </c>
      <c r="I14" s="45">
        <v>162696.09</v>
      </c>
      <c r="J14" s="45">
        <v>162696.09</v>
      </c>
      <c r="K14" s="99">
        <v>162696.09</v>
      </c>
      <c r="L14" s="98">
        <f>H14-I14</f>
        <v>536.70000000001164</v>
      </c>
    </row>
    <row r="15" spans="1:25" s="106" customFormat="1">
      <c r="A15" s="101" t="s">
        <v>160</v>
      </c>
      <c r="B15" s="562">
        <f>SUM(B10:B14)</f>
        <v>25164598.059999999</v>
      </c>
      <c r="C15" s="103">
        <f>SUM(C10:C14)</f>
        <v>22359274.369999994</v>
      </c>
      <c r="D15" s="103">
        <f>SUM(D10:D14)</f>
        <v>22326814.779999997</v>
      </c>
      <c r="E15" s="104">
        <f>SUM(E10:E14)</f>
        <v>20936530.759999998</v>
      </c>
      <c r="F15" s="102">
        <f>SUM(F10:F14)</f>
        <v>2805323.69</v>
      </c>
      <c r="G15" s="101" t="s">
        <v>161</v>
      </c>
      <c r="H15" s="102">
        <f>SUM(H10:H14)</f>
        <v>3624927.0000000005</v>
      </c>
      <c r="I15" s="103">
        <f>SUM(I10:I14)</f>
        <v>3623194.1799999997</v>
      </c>
      <c r="J15" s="103">
        <f>SUM(J10:J14)</f>
        <v>3623194.1799999997</v>
      </c>
      <c r="K15" s="105">
        <f>SUM(K10:K14)</f>
        <v>3623194.1799999997</v>
      </c>
      <c r="L15" s="102">
        <f>SUM(L10:L14)</f>
        <v>1732.8200000002034</v>
      </c>
    </row>
    <row r="16" spans="1:25" s="106" customFormat="1">
      <c r="A16" s="107"/>
      <c r="B16" s="108"/>
      <c r="C16" s="109"/>
      <c r="D16" s="109"/>
      <c r="E16" s="110"/>
      <c r="F16" s="108"/>
      <c r="G16" s="107"/>
      <c r="H16" s="108"/>
      <c r="I16" s="109"/>
      <c r="J16" s="109"/>
      <c r="K16" s="110"/>
      <c r="L16" s="108"/>
      <c r="M16" s="84"/>
      <c r="N16" s="111"/>
      <c r="O16" s="111"/>
      <c r="P16" s="111"/>
    </row>
    <row r="17" spans="1:16" s="106" customFormat="1">
      <c r="A17" s="107"/>
      <c r="C17" s="108" t="s">
        <v>162</v>
      </c>
      <c r="D17" s="109">
        <f>D15</f>
        <v>22326814.779999997</v>
      </c>
      <c r="E17" s="112">
        <f>D17/E37</f>
        <v>0.86037792181170791</v>
      </c>
      <c r="F17" s="108"/>
      <c r="G17" s="107"/>
      <c r="H17" s="108"/>
      <c r="I17" s="109" t="s">
        <v>163</v>
      </c>
      <c r="J17" s="109">
        <f>J15</f>
        <v>3623194.1799999997</v>
      </c>
      <c r="K17" s="112">
        <f>J17/E37</f>
        <v>0.13962207818829209</v>
      </c>
      <c r="L17" s="108"/>
      <c r="M17" s="84"/>
      <c r="N17" s="111"/>
      <c r="O17" s="111"/>
      <c r="P17" s="111"/>
    </row>
    <row r="18" spans="1:16" s="106" customFormat="1">
      <c r="A18" s="107"/>
      <c r="B18" s="108"/>
      <c r="C18" s="109"/>
      <c r="D18" s="109"/>
      <c r="E18" s="110"/>
      <c r="F18" s="108"/>
      <c r="G18" s="107"/>
      <c r="H18" s="108"/>
      <c r="I18" s="109"/>
      <c r="J18" s="109"/>
      <c r="K18" s="110"/>
      <c r="L18" s="108"/>
      <c r="M18" s="84"/>
      <c r="N18" s="111"/>
      <c r="O18" s="111"/>
      <c r="P18" s="111"/>
    </row>
    <row r="19" spans="1:16">
      <c r="A19" s="87" t="s">
        <v>596</v>
      </c>
      <c r="B19" s="560">
        <v>1402593.76</v>
      </c>
      <c r="C19" s="97">
        <v>868945.78</v>
      </c>
      <c r="D19" s="97">
        <v>868945.78</v>
      </c>
      <c r="E19" s="97">
        <v>766870.42</v>
      </c>
      <c r="F19" s="98">
        <f t="shared" ref="F19:F24" si="0">B19-C19</f>
        <v>533647.98</v>
      </c>
      <c r="G19" s="92" t="s">
        <v>591</v>
      </c>
      <c r="H19" s="96">
        <v>4600700.34</v>
      </c>
      <c r="I19" s="45">
        <v>2297678.54</v>
      </c>
      <c r="J19" s="45">
        <v>2297678.54</v>
      </c>
      <c r="K19" s="99">
        <v>2008639.28</v>
      </c>
      <c r="L19" s="98">
        <f t="shared" ref="L19:L24" si="1">H19-I19</f>
        <v>2303021.7999999998</v>
      </c>
    </row>
    <row r="20" spans="1:16">
      <c r="A20" s="87" t="s">
        <v>597</v>
      </c>
      <c r="B20" s="560">
        <v>617959.6</v>
      </c>
      <c r="C20" s="97">
        <v>338667.83</v>
      </c>
      <c r="D20" s="97">
        <v>338667.83</v>
      </c>
      <c r="E20" s="97">
        <v>338667.83</v>
      </c>
      <c r="F20" s="98">
        <f t="shared" si="0"/>
        <v>279291.76999999996</v>
      </c>
      <c r="G20" s="92" t="s">
        <v>592</v>
      </c>
      <c r="H20" s="96">
        <v>1183140.26</v>
      </c>
      <c r="I20" s="45">
        <v>867342.27</v>
      </c>
      <c r="J20" s="45">
        <v>867342.27</v>
      </c>
      <c r="K20" s="99">
        <v>867342.27</v>
      </c>
      <c r="L20" s="98">
        <f t="shared" si="1"/>
        <v>315797.99</v>
      </c>
    </row>
    <row r="21" spans="1:16">
      <c r="A21" s="86" t="s">
        <v>598</v>
      </c>
      <c r="B21" s="560">
        <v>300450.46000000002</v>
      </c>
      <c r="C21" s="97">
        <v>88078.13</v>
      </c>
      <c r="D21" s="97">
        <v>88078.13</v>
      </c>
      <c r="E21" s="97">
        <v>88078.13</v>
      </c>
      <c r="F21" s="98">
        <f t="shared" si="0"/>
        <v>212372.33000000002</v>
      </c>
      <c r="G21" s="94" t="s">
        <v>593</v>
      </c>
      <c r="H21" s="96">
        <v>1803694.32</v>
      </c>
      <c r="I21" s="45">
        <v>590362.85</v>
      </c>
      <c r="J21" s="45">
        <v>590362.85</v>
      </c>
      <c r="K21" s="99">
        <v>489731.37</v>
      </c>
      <c r="L21" s="98">
        <f t="shared" si="1"/>
        <v>1213331.4700000002</v>
      </c>
    </row>
    <row r="22" spans="1:16">
      <c r="A22" s="86" t="s">
        <v>600</v>
      </c>
      <c r="B22" s="560">
        <v>436691.07</v>
      </c>
      <c r="C22" s="97">
        <v>239556.47</v>
      </c>
      <c r="D22" s="97">
        <v>239556.47</v>
      </c>
      <c r="E22" s="97">
        <v>239556.47</v>
      </c>
      <c r="F22" s="98">
        <f t="shared" si="0"/>
        <v>197134.6</v>
      </c>
      <c r="G22" s="92" t="s">
        <v>595</v>
      </c>
      <c r="H22" s="96">
        <v>127503.81</v>
      </c>
      <c r="I22" s="45">
        <v>47385.11</v>
      </c>
      <c r="J22" s="45">
        <v>47385.11</v>
      </c>
      <c r="K22" s="99">
        <v>42675.14</v>
      </c>
      <c r="L22" s="98">
        <f t="shared" si="1"/>
        <v>80118.7</v>
      </c>
    </row>
    <row r="23" spans="1:16">
      <c r="A23" s="86" t="s">
        <v>476</v>
      </c>
      <c r="B23" s="561">
        <v>1311004.8899999999</v>
      </c>
      <c r="C23" s="249">
        <v>912994.34</v>
      </c>
      <c r="D23" s="249">
        <v>912994.34</v>
      </c>
      <c r="E23" s="249">
        <v>233534.01</v>
      </c>
      <c r="F23" s="98">
        <f t="shared" si="0"/>
        <v>398010.54999999993</v>
      </c>
      <c r="G23" s="92" t="s">
        <v>619</v>
      </c>
      <c r="H23" s="96">
        <v>175861.92</v>
      </c>
      <c r="I23" s="45">
        <v>138354.54</v>
      </c>
      <c r="J23" s="45">
        <v>138354.54</v>
      </c>
      <c r="K23" s="99">
        <v>138354.54</v>
      </c>
      <c r="L23" s="98">
        <f t="shared" si="1"/>
        <v>37507.380000000005</v>
      </c>
    </row>
    <row r="24" spans="1:16">
      <c r="A24" s="94" t="s">
        <v>477</v>
      </c>
      <c r="B24" s="385">
        <v>3070</v>
      </c>
      <c r="C24" s="225"/>
      <c r="D24" s="225"/>
      <c r="E24" s="225"/>
      <c r="F24" s="98">
        <f t="shared" si="0"/>
        <v>3070</v>
      </c>
      <c r="G24" s="94" t="s">
        <v>636</v>
      </c>
      <c r="H24" s="97">
        <v>439164.66</v>
      </c>
      <c r="I24" s="97">
        <v>132471.18</v>
      </c>
      <c r="J24" s="97">
        <v>132471.18</v>
      </c>
      <c r="K24" s="97">
        <v>132471.18</v>
      </c>
      <c r="L24" s="98">
        <f t="shared" si="1"/>
        <v>306693.48</v>
      </c>
    </row>
    <row r="25" spans="1:16">
      <c r="A25" s="116" t="s">
        <v>637</v>
      </c>
      <c r="B25" s="385"/>
      <c r="C25" s="60"/>
      <c r="D25" s="60"/>
      <c r="E25" s="60"/>
      <c r="F25" s="98">
        <f>B25-C25</f>
        <v>0</v>
      </c>
      <c r="G25" s="116" t="s">
        <v>638</v>
      </c>
      <c r="H25" s="97">
        <v>1568358.31</v>
      </c>
      <c r="I25" s="97">
        <v>1083681.6499999999</v>
      </c>
      <c r="J25" s="97">
        <v>1083681.6499999999</v>
      </c>
      <c r="K25" s="97">
        <v>1036495.33</v>
      </c>
      <c r="L25" s="98">
        <f>H25-I25</f>
        <v>484676.66000000015</v>
      </c>
    </row>
    <row r="26" spans="1:16">
      <c r="A26" s="113" t="s">
        <v>164</v>
      </c>
      <c r="B26" s="562">
        <f>SUM(B19:B25)</f>
        <v>4071769.7799999993</v>
      </c>
      <c r="C26" s="102">
        <f t="shared" ref="C26:F26" si="2">SUM(C19:C25)</f>
        <v>2448242.5500000003</v>
      </c>
      <c r="D26" s="102">
        <f>SUM(D19:D25)</f>
        <v>2448242.5500000003</v>
      </c>
      <c r="E26" s="102">
        <f t="shared" si="2"/>
        <v>1666706.8599999999</v>
      </c>
      <c r="F26" s="102">
        <f t="shared" si="2"/>
        <v>1623527.23</v>
      </c>
      <c r="G26" s="113" t="s">
        <v>165</v>
      </c>
      <c r="H26" s="102">
        <f>SUM(H19:H25)</f>
        <v>9898423.6199999992</v>
      </c>
      <c r="I26" s="103">
        <f>SUM(I19:I25)</f>
        <v>5157276.1400000006</v>
      </c>
      <c r="J26" s="103">
        <f>SUM(J19:J25)</f>
        <v>5157276.1400000006</v>
      </c>
      <c r="K26" s="102">
        <f>SUM(K19:K25)</f>
        <v>4715709.1100000003</v>
      </c>
      <c r="L26" s="102">
        <f>SUM(L19:L25)</f>
        <v>4741147.4800000004</v>
      </c>
    </row>
    <row r="27" spans="1:16">
      <c r="C27" s="114"/>
      <c r="D27" s="114"/>
      <c r="E27" s="114"/>
      <c r="F27" s="114"/>
      <c r="G27" s="443"/>
      <c r="H27" s="115"/>
      <c r="I27" s="114"/>
      <c r="J27" s="114"/>
      <c r="K27" s="114"/>
      <c r="L27" s="114"/>
    </row>
    <row r="28" spans="1:16">
      <c r="B28" s="60"/>
      <c r="C28" s="85" t="s">
        <v>475</v>
      </c>
      <c r="D28" s="114">
        <f>D26</f>
        <v>2448242.5500000003</v>
      </c>
      <c r="G28" s="116"/>
    </row>
    <row r="31" spans="1:16">
      <c r="A31" s="59" t="s">
        <v>166</v>
      </c>
      <c r="B31" s="86" t="s">
        <v>167</v>
      </c>
      <c r="C31" s="59" t="s">
        <v>168</v>
      </c>
      <c r="D31" s="59" t="s">
        <v>169</v>
      </c>
      <c r="E31" s="59" t="s">
        <v>170</v>
      </c>
      <c r="F31" s="59" t="s">
        <v>171</v>
      </c>
      <c r="H31" s="94" t="s">
        <v>166</v>
      </c>
      <c r="I31" s="94" t="s">
        <v>156</v>
      </c>
      <c r="J31" s="94" t="s">
        <v>157</v>
      </c>
      <c r="K31" s="94" t="s">
        <v>158</v>
      </c>
    </row>
    <row r="32" spans="1:16">
      <c r="A32" s="59" t="s">
        <v>172</v>
      </c>
      <c r="B32" s="59">
        <v>2221</v>
      </c>
      <c r="C32" s="117">
        <f>B32/B37</f>
        <v>0.58217562254259503</v>
      </c>
      <c r="D32" s="61">
        <f>C32*J34</f>
        <v>19535210.199384011</v>
      </c>
      <c r="E32" s="60">
        <f>D10+J10</f>
        <v>18652334.969999999</v>
      </c>
      <c r="F32" s="118">
        <f>D32-E32</f>
        <v>882875.22938401252</v>
      </c>
      <c r="H32" s="94" t="s">
        <v>173</v>
      </c>
      <c r="I32" s="97">
        <f>C15+I15</f>
        <v>25982468.549999993</v>
      </c>
      <c r="J32" s="97">
        <f>D15+J15</f>
        <v>25950008.959999997</v>
      </c>
      <c r="K32" s="97">
        <f>E15+K15</f>
        <v>24559724.939999998</v>
      </c>
      <c r="N32" s="60"/>
    </row>
    <row r="33" spans="1:14">
      <c r="A33" s="59" t="s">
        <v>174</v>
      </c>
      <c r="B33" s="59">
        <v>648</v>
      </c>
      <c r="C33" s="117">
        <f>B33/B37</f>
        <v>0.16985583224115333</v>
      </c>
      <c r="D33" s="61">
        <f>C33*J34</f>
        <v>5699602.0752817821</v>
      </c>
      <c r="E33" s="60">
        <f>D11+J11</f>
        <v>3046634.95</v>
      </c>
      <c r="F33" s="118">
        <f>D33-E33</f>
        <v>2652967.1252817819</v>
      </c>
      <c r="H33" s="94" t="s">
        <v>175</v>
      </c>
      <c r="I33" s="97">
        <f>C26+I26</f>
        <v>7605518.6900000013</v>
      </c>
      <c r="J33" s="97">
        <f>D26+J26</f>
        <v>7605518.6900000013</v>
      </c>
      <c r="K33" s="97">
        <f>E26+K26</f>
        <v>6382415.9700000007</v>
      </c>
      <c r="N33" s="61"/>
    </row>
    <row r="34" spans="1:14">
      <c r="A34" s="59" t="s">
        <v>176</v>
      </c>
      <c r="B34" s="59">
        <v>480</v>
      </c>
      <c r="C34" s="117">
        <f>B34/B37</f>
        <v>0.12581913499344691</v>
      </c>
      <c r="D34" s="61">
        <f>C34*J34</f>
        <v>4221927.4631716898</v>
      </c>
      <c r="E34" s="60">
        <f>D12+J12</f>
        <v>2882235.7800000003</v>
      </c>
      <c r="F34" s="118">
        <f>D34-E34</f>
        <v>1339691.6831716895</v>
      </c>
      <c r="H34" s="119" t="s">
        <v>177</v>
      </c>
      <c r="I34" s="120">
        <f>I32+I33</f>
        <v>33587987.239999995</v>
      </c>
      <c r="J34" s="120">
        <f>J32+J33</f>
        <v>33555527.649999999</v>
      </c>
      <c r="K34" s="97">
        <f>K32+K33</f>
        <v>30942140.909999996</v>
      </c>
    </row>
    <row r="35" spans="1:14">
      <c r="A35" s="59" t="s">
        <v>178</v>
      </c>
      <c r="B35" s="59">
        <v>143</v>
      </c>
      <c r="C35" s="117">
        <f>B35/B37</f>
        <v>3.7483617300131063E-2</v>
      </c>
      <c r="D35" s="61">
        <f>C35*J34</f>
        <v>1257782.5567365661</v>
      </c>
      <c r="E35" s="60">
        <f>D13+J13</f>
        <v>966550.7</v>
      </c>
      <c r="F35" s="118">
        <f>D35-E35</f>
        <v>291231.85673656617</v>
      </c>
      <c r="J35" s="118"/>
    </row>
    <row r="36" spans="1:14">
      <c r="A36" s="59" t="s">
        <v>179</v>
      </c>
      <c r="B36" s="59">
        <v>323</v>
      </c>
      <c r="C36" s="117">
        <f>B36/B37</f>
        <v>8.4665792922673663E-2</v>
      </c>
      <c r="D36" s="61">
        <f>C36*J34</f>
        <v>2841005.3554259501</v>
      </c>
      <c r="E36" s="60">
        <f>D14+J14</f>
        <v>402252.56</v>
      </c>
      <c r="F36" s="118">
        <f>D36-E36</f>
        <v>2438752.7954259501</v>
      </c>
    </row>
    <row r="37" spans="1:14">
      <c r="A37" s="121" t="s">
        <v>180</v>
      </c>
      <c r="B37" s="122">
        <f>SUM(B32:B36)</f>
        <v>3815</v>
      </c>
      <c r="C37" s="123">
        <f>SUM(C32:C36)</f>
        <v>0.99999999999999989</v>
      </c>
      <c r="D37" s="124">
        <f>SUM(D32:D36)</f>
        <v>33555527.650000006</v>
      </c>
      <c r="E37" s="125">
        <f>SUM(E32:E36)</f>
        <v>25950008.959999997</v>
      </c>
      <c r="F37" s="125">
        <f>SUM(F32:F36)</f>
        <v>7605518.6899999995</v>
      </c>
      <c r="G37" s="118"/>
      <c r="K37" s="60"/>
    </row>
    <row r="38" spans="1:14">
      <c r="D38" s="126">
        <f>SUM(E38:F38)</f>
        <v>0.99999999999999978</v>
      </c>
      <c r="E38" s="127">
        <f>E37/D37</f>
        <v>0.77334528101214328</v>
      </c>
      <c r="F38" s="127">
        <f>F37/D37</f>
        <v>0.22665471898785647</v>
      </c>
      <c r="G38" s="118"/>
      <c r="H38" s="118"/>
    </row>
    <row r="39" spans="1:14">
      <c r="G39" s="59" t="s">
        <v>181</v>
      </c>
      <c r="H39" s="59" t="s">
        <v>182</v>
      </c>
      <c r="K39" s="60"/>
    </row>
    <row r="40" spans="1:14">
      <c r="A40" s="59" t="s">
        <v>183</v>
      </c>
      <c r="B40" s="61">
        <f>Míni!D20</f>
        <v>23449723</v>
      </c>
      <c r="C40" s="127">
        <f>D17/B40</f>
        <v>0.95211422241533505</v>
      </c>
      <c r="D40" s="59" t="s">
        <v>471</v>
      </c>
      <c r="G40" s="60">
        <f>D17</f>
        <v>22326814.779999997</v>
      </c>
      <c r="H40" s="128">
        <f>E17</f>
        <v>0.86037792181170791</v>
      </c>
    </row>
    <row r="41" spans="1:14">
      <c r="B41" s="60"/>
      <c r="C41" s="127">
        <f>J17/B40</f>
        <v>0.15450903961637413</v>
      </c>
      <c r="D41" s="59" t="s">
        <v>564</v>
      </c>
      <c r="G41" s="60">
        <f>J17</f>
        <v>3623194.1799999997</v>
      </c>
      <c r="H41" s="128">
        <f>K17</f>
        <v>0.13962207818829209</v>
      </c>
      <c r="K41" s="63"/>
      <c r="L41" s="63"/>
    </row>
    <row r="42" spans="1:14">
      <c r="B42" s="129"/>
      <c r="C42" s="132">
        <f>SUM(C40:C41)</f>
        <v>1.1066232620317091</v>
      </c>
      <c r="D42" s="130"/>
      <c r="E42" s="130"/>
      <c r="F42" s="131" t="s">
        <v>184</v>
      </c>
      <c r="G42" s="130">
        <f>SUM(G40:G41)</f>
        <v>25950008.959999997</v>
      </c>
      <c r="H42" s="132">
        <f>SUM(H40:H41)</f>
        <v>1</v>
      </c>
      <c r="K42" s="63"/>
      <c r="L42" s="63"/>
    </row>
    <row r="43" spans="1:14">
      <c r="B43" s="84"/>
      <c r="C43" s="111"/>
      <c r="D43" s="111"/>
      <c r="E43" s="111"/>
      <c r="K43" s="63"/>
      <c r="L43" s="63"/>
    </row>
    <row r="44" spans="1:14">
      <c r="B44" s="84"/>
      <c r="C44" s="111"/>
      <c r="D44" s="111"/>
      <c r="E44" s="111"/>
      <c r="K44" s="63"/>
      <c r="L44" s="63"/>
    </row>
    <row r="45" spans="1:14">
      <c r="B45" s="84"/>
      <c r="C45" s="111"/>
      <c r="D45" s="111"/>
      <c r="E45" s="111"/>
      <c r="K45" s="63"/>
      <c r="L45" s="63"/>
    </row>
    <row r="46" spans="1:14">
      <c r="B46" s="84"/>
      <c r="C46" s="111"/>
      <c r="D46" s="111"/>
      <c r="E46" s="111"/>
      <c r="K46" s="63"/>
      <c r="L46" s="63"/>
    </row>
    <row r="47" spans="1:14">
      <c r="B47" s="84"/>
      <c r="C47" s="111"/>
      <c r="D47" s="111"/>
      <c r="E47" s="111"/>
      <c r="K47" s="63"/>
      <c r="L47" s="63"/>
    </row>
    <row r="48" spans="1:14">
      <c r="B48" s="84"/>
      <c r="C48" s="111"/>
      <c r="D48" s="111"/>
      <c r="E48" s="111"/>
      <c r="K48" s="63"/>
      <c r="L48" s="63"/>
    </row>
    <row r="49" spans="1:10">
      <c r="A49" s="59" t="s">
        <v>95</v>
      </c>
      <c r="E49" s="59" t="s">
        <v>96</v>
      </c>
      <c r="J49" s="59" t="s">
        <v>97</v>
      </c>
    </row>
    <row r="50" spans="1:10">
      <c r="A50" s="59" t="s">
        <v>98</v>
      </c>
      <c r="E50" s="59" t="s">
        <v>99</v>
      </c>
      <c r="J50" s="59" t="s">
        <v>100</v>
      </c>
    </row>
    <row r="55" spans="1:10" ht="11.25">
      <c r="A55" s="2"/>
    </row>
    <row r="56" spans="1:10" ht="11.25">
      <c r="A56" s="439"/>
    </row>
    <row r="57" spans="1:10" ht="11.25">
      <c r="A57" s="439"/>
    </row>
    <row r="58" spans="1:10" ht="11.25">
      <c r="A58" s="439"/>
    </row>
    <row r="59" spans="1:10" ht="11.25">
      <c r="A59" s="439"/>
    </row>
    <row r="60" spans="1:10" ht="11.25">
      <c r="A60" s="439"/>
    </row>
    <row r="61" spans="1:10" ht="11.25">
      <c r="A61" s="439"/>
    </row>
    <row r="62" spans="1:10" ht="11.25">
      <c r="A62" s="439"/>
    </row>
    <row r="63" spans="1:10" ht="11.25">
      <c r="A63" s="439"/>
    </row>
    <row r="64" spans="1:10" ht="11.25">
      <c r="A64" s="439"/>
    </row>
    <row r="65" spans="1:1" ht="11.25">
      <c r="A65" s="439"/>
    </row>
    <row r="66" spans="1:1" ht="11.25">
      <c r="A66" s="439"/>
    </row>
    <row r="67" spans="1:1" ht="11.25">
      <c r="A67" s="439"/>
    </row>
    <row r="68" spans="1:1" ht="11.25">
      <c r="A68" s="439"/>
    </row>
    <row r="69" spans="1:1" ht="11.25">
      <c r="A69" s="439"/>
    </row>
    <row r="70" spans="1:1" ht="11.25">
      <c r="A70" s="439"/>
    </row>
    <row r="71" spans="1:1" ht="11.25">
      <c r="A71" s="2"/>
    </row>
    <row r="72" spans="1:1" ht="11.25">
      <c r="A72" s="439"/>
    </row>
    <row r="73" spans="1:1" ht="11.25">
      <c r="A73" s="439"/>
    </row>
    <row r="74" spans="1:1" ht="11.25">
      <c r="A74" s="439"/>
    </row>
    <row r="75" spans="1:1" ht="11.25">
      <c r="A75" s="439"/>
    </row>
    <row r="76" spans="1:1" ht="11.25">
      <c r="A76" s="439"/>
    </row>
    <row r="77" spans="1:1" ht="11.25">
      <c r="A77" s="439"/>
    </row>
    <row r="78" spans="1:1" ht="11.25">
      <c r="A78" s="439"/>
    </row>
    <row r="79" spans="1:1" ht="11.25">
      <c r="A79" s="2"/>
    </row>
    <row r="80" spans="1:1" ht="11.25">
      <c r="A80" s="439"/>
    </row>
    <row r="81" spans="1:1" ht="11.25">
      <c r="A81" s="439"/>
    </row>
    <row r="82" spans="1:1" ht="11.25">
      <c r="A82" s="439"/>
    </row>
    <row r="83" spans="1:1" ht="11.25">
      <c r="A83" s="439"/>
    </row>
    <row r="84" spans="1:1" ht="11.25">
      <c r="A84" s="439"/>
    </row>
    <row r="85" spans="1:1" ht="11.25">
      <c r="A85" s="439"/>
    </row>
    <row r="86" spans="1:1" ht="11.25">
      <c r="A86" s="2"/>
    </row>
    <row r="87" spans="1:1" ht="11.25">
      <c r="A87" s="439"/>
    </row>
    <row r="88" spans="1:1" ht="11.25">
      <c r="A88" s="439"/>
    </row>
    <row r="89" spans="1:1" ht="11.25">
      <c r="A89" s="439"/>
    </row>
    <row r="90" spans="1:1" ht="11.25">
      <c r="A90" s="439"/>
    </row>
    <row r="91" spans="1:1" ht="11.25">
      <c r="A91" s="439"/>
    </row>
    <row r="92" spans="1:1" ht="11.25">
      <c r="A92" s="2"/>
    </row>
    <row r="93" spans="1:1" ht="11.25">
      <c r="A93" s="439"/>
    </row>
    <row r="94" spans="1:1" ht="11.25">
      <c r="A94" s="439"/>
    </row>
    <row r="95" spans="1:1" ht="11.25">
      <c r="A95" s="2"/>
    </row>
    <row r="96" spans="1:1" ht="11.25">
      <c r="A96" s="439"/>
    </row>
    <row r="97" spans="1:1" ht="11.25">
      <c r="A97" s="439"/>
    </row>
    <row r="98" spans="1:1" ht="11.25">
      <c r="A98" s="439"/>
    </row>
    <row r="99" spans="1:1" ht="11.25">
      <c r="A99" s="439"/>
    </row>
    <row r="100" spans="1:1" ht="11.25">
      <c r="A100" s="2"/>
    </row>
    <row r="101" spans="1:1" ht="11.25">
      <c r="A101" s="439"/>
    </row>
    <row r="102" spans="1:1" ht="11.25">
      <c r="A102" s="439"/>
    </row>
    <row r="103" spans="1:1" ht="11.25">
      <c r="A103" s="439"/>
    </row>
  </sheetData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L90"/>
  <sheetViews>
    <sheetView topLeftCell="A64" workbookViewId="0">
      <selection activeCell="D82" sqref="D82:L88"/>
    </sheetView>
  </sheetViews>
  <sheetFormatPr defaultColWidth="11.5703125" defaultRowHeight="15"/>
  <cols>
    <col min="4" max="5" width="12.42578125" customWidth="1"/>
    <col min="6" max="6" width="10.42578125" customWidth="1"/>
    <col min="7" max="9" width="12.42578125" customWidth="1"/>
    <col min="10" max="10" width="12.42578125" bestFit="1" customWidth="1"/>
    <col min="11" max="11" width="10.42578125" customWidth="1"/>
    <col min="12" max="12" width="13.42578125" customWidth="1"/>
  </cols>
  <sheetData>
    <row r="1" spans="1:12" ht="11.45" customHeight="1">
      <c r="A1" s="186" t="s">
        <v>479</v>
      </c>
    </row>
    <row r="2" spans="1:12" ht="11.45" customHeight="1">
      <c r="A2" s="186" t="s">
        <v>1671</v>
      </c>
    </row>
    <row r="4" spans="1:12" ht="11.45" customHeight="1">
      <c r="A4" s="186" t="s">
        <v>480</v>
      </c>
      <c r="C4" s="616" t="s">
        <v>481</v>
      </c>
    </row>
    <row r="6" spans="1:12" ht="11.45" customHeight="1">
      <c r="D6" s="566" t="s">
        <v>482</v>
      </c>
      <c r="E6" s="566" t="s">
        <v>483</v>
      </c>
      <c r="F6" s="566" t="s">
        <v>484</v>
      </c>
      <c r="G6" s="566" t="s">
        <v>485</v>
      </c>
      <c r="H6" s="566" t="s">
        <v>602</v>
      </c>
      <c r="I6" s="566" t="s">
        <v>661</v>
      </c>
      <c r="J6" s="566" t="s">
        <v>603</v>
      </c>
      <c r="K6" s="566" t="s">
        <v>489</v>
      </c>
      <c r="L6" s="566" t="s">
        <v>490</v>
      </c>
    </row>
    <row r="7" spans="1:12" ht="11.45" customHeight="1">
      <c r="A7" s="85">
        <v>1</v>
      </c>
      <c r="B7" s="565" t="s">
        <v>492</v>
      </c>
      <c r="C7" s="565"/>
      <c r="D7" s="557">
        <v>7665003.0800000001</v>
      </c>
      <c r="E7" s="557">
        <v>48736937.350000001</v>
      </c>
      <c r="F7" s="557">
        <v>3949440.82</v>
      </c>
      <c r="G7" s="557">
        <v>60351381.25</v>
      </c>
      <c r="H7" s="557">
        <v>41908235.780000001</v>
      </c>
      <c r="I7" s="557">
        <v>13359414.75</v>
      </c>
      <c r="J7" s="557">
        <v>55267650.530000001</v>
      </c>
      <c r="K7" s="557">
        <v>3949440.82</v>
      </c>
      <c r="L7" s="557">
        <v>1134289.8999999999</v>
      </c>
    </row>
    <row r="8" spans="1:12" ht="11.45" customHeight="1">
      <c r="A8" s="85">
        <v>20</v>
      </c>
      <c r="B8" s="565" t="s">
        <v>493</v>
      </c>
      <c r="C8" s="565"/>
      <c r="D8" s="557">
        <v>18946.099999999999</v>
      </c>
      <c r="E8" s="557">
        <v>6879254.5999999996</v>
      </c>
      <c r="F8" s="557">
        <v>0</v>
      </c>
      <c r="G8" s="557">
        <v>6898200.7000000002</v>
      </c>
      <c r="H8" s="557">
        <v>9941159.5700000003</v>
      </c>
      <c r="I8" s="557">
        <v>4958504.05</v>
      </c>
      <c r="J8" s="557">
        <v>14899663.619999999</v>
      </c>
      <c r="K8" s="557">
        <v>0</v>
      </c>
      <c r="L8" s="557">
        <v>-8001462.9199999999</v>
      </c>
    </row>
    <row r="9" spans="1:12" ht="11.45" customHeight="1">
      <c r="A9" s="85">
        <v>30</v>
      </c>
      <c r="B9" s="565" t="s">
        <v>604</v>
      </c>
      <c r="C9" s="565"/>
      <c r="D9" s="557">
        <v>0</v>
      </c>
      <c r="E9" s="557">
        <v>0</v>
      </c>
      <c r="F9" s="557">
        <v>0</v>
      </c>
      <c r="G9" s="557">
        <v>0</v>
      </c>
      <c r="H9" s="557">
        <v>0</v>
      </c>
      <c r="I9" s="557">
        <v>57.84</v>
      </c>
      <c r="J9" s="557">
        <v>57.84</v>
      </c>
      <c r="K9" s="557">
        <v>0</v>
      </c>
      <c r="L9" s="557">
        <v>-57.84</v>
      </c>
    </row>
    <row r="10" spans="1:12" ht="11.45" customHeight="1">
      <c r="A10" s="85">
        <v>31</v>
      </c>
      <c r="B10" s="565" t="s">
        <v>494</v>
      </c>
      <c r="C10" s="565"/>
      <c r="D10" s="557">
        <v>1604648.06</v>
      </c>
      <c r="E10" s="557">
        <v>23548807.75</v>
      </c>
      <c r="F10" s="557">
        <v>0</v>
      </c>
      <c r="G10" s="557">
        <v>25153455.809999999</v>
      </c>
      <c r="H10" s="557">
        <v>25587112.449999999</v>
      </c>
      <c r="I10" s="557">
        <v>1086790.02</v>
      </c>
      <c r="J10" s="557">
        <v>26673902.469999999</v>
      </c>
      <c r="K10" s="557">
        <v>0</v>
      </c>
      <c r="L10" s="557">
        <v>-1520446.66</v>
      </c>
    </row>
    <row r="11" spans="1:12" ht="11.45" customHeight="1">
      <c r="A11" s="85">
        <v>40</v>
      </c>
      <c r="B11" s="565" t="s">
        <v>495</v>
      </c>
      <c r="C11" s="565"/>
      <c r="D11" s="557">
        <v>430232.87</v>
      </c>
      <c r="E11" s="557">
        <v>11076108.710000001</v>
      </c>
      <c r="F11" s="557">
        <v>0</v>
      </c>
      <c r="G11" s="557">
        <v>11506341.58</v>
      </c>
      <c r="H11" s="557">
        <v>19937592.539999999</v>
      </c>
      <c r="I11" s="557">
        <v>5770172.4000000004</v>
      </c>
      <c r="J11" s="557">
        <v>25707764.940000001</v>
      </c>
      <c r="K11" s="557">
        <v>0</v>
      </c>
      <c r="L11" s="557">
        <v>-14201423.359999999</v>
      </c>
    </row>
    <row r="12" spans="1:12" ht="11.45" customHeight="1">
      <c r="A12" s="85">
        <v>50</v>
      </c>
      <c r="B12" s="565" t="s">
        <v>496</v>
      </c>
      <c r="C12" s="565"/>
      <c r="D12" s="557">
        <v>40962798.229999997</v>
      </c>
      <c r="E12" s="557">
        <v>33413163.789999999</v>
      </c>
      <c r="F12" s="557">
        <v>0</v>
      </c>
      <c r="G12" s="557">
        <v>74375962.019999996</v>
      </c>
      <c r="H12" s="557">
        <v>24512176.329999998</v>
      </c>
      <c r="I12" s="557">
        <v>44620.01</v>
      </c>
      <c r="J12" s="557">
        <v>24556796.34</v>
      </c>
      <c r="K12" s="557">
        <v>0</v>
      </c>
      <c r="L12" s="557">
        <v>49819165.68</v>
      </c>
    </row>
    <row r="13" spans="1:12" ht="11.45" customHeight="1">
      <c r="A13" s="85">
        <v>900</v>
      </c>
      <c r="B13" s="565" t="s">
        <v>497</v>
      </c>
      <c r="C13" s="565"/>
      <c r="D13" s="557">
        <v>4.5</v>
      </c>
      <c r="E13" s="557">
        <v>0</v>
      </c>
      <c r="F13" s="557">
        <v>0</v>
      </c>
      <c r="G13" s="557">
        <v>4.5</v>
      </c>
      <c r="H13" s="557">
        <v>0</v>
      </c>
      <c r="I13" s="557">
        <v>0</v>
      </c>
      <c r="J13" s="557">
        <v>0</v>
      </c>
      <c r="K13" s="557">
        <v>0</v>
      </c>
      <c r="L13" s="557">
        <v>4.5</v>
      </c>
    </row>
    <row r="14" spans="1:12" ht="11.45" customHeight="1">
      <c r="A14" s="85">
        <v>1022</v>
      </c>
      <c r="B14" s="565" t="s">
        <v>498</v>
      </c>
      <c r="C14" s="565"/>
      <c r="D14" s="557">
        <v>105438.31</v>
      </c>
      <c r="E14" s="557">
        <v>367843.9</v>
      </c>
      <c r="F14" s="557">
        <v>0</v>
      </c>
      <c r="G14" s="557">
        <v>473282.21</v>
      </c>
      <c r="H14" s="557">
        <v>307283.17</v>
      </c>
      <c r="I14" s="557">
        <v>0</v>
      </c>
      <c r="J14" s="557">
        <v>307283.17</v>
      </c>
      <c r="K14" s="557">
        <v>0</v>
      </c>
      <c r="L14" s="557">
        <v>165999.04000000001</v>
      </c>
    </row>
    <row r="15" spans="1:12" ht="11.45" customHeight="1">
      <c r="A15" s="85">
        <v>1023</v>
      </c>
      <c r="B15" s="565" t="s">
        <v>499</v>
      </c>
      <c r="C15" s="565"/>
      <c r="D15" s="557">
        <v>1412415.94</v>
      </c>
      <c r="E15" s="557">
        <v>1752773.25</v>
      </c>
      <c r="F15" s="557">
        <v>0</v>
      </c>
      <c r="G15" s="557">
        <v>3165189.19</v>
      </c>
      <c r="H15" s="557">
        <v>2144831.7200000002</v>
      </c>
      <c r="I15" s="557">
        <v>31906.39</v>
      </c>
      <c r="J15" s="557">
        <v>2176738.11</v>
      </c>
      <c r="K15" s="557">
        <v>0</v>
      </c>
      <c r="L15" s="557">
        <v>988451.08</v>
      </c>
    </row>
    <row r="16" spans="1:12" ht="11.45" customHeight="1">
      <c r="A16" s="85">
        <v>1024</v>
      </c>
      <c r="B16" s="565" t="s">
        <v>500</v>
      </c>
      <c r="C16" s="565"/>
      <c r="D16" s="557">
        <v>259261.06</v>
      </c>
      <c r="E16" s="557">
        <v>83045.399999999994</v>
      </c>
      <c r="F16" s="557">
        <v>0</v>
      </c>
      <c r="G16" s="557">
        <v>342306.46</v>
      </c>
      <c r="H16" s="557">
        <v>351124.96</v>
      </c>
      <c r="I16" s="557">
        <v>20099.78</v>
      </c>
      <c r="J16" s="557">
        <v>371224.74</v>
      </c>
      <c r="K16" s="557">
        <v>0</v>
      </c>
      <c r="L16" s="557">
        <v>-28918.28</v>
      </c>
    </row>
    <row r="17" spans="1:12" ht="11.45" customHeight="1">
      <c r="A17" s="85">
        <v>1025</v>
      </c>
      <c r="B17" s="565" t="s">
        <v>501</v>
      </c>
      <c r="C17" s="565"/>
      <c r="D17" s="557">
        <v>1260117.1399999999</v>
      </c>
      <c r="E17" s="557">
        <v>96505.52</v>
      </c>
      <c r="F17" s="557">
        <v>0</v>
      </c>
      <c r="G17" s="557">
        <v>1356622.66</v>
      </c>
      <c r="H17" s="557">
        <v>735637.87</v>
      </c>
      <c r="I17" s="557">
        <v>0</v>
      </c>
      <c r="J17" s="557">
        <v>735637.87</v>
      </c>
      <c r="K17" s="557">
        <v>0</v>
      </c>
      <c r="L17" s="557">
        <v>620984.79</v>
      </c>
    </row>
    <row r="18" spans="1:12" ht="11.45" customHeight="1">
      <c r="A18" s="85">
        <v>1026</v>
      </c>
      <c r="B18" s="565" t="s">
        <v>502</v>
      </c>
      <c r="C18" s="565"/>
      <c r="D18" s="557">
        <v>544140.11</v>
      </c>
      <c r="E18" s="557">
        <v>2543159.2599999998</v>
      </c>
      <c r="F18" s="557">
        <v>0</v>
      </c>
      <c r="G18" s="557">
        <v>3087299.37</v>
      </c>
      <c r="H18" s="557">
        <v>2784535.7</v>
      </c>
      <c r="I18" s="557">
        <v>265688.32000000001</v>
      </c>
      <c r="J18" s="557">
        <v>3050224.02</v>
      </c>
      <c r="K18" s="557">
        <v>0</v>
      </c>
      <c r="L18" s="557">
        <v>37075.35</v>
      </c>
    </row>
    <row r="19" spans="1:12" ht="11.45" customHeight="1">
      <c r="A19" s="85">
        <v>1031</v>
      </c>
      <c r="B19" s="565" t="s">
        <v>503</v>
      </c>
      <c r="C19" s="565"/>
      <c r="D19" s="557">
        <v>13981.08</v>
      </c>
      <c r="E19" s="557">
        <v>1090.51</v>
      </c>
      <c r="F19" s="557">
        <v>0</v>
      </c>
      <c r="G19" s="557">
        <v>15071.59</v>
      </c>
      <c r="H19" s="557">
        <v>0</v>
      </c>
      <c r="I19" s="557">
        <v>0</v>
      </c>
      <c r="J19" s="557">
        <v>0</v>
      </c>
      <c r="K19" s="557">
        <v>0</v>
      </c>
      <c r="L19" s="557">
        <v>15071.59</v>
      </c>
    </row>
    <row r="20" spans="1:12" ht="11.45" customHeight="1">
      <c r="A20" s="85">
        <v>1101</v>
      </c>
      <c r="B20" s="565" t="s">
        <v>504</v>
      </c>
      <c r="C20" s="565"/>
      <c r="D20" s="557">
        <v>1175.71</v>
      </c>
      <c r="E20" s="557">
        <v>112.38</v>
      </c>
      <c r="F20" s="557">
        <v>0</v>
      </c>
      <c r="G20" s="557">
        <v>1288.0899999999999</v>
      </c>
      <c r="H20" s="557">
        <v>0</v>
      </c>
      <c r="I20" s="557">
        <v>0</v>
      </c>
      <c r="J20" s="557">
        <v>0</v>
      </c>
      <c r="K20" s="557">
        <v>0</v>
      </c>
      <c r="L20" s="557">
        <v>1288.0899999999999</v>
      </c>
    </row>
    <row r="21" spans="1:12" ht="11.45" customHeight="1">
      <c r="A21" s="85">
        <v>1103</v>
      </c>
      <c r="B21" s="565" t="s">
        <v>505</v>
      </c>
      <c r="C21" s="565"/>
      <c r="D21" s="557">
        <v>4658.99</v>
      </c>
      <c r="E21" s="557">
        <v>41113.339999999997</v>
      </c>
      <c r="F21" s="557">
        <v>0</v>
      </c>
      <c r="G21" s="557">
        <v>45772.33</v>
      </c>
      <c r="H21" s="557">
        <v>103030.62</v>
      </c>
      <c r="I21" s="557">
        <v>5286.7</v>
      </c>
      <c r="J21" s="557">
        <v>108317.32</v>
      </c>
      <c r="K21" s="557">
        <v>0</v>
      </c>
      <c r="L21" s="557">
        <v>-62544.99</v>
      </c>
    </row>
    <row r="22" spans="1:12" ht="11.45" customHeight="1">
      <c r="A22" s="85">
        <v>1121</v>
      </c>
      <c r="B22" s="565" t="s">
        <v>506</v>
      </c>
      <c r="C22" s="565"/>
      <c r="D22" s="557">
        <v>380189.47</v>
      </c>
      <c r="E22" s="557">
        <v>319813.42</v>
      </c>
      <c r="F22" s="557">
        <v>0</v>
      </c>
      <c r="G22" s="557">
        <v>700002.89</v>
      </c>
      <c r="H22" s="557">
        <v>412654.97</v>
      </c>
      <c r="I22" s="557">
        <v>57138.95</v>
      </c>
      <c r="J22" s="557">
        <v>469793.92</v>
      </c>
      <c r="K22" s="557">
        <v>0</v>
      </c>
      <c r="L22" s="557">
        <v>230208.97</v>
      </c>
    </row>
    <row r="23" spans="1:12" ht="11.45" customHeight="1">
      <c r="A23" s="85">
        <v>1122</v>
      </c>
      <c r="B23" s="565" t="s">
        <v>507</v>
      </c>
      <c r="C23" s="565"/>
      <c r="D23" s="557">
        <v>52142.09</v>
      </c>
      <c r="E23" s="557">
        <v>15170.03</v>
      </c>
      <c r="F23" s="557">
        <v>0</v>
      </c>
      <c r="G23" s="557">
        <v>67312.12</v>
      </c>
      <c r="H23" s="557">
        <v>0</v>
      </c>
      <c r="I23" s="557">
        <v>98199</v>
      </c>
      <c r="J23" s="557">
        <v>98199</v>
      </c>
      <c r="K23" s="557">
        <v>0</v>
      </c>
      <c r="L23" s="557">
        <v>-30886.880000000001</v>
      </c>
    </row>
    <row r="24" spans="1:12" ht="11.45" customHeight="1">
      <c r="A24" s="85">
        <v>1124</v>
      </c>
      <c r="B24" s="565" t="s">
        <v>508</v>
      </c>
      <c r="C24" s="565"/>
      <c r="D24" s="557">
        <v>75682.350000000006</v>
      </c>
      <c r="E24" s="557">
        <v>63652.87</v>
      </c>
      <c r="F24" s="557">
        <v>0</v>
      </c>
      <c r="G24" s="557">
        <v>139335.22</v>
      </c>
      <c r="H24" s="557">
        <v>36503.61</v>
      </c>
      <c r="I24" s="557">
        <v>156.19</v>
      </c>
      <c r="J24" s="557">
        <v>36659.800000000003</v>
      </c>
      <c r="K24" s="557">
        <v>0</v>
      </c>
      <c r="L24" s="557">
        <v>102675.42</v>
      </c>
    </row>
    <row r="25" spans="1:12" ht="11.45" customHeight="1">
      <c r="A25" s="85">
        <v>1180</v>
      </c>
      <c r="B25" s="565" t="s">
        <v>509</v>
      </c>
      <c r="C25" s="565"/>
      <c r="D25" s="557">
        <v>19.98</v>
      </c>
      <c r="E25" s="557">
        <v>0</v>
      </c>
      <c r="F25" s="557">
        <v>0</v>
      </c>
      <c r="G25" s="557">
        <v>19.98</v>
      </c>
      <c r="H25" s="557">
        <v>0</v>
      </c>
      <c r="I25" s="557">
        <v>0</v>
      </c>
      <c r="J25" s="557">
        <v>0</v>
      </c>
      <c r="K25" s="557">
        <v>0</v>
      </c>
      <c r="L25" s="557">
        <v>19.98</v>
      </c>
    </row>
    <row r="26" spans="1:12" ht="11.45" customHeight="1">
      <c r="A26" s="85">
        <v>1181</v>
      </c>
      <c r="B26" s="565" t="s">
        <v>510</v>
      </c>
      <c r="C26" s="565"/>
      <c r="D26" s="557">
        <v>164.88</v>
      </c>
      <c r="E26" s="557">
        <v>12.82</v>
      </c>
      <c r="F26" s="557">
        <v>0</v>
      </c>
      <c r="G26" s="557">
        <v>177.7</v>
      </c>
      <c r="H26" s="557">
        <v>0</v>
      </c>
      <c r="I26" s="557">
        <v>0</v>
      </c>
      <c r="J26" s="557">
        <v>0</v>
      </c>
      <c r="K26" s="557">
        <v>0</v>
      </c>
      <c r="L26" s="557">
        <v>177.7</v>
      </c>
    </row>
    <row r="27" spans="1:12" ht="11.45" customHeight="1">
      <c r="A27" s="85">
        <v>1182</v>
      </c>
      <c r="B27" s="565" t="s">
        <v>511</v>
      </c>
      <c r="C27" s="565"/>
      <c r="D27" s="557">
        <v>73.89</v>
      </c>
      <c r="E27" s="557">
        <v>20452.27</v>
      </c>
      <c r="F27" s="557">
        <v>0</v>
      </c>
      <c r="G27" s="557">
        <v>20526.16</v>
      </c>
      <c r="H27" s="557">
        <v>18216.87</v>
      </c>
      <c r="I27" s="557">
        <v>2980</v>
      </c>
      <c r="J27" s="557">
        <v>21196.87</v>
      </c>
      <c r="K27" s="557">
        <v>0</v>
      </c>
      <c r="L27" s="557">
        <v>-670.71</v>
      </c>
    </row>
    <row r="28" spans="1:12" ht="11.45" customHeight="1">
      <c r="A28" s="85">
        <v>1184</v>
      </c>
      <c r="B28" s="565" t="s">
        <v>512</v>
      </c>
      <c r="C28" s="565"/>
      <c r="D28" s="557">
        <v>41867.129999999997</v>
      </c>
      <c r="E28" s="557">
        <v>1303301.03</v>
      </c>
      <c r="F28" s="557">
        <v>0</v>
      </c>
      <c r="G28" s="557">
        <v>1345168.16</v>
      </c>
      <c r="H28" s="557">
        <v>691095.88</v>
      </c>
      <c r="I28" s="557">
        <v>872150.84</v>
      </c>
      <c r="J28" s="557">
        <v>1563246.72</v>
      </c>
      <c r="K28" s="557">
        <v>0</v>
      </c>
      <c r="L28" s="557">
        <v>-218078.56</v>
      </c>
    </row>
    <row r="29" spans="1:12" ht="11.45" customHeight="1">
      <c r="A29" s="85">
        <v>1186</v>
      </c>
      <c r="B29" s="565" t="s">
        <v>513</v>
      </c>
      <c r="C29" s="565"/>
      <c r="D29" s="557">
        <v>196526.39</v>
      </c>
      <c r="E29" s="557">
        <v>442105.49</v>
      </c>
      <c r="F29" s="557">
        <v>0</v>
      </c>
      <c r="G29" s="557">
        <v>638631.88</v>
      </c>
      <c r="H29" s="557">
        <v>202998.84</v>
      </c>
      <c r="I29" s="557">
        <v>0</v>
      </c>
      <c r="J29" s="557">
        <v>202998.84</v>
      </c>
      <c r="K29" s="557">
        <v>0</v>
      </c>
      <c r="L29" s="557">
        <v>435633.04</v>
      </c>
    </row>
    <row r="30" spans="1:12" ht="11.45" customHeight="1">
      <c r="A30" s="85">
        <v>1187</v>
      </c>
      <c r="B30" s="565" t="s">
        <v>514</v>
      </c>
      <c r="C30" s="565"/>
      <c r="D30" s="557">
        <v>28.83</v>
      </c>
      <c r="E30" s="557">
        <v>0.02</v>
      </c>
      <c r="F30" s="557">
        <v>0</v>
      </c>
      <c r="G30" s="557">
        <v>28.85</v>
      </c>
      <c r="H30" s="557">
        <v>0</v>
      </c>
      <c r="I30" s="557">
        <v>0</v>
      </c>
      <c r="J30" s="557">
        <v>0</v>
      </c>
      <c r="K30" s="557">
        <v>0</v>
      </c>
      <c r="L30" s="557">
        <v>28.85</v>
      </c>
    </row>
    <row r="31" spans="1:12" ht="11.45" customHeight="1">
      <c r="A31" s="85">
        <v>1188</v>
      </c>
      <c r="B31" s="565" t="s">
        <v>515</v>
      </c>
      <c r="C31" s="565"/>
      <c r="D31" s="557">
        <v>63288.26</v>
      </c>
      <c r="E31" s="557">
        <v>3159.29</v>
      </c>
      <c r="F31" s="557">
        <v>0</v>
      </c>
      <c r="G31" s="557">
        <v>66447.55</v>
      </c>
      <c r="H31" s="557">
        <v>55856.47</v>
      </c>
      <c r="I31" s="557">
        <v>5025.1899999999996</v>
      </c>
      <c r="J31" s="557">
        <v>60881.66</v>
      </c>
      <c r="K31" s="557">
        <v>0</v>
      </c>
      <c r="L31" s="557">
        <v>5565.89</v>
      </c>
    </row>
    <row r="32" spans="1:12" ht="11.45" customHeight="1">
      <c r="A32" s="85">
        <v>1190</v>
      </c>
      <c r="B32" s="565" t="s">
        <v>516</v>
      </c>
      <c r="C32" s="565"/>
      <c r="D32" s="557">
        <v>147.55000000000001</v>
      </c>
      <c r="E32" s="557">
        <v>28363.16</v>
      </c>
      <c r="F32" s="557">
        <v>0</v>
      </c>
      <c r="G32" s="557">
        <v>28510.71</v>
      </c>
      <c r="H32" s="557">
        <v>18000</v>
      </c>
      <c r="I32" s="557">
        <v>0</v>
      </c>
      <c r="J32" s="557">
        <v>18000</v>
      </c>
      <c r="K32" s="557">
        <v>0</v>
      </c>
      <c r="L32" s="557">
        <v>10510.71</v>
      </c>
    </row>
    <row r="33" spans="1:12" ht="11.45" customHeight="1">
      <c r="A33" s="85">
        <v>1500</v>
      </c>
      <c r="B33" s="565" t="s">
        <v>143</v>
      </c>
      <c r="C33" s="565"/>
      <c r="D33" s="557">
        <v>1029371</v>
      </c>
      <c r="E33" s="557">
        <v>4582762.33</v>
      </c>
      <c r="F33" s="557">
        <v>0</v>
      </c>
      <c r="G33" s="557">
        <v>5612133.3300000001</v>
      </c>
      <c r="H33" s="557">
        <v>3435548.69</v>
      </c>
      <c r="I33" s="557">
        <v>36283.160000000003</v>
      </c>
      <c r="J33" s="557">
        <v>3471831.85</v>
      </c>
      <c r="K33" s="557">
        <v>0</v>
      </c>
      <c r="L33" s="557">
        <v>2140301.48</v>
      </c>
    </row>
    <row r="34" spans="1:12" ht="11.45" customHeight="1">
      <c r="A34" s="85">
        <v>3804</v>
      </c>
      <c r="B34" s="565" t="s">
        <v>663</v>
      </c>
      <c r="C34" s="565"/>
      <c r="D34" s="557">
        <v>0</v>
      </c>
      <c r="E34" s="557">
        <v>213833.38</v>
      </c>
      <c r="F34" s="557">
        <v>0</v>
      </c>
      <c r="G34" s="557">
        <v>213833.38</v>
      </c>
      <c r="H34" s="557">
        <v>0</v>
      </c>
      <c r="I34" s="557">
        <v>0</v>
      </c>
      <c r="J34" s="557">
        <v>0</v>
      </c>
      <c r="K34" s="557">
        <v>0</v>
      </c>
      <c r="L34" s="557">
        <v>213833.38</v>
      </c>
    </row>
    <row r="35" spans="1:12" ht="11.45" customHeight="1">
      <c r="A35" s="85">
        <v>3812</v>
      </c>
      <c r="B35" s="565" t="s">
        <v>517</v>
      </c>
      <c r="C35" s="565"/>
      <c r="D35" s="557">
        <v>43500.69</v>
      </c>
      <c r="E35" s="557">
        <v>4158.18</v>
      </c>
      <c r="F35" s="557">
        <v>0</v>
      </c>
      <c r="G35" s="557">
        <v>47658.87</v>
      </c>
      <c r="H35" s="557">
        <v>0</v>
      </c>
      <c r="I35" s="557">
        <v>81343.88</v>
      </c>
      <c r="J35" s="557">
        <v>81343.88</v>
      </c>
      <c r="K35" s="557">
        <v>0</v>
      </c>
      <c r="L35" s="557">
        <v>-33685.01</v>
      </c>
    </row>
    <row r="36" spans="1:12" ht="11.45" customHeight="1">
      <c r="A36" s="85">
        <v>3813</v>
      </c>
      <c r="B36" s="565" t="s">
        <v>518</v>
      </c>
      <c r="C36" s="565"/>
      <c r="D36" s="557">
        <v>9374.4699999999993</v>
      </c>
      <c r="E36" s="557">
        <v>762.72</v>
      </c>
      <c r="F36" s="557">
        <v>0</v>
      </c>
      <c r="G36" s="557">
        <v>10137.19</v>
      </c>
      <c r="H36" s="557">
        <v>0</v>
      </c>
      <c r="I36" s="557">
        <v>0</v>
      </c>
      <c r="J36" s="557">
        <v>0</v>
      </c>
      <c r="K36" s="557">
        <v>0</v>
      </c>
      <c r="L36" s="557">
        <v>10137.19</v>
      </c>
    </row>
    <row r="37" spans="1:12" ht="11.45" customHeight="1">
      <c r="A37" s="85">
        <v>3814</v>
      </c>
      <c r="B37" s="565" t="s">
        <v>620</v>
      </c>
      <c r="C37" s="565"/>
      <c r="D37" s="557">
        <v>143250</v>
      </c>
      <c r="E37" s="557">
        <v>5438.13</v>
      </c>
      <c r="F37" s="557">
        <v>0</v>
      </c>
      <c r="G37" s="557">
        <v>148688.13</v>
      </c>
      <c r="H37" s="557">
        <v>109581.64</v>
      </c>
      <c r="I37" s="557">
        <v>0</v>
      </c>
      <c r="J37" s="557">
        <v>109581.64</v>
      </c>
      <c r="K37" s="557">
        <v>0</v>
      </c>
      <c r="L37" s="557">
        <v>39106.49</v>
      </c>
    </row>
    <row r="38" spans="1:12" ht="11.45" customHeight="1">
      <c r="A38" s="85">
        <v>3818</v>
      </c>
      <c r="B38" s="565" t="s">
        <v>1185</v>
      </c>
      <c r="C38" s="565"/>
      <c r="D38" s="557">
        <v>0</v>
      </c>
      <c r="E38" s="557">
        <v>71843.66</v>
      </c>
      <c r="F38" s="557">
        <v>0</v>
      </c>
      <c r="G38" s="557">
        <v>71843.66</v>
      </c>
      <c r="H38" s="557">
        <v>0</v>
      </c>
      <c r="I38" s="557">
        <v>0</v>
      </c>
      <c r="J38" s="557">
        <v>0</v>
      </c>
      <c r="K38" s="557">
        <v>0</v>
      </c>
      <c r="L38" s="557">
        <v>71843.66</v>
      </c>
    </row>
    <row r="39" spans="1:12" ht="11.45" customHeight="1">
      <c r="A39" s="85">
        <v>3819</v>
      </c>
      <c r="B39" s="565" t="s">
        <v>519</v>
      </c>
      <c r="C39" s="565"/>
      <c r="D39" s="557">
        <v>0</v>
      </c>
      <c r="E39" s="557">
        <v>0</v>
      </c>
      <c r="F39" s="557">
        <v>0</v>
      </c>
      <c r="G39" s="557">
        <v>0</v>
      </c>
      <c r="H39" s="557">
        <v>0</v>
      </c>
      <c r="I39" s="557">
        <v>7311.6</v>
      </c>
      <c r="J39" s="557">
        <v>7311.6</v>
      </c>
      <c r="K39" s="557">
        <v>0</v>
      </c>
      <c r="L39" s="557">
        <v>-7311.6</v>
      </c>
    </row>
    <row r="40" spans="1:12" ht="11.45" customHeight="1">
      <c r="A40" s="85">
        <v>3821</v>
      </c>
      <c r="B40" s="565" t="s">
        <v>1187</v>
      </c>
      <c r="C40" s="565"/>
      <c r="D40" s="557">
        <v>0</v>
      </c>
      <c r="E40" s="557">
        <v>0</v>
      </c>
      <c r="F40" s="557">
        <v>0</v>
      </c>
      <c r="G40" s="557">
        <v>0</v>
      </c>
      <c r="H40" s="557">
        <v>4999980</v>
      </c>
      <c r="I40" s="557">
        <v>0</v>
      </c>
      <c r="J40" s="557">
        <v>4999980</v>
      </c>
      <c r="K40" s="557">
        <v>0</v>
      </c>
      <c r="L40" s="557">
        <v>-4999980</v>
      </c>
    </row>
    <row r="41" spans="1:12" ht="11.45" customHeight="1">
      <c r="A41" s="85">
        <v>3822</v>
      </c>
      <c r="B41" s="565" t="s">
        <v>520</v>
      </c>
      <c r="C41" s="565"/>
      <c r="D41" s="557">
        <v>7703.93</v>
      </c>
      <c r="E41" s="557">
        <v>0</v>
      </c>
      <c r="F41" s="557">
        <v>0</v>
      </c>
      <c r="G41" s="557">
        <v>7703.93</v>
      </c>
      <c r="H41" s="557">
        <v>6794.76</v>
      </c>
      <c r="I41" s="557">
        <v>0</v>
      </c>
      <c r="J41" s="557">
        <v>6794.76</v>
      </c>
      <c r="K41" s="557">
        <v>0</v>
      </c>
      <c r="L41" s="557">
        <v>909.17</v>
      </c>
    </row>
    <row r="42" spans="1:12" ht="11.45" customHeight="1">
      <c r="A42" s="85">
        <v>3829</v>
      </c>
      <c r="B42" s="565" t="s">
        <v>605</v>
      </c>
      <c r="C42" s="565"/>
      <c r="D42" s="557">
        <v>0</v>
      </c>
      <c r="E42" s="557">
        <v>0</v>
      </c>
      <c r="F42" s="557">
        <v>0</v>
      </c>
      <c r="G42" s="557">
        <v>0</v>
      </c>
      <c r="H42" s="557">
        <v>0</v>
      </c>
      <c r="I42" s="557">
        <v>695673.71</v>
      </c>
      <c r="J42" s="557">
        <v>695673.71</v>
      </c>
      <c r="K42" s="557">
        <v>0</v>
      </c>
      <c r="L42" s="557">
        <v>-695673.71</v>
      </c>
    </row>
    <row r="43" spans="1:12" ht="11.45" customHeight="1">
      <c r="A43" s="85">
        <v>3831</v>
      </c>
      <c r="B43" s="565" t="s">
        <v>521</v>
      </c>
      <c r="C43" s="565"/>
      <c r="D43" s="557">
        <v>85937.78</v>
      </c>
      <c r="E43" s="557">
        <v>125890.45</v>
      </c>
      <c r="F43" s="557">
        <v>0</v>
      </c>
      <c r="G43" s="557">
        <v>211828.23</v>
      </c>
      <c r="H43" s="557">
        <v>0</v>
      </c>
      <c r="I43" s="557">
        <v>201656.08</v>
      </c>
      <c r="J43" s="557">
        <v>201656.08</v>
      </c>
      <c r="K43" s="557">
        <v>0</v>
      </c>
      <c r="L43" s="557">
        <v>10172.15</v>
      </c>
    </row>
    <row r="44" spans="1:12" ht="11.45" customHeight="1">
      <c r="A44" s="85">
        <v>3832</v>
      </c>
      <c r="B44" s="565" t="s">
        <v>522</v>
      </c>
      <c r="C44" s="565"/>
      <c r="D44" s="557">
        <v>143175.21</v>
      </c>
      <c r="E44" s="557">
        <v>474.61</v>
      </c>
      <c r="F44" s="557">
        <v>0</v>
      </c>
      <c r="G44" s="557">
        <v>143649.82</v>
      </c>
      <c r="H44" s="557">
        <v>2607.86</v>
      </c>
      <c r="I44" s="557">
        <v>140964.41</v>
      </c>
      <c r="J44" s="557">
        <v>143572.26999999999</v>
      </c>
      <c r="K44" s="557">
        <v>0</v>
      </c>
      <c r="L44" s="557">
        <v>77.55</v>
      </c>
    </row>
    <row r="45" spans="1:12" ht="11.45" customHeight="1">
      <c r="A45" s="85">
        <v>3833</v>
      </c>
      <c r="B45" s="565" t="s">
        <v>523</v>
      </c>
      <c r="C45" s="565"/>
      <c r="D45" s="557">
        <v>1803.59</v>
      </c>
      <c r="E45" s="557">
        <v>53563.63</v>
      </c>
      <c r="F45" s="557">
        <v>0</v>
      </c>
      <c r="G45" s="557">
        <v>55367.22</v>
      </c>
      <c r="H45" s="557">
        <v>3280.01</v>
      </c>
      <c r="I45" s="557">
        <v>52694.07</v>
      </c>
      <c r="J45" s="557">
        <v>55974.080000000002</v>
      </c>
      <c r="K45" s="557">
        <v>0</v>
      </c>
      <c r="L45" s="557">
        <v>-606.86</v>
      </c>
    </row>
    <row r="46" spans="1:12" ht="11.45" customHeight="1">
      <c r="A46" s="85">
        <v>3838</v>
      </c>
      <c r="B46" s="565" t="s">
        <v>606</v>
      </c>
      <c r="C46" s="565"/>
      <c r="D46" s="557">
        <v>203513.54</v>
      </c>
      <c r="E46" s="557">
        <v>15823.91</v>
      </c>
      <c r="F46" s="557">
        <v>0</v>
      </c>
      <c r="G46" s="557">
        <v>219337.45</v>
      </c>
      <c r="H46" s="557">
        <v>199669.67</v>
      </c>
      <c r="I46" s="557">
        <v>0</v>
      </c>
      <c r="J46" s="557">
        <v>199669.67</v>
      </c>
      <c r="K46" s="557">
        <v>0</v>
      </c>
      <c r="L46" s="557">
        <v>19667.78</v>
      </c>
    </row>
    <row r="47" spans="1:12" ht="11.45" customHeight="1">
      <c r="A47" s="85">
        <v>3839</v>
      </c>
      <c r="B47" s="565" t="s">
        <v>607</v>
      </c>
      <c r="C47" s="565"/>
      <c r="D47" s="557">
        <v>101756.75</v>
      </c>
      <c r="E47" s="557">
        <v>7911.97</v>
      </c>
      <c r="F47" s="557">
        <v>0</v>
      </c>
      <c r="G47" s="557">
        <v>109668.72</v>
      </c>
      <c r="H47" s="557">
        <v>0</v>
      </c>
      <c r="I47" s="557">
        <v>0</v>
      </c>
      <c r="J47" s="557">
        <v>0</v>
      </c>
      <c r="K47" s="557">
        <v>0</v>
      </c>
      <c r="L47" s="557">
        <v>109668.72</v>
      </c>
    </row>
    <row r="48" spans="1:12" ht="11.45" customHeight="1">
      <c r="A48" s="85">
        <v>3841</v>
      </c>
      <c r="B48" s="565" t="s">
        <v>621</v>
      </c>
      <c r="C48" s="565"/>
      <c r="D48" s="557">
        <v>11566.61</v>
      </c>
      <c r="E48" s="557">
        <v>108.91</v>
      </c>
      <c r="F48" s="557">
        <v>0</v>
      </c>
      <c r="G48" s="557">
        <v>11675.52</v>
      </c>
      <c r="H48" s="557">
        <v>0</v>
      </c>
      <c r="I48" s="557">
        <v>10400</v>
      </c>
      <c r="J48" s="557">
        <v>10400</v>
      </c>
      <c r="K48" s="557">
        <v>0</v>
      </c>
      <c r="L48" s="557">
        <v>1275.52</v>
      </c>
    </row>
    <row r="49" spans="1:12" ht="11.45" customHeight="1">
      <c r="A49" s="85">
        <v>3843</v>
      </c>
      <c r="B49" s="565" t="s">
        <v>635</v>
      </c>
      <c r="C49" s="565"/>
      <c r="D49" s="557">
        <v>102402.37</v>
      </c>
      <c r="E49" s="557">
        <v>627594.5</v>
      </c>
      <c r="F49" s="557">
        <v>0</v>
      </c>
      <c r="G49" s="557">
        <v>729996.87</v>
      </c>
      <c r="H49" s="557">
        <v>0</v>
      </c>
      <c r="I49" s="557">
        <v>0</v>
      </c>
      <c r="J49" s="557">
        <v>0</v>
      </c>
      <c r="K49" s="557">
        <v>0</v>
      </c>
      <c r="L49" s="557">
        <v>729996.87</v>
      </c>
    </row>
    <row r="50" spans="1:12" ht="11.45" customHeight="1">
      <c r="A50" s="85">
        <v>3844</v>
      </c>
      <c r="B50" s="565" t="s">
        <v>1186</v>
      </c>
      <c r="C50" s="565"/>
      <c r="D50" s="557">
        <v>0</v>
      </c>
      <c r="E50" s="557">
        <v>309979.93</v>
      </c>
      <c r="F50" s="557">
        <v>0</v>
      </c>
      <c r="G50" s="557">
        <v>309979.93</v>
      </c>
      <c r="H50" s="557">
        <v>0</v>
      </c>
      <c r="I50" s="557">
        <v>0</v>
      </c>
      <c r="J50" s="557">
        <v>0</v>
      </c>
      <c r="K50" s="557">
        <v>0</v>
      </c>
      <c r="L50" s="557">
        <v>309979.93</v>
      </c>
    </row>
    <row r="51" spans="1:12" ht="11.45" customHeight="1">
      <c r="A51" s="85">
        <v>4000</v>
      </c>
      <c r="B51" s="565" t="s">
        <v>524</v>
      </c>
      <c r="C51" s="565"/>
      <c r="D51" s="557">
        <v>8.92</v>
      </c>
      <c r="E51" s="557">
        <v>0</v>
      </c>
      <c r="F51" s="557">
        <v>0</v>
      </c>
      <c r="G51" s="557">
        <v>8.92</v>
      </c>
      <c r="H51" s="557">
        <v>0</v>
      </c>
      <c r="I51" s="557">
        <v>0</v>
      </c>
      <c r="J51" s="557">
        <v>0</v>
      </c>
      <c r="K51" s="557">
        <v>0</v>
      </c>
      <c r="L51" s="557">
        <v>8.92</v>
      </c>
    </row>
    <row r="52" spans="1:12" ht="11.45" customHeight="1">
      <c r="A52" s="85">
        <v>4001</v>
      </c>
      <c r="B52" s="565" t="s">
        <v>525</v>
      </c>
      <c r="C52" s="565"/>
      <c r="D52" s="557">
        <v>2573.62</v>
      </c>
      <c r="E52" s="557">
        <v>271892.06</v>
      </c>
      <c r="F52" s="557">
        <v>0</v>
      </c>
      <c r="G52" s="557">
        <v>274465.68</v>
      </c>
      <c r="H52" s="557">
        <v>160499</v>
      </c>
      <c r="I52" s="557">
        <v>260.48</v>
      </c>
      <c r="J52" s="557">
        <v>160759.48000000001</v>
      </c>
      <c r="K52" s="557">
        <v>0</v>
      </c>
      <c r="L52" s="557">
        <v>113706.2</v>
      </c>
    </row>
    <row r="53" spans="1:12" ht="11.45" customHeight="1">
      <c r="A53" s="85">
        <v>4011</v>
      </c>
      <c r="B53" s="565" t="s">
        <v>526</v>
      </c>
      <c r="C53" s="565"/>
      <c r="D53" s="557">
        <v>432726.35</v>
      </c>
      <c r="E53" s="557">
        <v>270114.09000000003</v>
      </c>
      <c r="F53" s="557">
        <v>0</v>
      </c>
      <c r="G53" s="557">
        <v>702840.44</v>
      </c>
      <c r="H53" s="557">
        <v>688451.85</v>
      </c>
      <c r="I53" s="557">
        <v>320.02999999999997</v>
      </c>
      <c r="J53" s="557">
        <v>688771.88</v>
      </c>
      <c r="K53" s="557">
        <v>0</v>
      </c>
      <c r="L53" s="557">
        <v>14068.56</v>
      </c>
    </row>
    <row r="54" spans="1:12" ht="11.45" customHeight="1">
      <c r="A54" s="85">
        <v>4030</v>
      </c>
      <c r="B54" s="565" t="s">
        <v>527</v>
      </c>
      <c r="C54" s="565"/>
      <c r="D54" s="557">
        <v>12.44</v>
      </c>
      <c r="E54" s="557">
        <v>0</v>
      </c>
      <c r="F54" s="557">
        <v>0</v>
      </c>
      <c r="G54" s="557">
        <v>12.44</v>
      </c>
      <c r="H54" s="557">
        <v>0</v>
      </c>
      <c r="I54" s="557">
        <v>0</v>
      </c>
      <c r="J54" s="557">
        <v>0</v>
      </c>
      <c r="K54" s="557">
        <v>0</v>
      </c>
      <c r="L54" s="557">
        <v>12.44</v>
      </c>
    </row>
    <row r="55" spans="1:12" ht="11.45" customHeight="1">
      <c r="A55" s="85">
        <v>4050</v>
      </c>
      <c r="B55" s="565" t="s">
        <v>528</v>
      </c>
      <c r="C55" s="565"/>
      <c r="D55" s="557">
        <v>222837.41</v>
      </c>
      <c r="E55" s="557">
        <v>366419.48</v>
      </c>
      <c r="F55" s="557">
        <v>0</v>
      </c>
      <c r="G55" s="557">
        <v>589256.89</v>
      </c>
      <c r="H55" s="557">
        <v>476060.49</v>
      </c>
      <c r="I55" s="557">
        <v>2150</v>
      </c>
      <c r="J55" s="557">
        <v>478210.49</v>
      </c>
      <c r="K55" s="557">
        <v>0</v>
      </c>
      <c r="L55" s="557">
        <v>111046.39999999999</v>
      </c>
    </row>
    <row r="56" spans="1:12" ht="11.45" customHeight="1">
      <c r="A56" s="85">
        <v>4051</v>
      </c>
      <c r="B56" s="565" t="s">
        <v>529</v>
      </c>
      <c r="C56" s="565"/>
      <c r="D56" s="557">
        <v>510.57</v>
      </c>
      <c r="E56" s="557">
        <v>46.68</v>
      </c>
      <c r="F56" s="557">
        <v>0</v>
      </c>
      <c r="G56" s="557">
        <v>557.25</v>
      </c>
      <c r="H56" s="557">
        <v>0</v>
      </c>
      <c r="I56" s="557">
        <v>0</v>
      </c>
      <c r="J56" s="557">
        <v>0</v>
      </c>
      <c r="K56" s="557">
        <v>0</v>
      </c>
      <c r="L56" s="557">
        <v>557.25</v>
      </c>
    </row>
    <row r="57" spans="1:12" ht="11.45" customHeight="1">
      <c r="A57" s="85">
        <v>4080</v>
      </c>
      <c r="B57" s="565" t="s">
        <v>530</v>
      </c>
      <c r="C57" s="565"/>
      <c r="D57" s="557">
        <v>49.53</v>
      </c>
      <c r="E57" s="557">
        <v>0</v>
      </c>
      <c r="F57" s="557">
        <v>0</v>
      </c>
      <c r="G57" s="557">
        <v>49.53</v>
      </c>
      <c r="H57" s="557">
        <v>0</v>
      </c>
      <c r="I57" s="557">
        <v>0</v>
      </c>
      <c r="J57" s="557">
        <v>0</v>
      </c>
      <c r="K57" s="557">
        <v>0</v>
      </c>
      <c r="L57" s="557">
        <v>49.53</v>
      </c>
    </row>
    <row r="58" spans="1:12" ht="11.45" customHeight="1">
      <c r="A58" s="85">
        <v>4090</v>
      </c>
      <c r="B58" s="565" t="s">
        <v>531</v>
      </c>
      <c r="C58" s="565"/>
      <c r="D58" s="557">
        <v>313240.15000000002</v>
      </c>
      <c r="E58" s="557">
        <v>306332.67</v>
      </c>
      <c r="F58" s="557">
        <v>0</v>
      </c>
      <c r="G58" s="557">
        <v>619572.81999999995</v>
      </c>
      <c r="H58" s="557">
        <v>531558.89</v>
      </c>
      <c r="I58" s="557">
        <v>101.44</v>
      </c>
      <c r="J58" s="557">
        <v>531660.32999999996</v>
      </c>
      <c r="K58" s="557">
        <v>0</v>
      </c>
      <c r="L58" s="557">
        <v>87912.49</v>
      </c>
    </row>
    <row r="59" spans="1:12" ht="11.45" customHeight="1">
      <c r="A59" s="85">
        <v>4160</v>
      </c>
      <c r="B59" s="565" t="s">
        <v>532</v>
      </c>
      <c r="C59" s="565"/>
      <c r="D59" s="557">
        <v>132444.79999999999</v>
      </c>
      <c r="E59" s="557">
        <v>6705.06</v>
      </c>
      <c r="F59" s="557">
        <v>0</v>
      </c>
      <c r="G59" s="557">
        <v>139149.85999999999</v>
      </c>
      <c r="H59" s="557">
        <v>136375.82</v>
      </c>
      <c r="I59" s="557">
        <v>0</v>
      </c>
      <c r="J59" s="557">
        <v>136375.82</v>
      </c>
      <c r="K59" s="557">
        <v>0</v>
      </c>
      <c r="L59" s="557">
        <v>2774.04</v>
      </c>
    </row>
    <row r="60" spans="1:12" ht="11.45" customHeight="1">
      <c r="A60" s="85">
        <v>4170</v>
      </c>
      <c r="B60" s="565" t="s">
        <v>533</v>
      </c>
      <c r="C60" s="565"/>
      <c r="D60" s="557">
        <v>15744.22</v>
      </c>
      <c r="E60" s="557">
        <v>102550.28</v>
      </c>
      <c r="F60" s="557">
        <v>0</v>
      </c>
      <c r="G60" s="557">
        <v>118294.5</v>
      </c>
      <c r="H60" s="557">
        <v>114329.43</v>
      </c>
      <c r="I60" s="557">
        <v>7609.93</v>
      </c>
      <c r="J60" s="557">
        <v>121939.36</v>
      </c>
      <c r="K60" s="557">
        <v>0</v>
      </c>
      <c r="L60" s="557">
        <v>-3644.86</v>
      </c>
    </row>
    <row r="61" spans="1:12" ht="11.45" customHeight="1">
      <c r="A61" s="85">
        <v>4190</v>
      </c>
      <c r="B61" s="565" t="s">
        <v>534</v>
      </c>
      <c r="C61" s="565"/>
      <c r="D61" s="557">
        <v>3309.38</v>
      </c>
      <c r="E61" s="557">
        <v>302.87</v>
      </c>
      <c r="F61" s="557">
        <v>0</v>
      </c>
      <c r="G61" s="557">
        <v>3612.25</v>
      </c>
      <c r="H61" s="557">
        <v>0</v>
      </c>
      <c r="I61" s="557">
        <v>0</v>
      </c>
      <c r="J61" s="557">
        <v>0</v>
      </c>
      <c r="K61" s="557">
        <v>0</v>
      </c>
      <c r="L61" s="557">
        <v>3612.25</v>
      </c>
    </row>
    <row r="62" spans="1:12" ht="11.45" customHeight="1">
      <c r="A62" s="85">
        <v>4220</v>
      </c>
      <c r="B62" s="565" t="s">
        <v>535</v>
      </c>
      <c r="C62" s="565"/>
      <c r="D62" s="557">
        <v>61068.87</v>
      </c>
      <c r="E62" s="557">
        <v>120498.47</v>
      </c>
      <c r="F62" s="557">
        <v>0</v>
      </c>
      <c r="G62" s="557">
        <v>181567.34</v>
      </c>
      <c r="H62" s="557">
        <v>191482.65</v>
      </c>
      <c r="I62" s="557">
        <v>574.89</v>
      </c>
      <c r="J62" s="557">
        <v>192057.54</v>
      </c>
      <c r="K62" s="557">
        <v>0</v>
      </c>
      <c r="L62" s="557">
        <v>-10490.2</v>
      </c>
    </row>
    <row r="63" spans="1:12" ht="11.45" customHeight="1">
      <c r="A63" s="85">
        <v>4234</v>
      </c>
      <c r="B63" s="565" t="s">
        <v>536</v>
      </c>
      <c r="C63" s="565"/>
      <c r="D63" s="557">
        <v>69.73</v>
      </c>
      <c r="E63" s="557">
        <v>0</v>
      </c>
      <c r="F63" s="557">
        <v>0</v>
      </c>
      <c r="G63" s="557">
        <v>69.73</v>
      </c>
      <c r="H63" s="557">
        <v>0</v>
      </c>
      <c r="I63" s="557">
        <v>0</v>
      </c>
      <c r="J63" s="557">
        <v>0</v>
      </c>
      <c r="K63" s="557">
        <v>0</v>
      </c>
      <c r="L63" s="557">
        <v>69.73</v>
      </c>
    </row>
    <row r="64" spans="1:12" ht="11.45" customHeight="1">
      <c r="A64" s="85">
        <v>4270</v>
      </c>
      <c r="B64" s="565" t="s">
        <v>537</v>
      </c>
      <c r="C64" s="565"/>
      <c r="D64" s="557">
        <v>506.95</v>
      </c>
      <c r="E64" s="557">
        <v>46.42</v>
      </c>
      <c r="F64" s="557">
        <v>0</v>
      </c>
      <c r="G64" s="557">
        <v>553.37</v>
      </c>
      <c r="H64" s="557">
        <v>0</v>
      </c>
      <c r="I64" s="557">
        <v>261.87</v>
      </c>
      <c r="J64" s="557">
        <v>261.87</v>
      </c>
      <c r="K64" s="557">
        <v>0</v>
      </c>
      <c r="L64" s="557">
        <v>291.5</v>
      </c>
    </row>
    <row r="65" spans="1:12" ht="11.45" customHeight="1">
      <c r="A65" s="85">
        <v>4290</v>
      </c>
      <c r="B65" s="565" t="s">
        <v>538</v>
      </c>
      <c r="C65" s="565"/>
      <c r="D65" s="557">
        <v>33.24</v>
      </c>
      <c r="E65" s="557">
        <v>0</v>
      </c>
      <c r="F65" s="557">
        <v>0</v>
      </c>
      <c r="G65" s="557">
        <v>33.24</v>
      </c>
      <c r="H65" s="557">
        <v>0</v>
      </c>
      <c r="I65" s="557">
        <v>0</v>
      </c>
      <c r="J65" s="557">
        <v>0</v>
      </c>
      <c r="K65" s="557">
        <v>0</v>
      </c>
      <c r="L65" s="557">
        <v>33.24</v>
      </c>
    </row>
    <row r="66" spans="1:12" ht="11.45" customHeight="1">
      <c r="A66" s="85">
        <v>4292</v>
      </c>
      <c r="B66" s="565" t="s">
        <v>539</v>
      </c>
      <c r="C66" s="565"/>
      <c r="D66" s="557">
        <v>51604.53</v>
      </c>
      <c r="E66" s="557">
        <v>4722.7299999999996</v>
      </c>
      <c r="F66" s="557">
        <v>0</v>
      </c>
      <c r="G66" s="557">
        <v>56327.26</v>
      </c>
      <c r="H66" s="557">
        <v>55788</v>
      </c>
      <c r="I66" s="557">
        <v>0</v>
      </c>
      <c r="J66" s="557">
        <v>55788</v>
      </c>
      <c r="K66" s="557">
        <v>0</v>
      </c>
      <c r="L66" s="557">
        <v>539.26</v>
      </c>
    </row>
    <row r="67" spans="1:12" ht="11.45" customHeight="1">
      <c r="A67" s="85">
        <v>4293</v>
      </c>
      <c r="B67" s="565" t="s">
        <v>540</v>
      </c>
      <c r="C67" s="565"/>
      <c r="D67" s="557">
        <v>2427.89</v>
      </c>
      <c r="E67" s="557">
        <v>222.21</v>
      </c>
      <c r="F67" s="557">
        <v>0</v>
      </c>
      <c r="G67" s="557">
        <v>2650.1</v>
      </c>
      <c r="H67" s="557">
        <v>0</v>
      </c>
      <c r="I67" s="557">
        <v>0</v>
      </c>
      <c r="J67" s="557">
        <v>0</v>
      </c>
      <c r="K67" s="557">
        <v>0</v>
      </c>
      <c r="L67" s="557">
        <v>2650.1</v>
      </c>
    </row>
    <row r="68" spans="1:12" ht="11.45" customHeight="1">
      <c r="A68" s="85">
        <v>4294</v>
      </c>
      <c r="B68" s="565" t="s">
        <v>541</v>
      </c>
      <c r="C68" s="565"/>
      <c r="D68" s="557">
        <v>7294.84</v>
      </c>
      <c r="E68" s="557">
        <v>667.62</v>
      </c>
      <c r="F68" s="557">
        <v>0</v>
      </c>
      <c r="G68" s="557">
        <v>7962.46</v>
      </c>
      <c r="H68" s="557">
        <v>0</v>
      </c>
      <c r="I68" s="557">
        <v>203.76</v>
      </c>
      <c r="J68" s="557">
        <v>203.76</v>
      </c>
      <c r="K68" s="557">
        <v>0</v>
      </c>
      <c r="L68" s="557">
        <v>7758.7</v>
      </c>
    </row>
    <row r="69" spans="1:12" ht="11.45" customHeight="1">
      <c r="A69" s="85">
        <v>4295</v>
      </c>
      <c r="B69" s="565" t="s">
        <v>542</v>
      </c>
      <c r="C69" s="565"/>
      <c r="D69" s="557">
        <v>69461.37</v>
      </c>
      <c r="E69" s="557">
        <v>2226.2399999999998</v>
      </c>
      <c r="F69" s="557">
        <v>0</v>
      </c>
      <c r="G69" s="557">
        <v>71687.61</v>
      </c>
      <c r="H69" s="557">
        <v>0</v>
      </c>
      <c r="I69" s="557">
        <v>66479.460000000006</v>
      </c>
      <c r="J69" s="557">
        <v>66479.460000000006</v>
      </c>
      <c r="K69" s="557">
        <v>0</v>
      </c>
      <c r="L69" s="557">
        <v>5208.1499999999996</v>
      </c>
    </row>
    <row r="70" spans="1:12" ht="11.45" customHeight="1">
      <c r="A70" s="85">
        <v>4297</v>
      </c>
      <c r="B70" s="565" t="s">
        <v>664</v>
      </c>
      <c r="C70" s="565"/>
      <c r="D70" s="557">
        <v>0</v>
      </c>
      <c r="E70" s="557">
        <v>51635.56</v>
      </c>
      <c r="F70" s="557">
        <v>0</v>
      </c>
      <c r="G70" s="557">
        <v>51635.56</v>
      </c>
      <c r="H70" s="557">
        <v>49999</v>
      </c>
      <c r="I70" s="557">
        <v>0</v>
      </c>
      <c r="J70" s="557">
        <v>49999</v>
      </c>
      <c r="K70" s="557">
        <v>0</v>
      </c>
      <c r="L70" s="557">
        <v>1636.56</v>
      </c>
    </row>
    <row r="71" spans="1:12" ht="11.45" customHeight="1">
      <c r="A71" s="85">
        <v>4500</v>
      </c>
      <c r="B71" s="565" t="s">
        <v>543</v>
      </c>
      <c r="C71" s="565"/>
      <c r="D71" s="557">
        <v>1054909.3799999999</v>
      </c>
      <c r="E71" s="557">
        <v>3718100.15</v>
      </c>
      <c r="F71" s="557">
        <v>0</v>
      </c>
      <c r="G71" s="557">
        <v>4773009.53</v>
      </c>
      <c r="H71" s="557">
        <v>4215532.82</v>
      </c>
      <c r="I71" s="557">
        <v>214684.59</v>
      </c>
      <c r="J71" s="557">
        <v>4430217.41</v>
      </c>
      <c r="K71" s="557">
        <v>0</v>
      </c>
      <c r="L71" s="557">
        <v>342792.12</v>
      </c>
    </row>
    <row r="72" spans="1:12" ht="11.45" customHeight="1">
      <c r="A72" s="85">
        <v>4501</v>
      </c>
      <c r="B72" s="565" t="s">
        <v>544</v>
      </c>
      <c r="C72" s="565"/>
      <c r="D72" s="557">
        <v>44945.33</v>
      </c>
      <c r="E72" s="557">
        <v>798612.12</v>
      </c>
      <c r="F72" s="557">
        <v>0</v>
      </c>
      <c r="G72" s="557">
        <v>843557.45</v>
      </c>
      <c r="H72" s="557">
        <v>719967.7</v>
      </c>
      <c r="I72" s="557">
        <v>38517.449999999997</v>
      </c>
      <c r="J72" s="557">
        <v>758485.15</v>
      </c>
      <c r="K72" s="557">
        <v>0</v>
      </c>
      <c r="L72" s="557">
        <v>85072.3</v>
      </c>
    </row>
    <row r="73" spans="1:12" ht="11.45" customHeight="1">
      <c r="A73" s="85">
        <v>4502</v>
      </c>
      <c r="B73" s="565" t="s">
        <v>545</v>
      </c>
      <c r="C73" s="565"/>
      <c r="D73" s="557">
        <v>97004.35</v>
      </c>
      <c r="E73" s="557">
        <v>122464.18</v>
      </c>
      <c r="F73" s="557">
        <v>0</v>
      </c>
      <c r="G73" s="557">
        <v>219468.53</v>
      </c>
      <c r="H73" s="557">
        <v>132065.76</v>
      </c>
      <c r="I73" s="557">
        <v>36800.65</v>
      </c>
      <c r="J73" s="557">
        <v>168866.41</v>
      </c>
      <c r="K73" s="557">
        <v>0</v>
      </c>
      <c r="L73" s="557">
        <v>50602.12</v>
      </c>
    </row>
    <row r="74" spans="1:12" ht="11.45" customHeight="1">
      <c r="A74" s="85">
        <v>4503</v>
      </c>
      <c r="B74" s="565" t="s">
        <v>546</v>
      </c>
      <c r="C74" s="565"/>
      <c r="D74" s="557">
        <v>114958.1</v>
      </c>
      <c r="E74" s="557">
        <v>214731.16</v>
      </c>
      <c r="F74" s="557">
        <v>0</v>
      </c>
      <c r="G74" s="557">
        <v>329689.26</v>
      </c>
      <c r="H74" s="557">
        <v>314814.25</v>
      </c>
      <c r="I74" s="557">
        <v>1743.4</v>
      </c>
      <c r="J74" s="557">
        <v>316557.65000000002</v>
      </c>
      <c r="K74" s="557">
        <v>0</v>
      </c>
      <c r="L74" s="557">
        <v>13131.61</v>
      </c>
    </row>
    <row r="75" spans="1:12" ht="11.45" customHeight="1">
      <c r="A75" s="85">
        <v>4504</v>
      </c>
      <c r="B75" s="565" t="s">
        <v>547</v>
      </c>
      <c r="C75" s="565"/>
      <c r="D75" s="557">
        <v>56450.81</v>
      </c>
      <c r="E75" s="557">
        <v>10692.57</v>
      </c>
      <c r="F75" s="557">
        <v>0</v>
      </c>
      <c r="G75" s="557">
        <v>67143.38</v>
      </c>
      <c r="H75" s="557">
        <v>1708.2</v>
      </c>
      <c r="I75" s="557">
        <v>392.8</v>
      </c>
      <c r="J75" s="557">
        <v>2101</v>
      </c>
      <c r="K75" s="557">
        <v>0</v>
      </c>
      <c r="L75" s="557">
        <v>65042.38</v>
      </c>
    </row>
    <row r="76" spans="1:12" ht="11.45" customHeight="1">
      <c r="A76" s="85">
        <v>4505</v>
      </c>
      <c r="B76" s="565" t="s">
        <v>548</v>
      </c>
      <c r="C76" s="565"/>
      <c r="D76" s="557">
        <v>787329.99</v>
      </c>
      <c r="E76" s="557">
        <v>518734.47</v>
      </c>
      <c r="F76" s="557">
        <v>0</v>
      </c>
      <c r="G76" s="557">
        <v>1306064.46</v>
      </c>
      <c r="H76" s="557">
        <v>207417.29</v>
      </c>
      <c r="I76" s="557">
        <v>282916.65999999997</v>
      </c>
      <c r="J76" s="557">
        <v>490333.95</v>
      </c>
      <c r="K76" s="557">
        <v>0</v>
      </c>
      <c r="L76" s="557">
        <v>815730.51</v>
      </c>
    </row>
    <row r="77" spans="1:12" ht="11.45" customHeight="1">
      <c r="A77" s="85">
        <v>4506</v>
      </c>
      <c r="B77" s="565" t="s">
        <v>549</v>
      </c>
      <c r="C77" s="565"/>
      <c r="D77" s="557">
        <v>14175.24</v>
      </c>
      <c r="E77" s="557">
        <v>255362.21</v>
      </c>
      <c r="F77" s="557">
        <v>0</v>
      </c>
      <c r="G77" s="557">
        <v>269537.45</v>
      </c>
      <c r="H77" s="557">
        <v>0</v>
      </c>
      <c r="I77" s="557">
        <v>14005.63</v>
      </c>
      <c r="J77" s="557">
        <v>14005.63</v>
      </c>
      <c r="K77" s="557">
        <v>0</v>
      </c>
      <c r="L77" s="557">
        <v>255531.82</v>
      </c>
    </row>
    <row r="78" spans="1:12" ht="11.45" customHeight="1">
      <c r="A78" s="85">
        <v>4507</v>
      </c>
      <c r="B78" s="565" t="s">
        <v>550</v>
      </c>
      <c r="C78" s="565"/>
      <c r="D78" s="557">
        <v>311.81</v>
      </c>
      <c r="E78" s="557">
        <v>63.26</v>
      </c>
      <c r="F78" s="557">
        <v>0</v>
      </c>
      <c r="G78" s="557">
        <v>375.07</v>
      </c>
      <c r="H78" s="557">
        <v>0</v>
      </c>
      <c r="I78" s="557">
        <v>0</v>
      </c>
      <c r="J78" s="557">
        <v>0</v>
      </c>
      <c r="K78" s="557">
        <v>0</v>
      </c>
      <c r="L78" s="557">
        <v>375.07</v>
      </c>
    </row>
    <row r="79" spans="1:12" ht="11.45" customHeight="1">
      <c r="A79" s="85">
        <v>4509</v>
      </c>
      <c r="B79" s="565" t="s">
        <v>551</v>
      </c>
      <c r="C79" s="565"/>
      <c r="D79" s="557">
        <v>92042.33</v>
      </c>
      <c r="E79" s="557">
        <v>7157.56</v>
      </c>
      <c r="F79" s="557">
        <v>0</v>
      </c>
      <c r="G79" s="557">
        <v>99199.89</v>
      </c>
      <c r="H79" s="557">
        <v>0</v>
      </c>
      <c r="I79" s="557">
        <v>0</v>
      </c>
      <c r="J79" s="557">
        <v>0</v>
      </c>
      <c r="K79" s="557">
        <v>0</v>
      </c>
      <c r="L79" s="557">
        <v>99199.89</v>
      </c>
    </row>
    <row r="80" spans="1:12" ht="11.45" customHeight="1">
      <c r="A80">
        <v>4510</v>
      </c>
      <c r="B80" t="s">
        <v>608</v>
      </c>
      <c r="D80" s="558">
        <v>0</v>
      </c>
      <c r="E80" s="558">
        <v>0</v>
      </c>
      <c r="F80" s="558">
        <v>0</v>
      </c>
      <c r="G80" s="558">
        <v>0</v>
      </c>
      <c r="H80" s="558">
        <v>0</v>
      </c>
      <c r="I80" s="558">
        <v>1990</v>
      </c>
      <c r="J80" s="558">
        <v>1990</v>
      </c>
      <c r="K80" s="558">
        <v>0</v>
      </c>
      <c r="L80" s="558">
        <v>-1990</v>
      </c>
    </row>
    <row r="81" spans="1:12">
      <c r="A81" s="564">
        <v>4511</v>
      </c>
      <c r="B81" s="564" t="s">
        <v>552</v>
      </c>
      <c r="C81" s="564"/>
      <c r="D81" s="559">
        <v>23964.31</v>
      </c>
      <c r="E81" s="559">
        <v>407.95</v>
      </c>
      <c r="F81" s="559">
        <v>0</v>
      </c>
      <c r="G81" s="559">
        <v>24372.26</v>
      </c>
      <c r="H81" s="559">
        <v>16129.99</v>
      </c>
      <c r="I81" s="559">
        <v>6697.06</v>
      </c>
      <c r="J81" s="559">
        <v>22827.05</v>
      </c>
      <c r="K81" s="559">
        <v>0</v>
      </c>
      <c r="L81" s="559">
        <v>1545.21</v>
      </c>
    </row>
    <row r="82" spans="1:12" ht="11.45" customHeight="1">
      <c r="A82">
        <v>4512</v>
      </c>
      <c r="B82" t="s">
        <v>553</v>
      </c>
      <c r="D82" s="558">
        <v>17781.099999999999</v>
      </c>
      <c r="E82" s="558">
        <v>1326.56</v>
      </c>
      <c r="F82" s="558">
        <v>0</v>
      </c>
      <c r="G82" s="558">
        <v>19107.66</v>
      </c>
      <c r="H82" s="558">
        <v>0</v>
      </c>
      <c r="I82" s="558">
        <v>0</v>
      </c>
      <c r="J82" s="558">
        <v>0</v>
      </c>
      <c r="K82" s="558">
        <v>0</v>
      </c>
      <c r="L82" s="558">
        <v>19107.66</v>
      </c>
    </row>
    <row r="83" spans="1:12">
      <c r="A83">
        <v>4710</v>
      </c>
      <c r="B83" t="s">
        <v>609</v>
      </c>
      <c r="D83" s="558">
        <v>0</v>
      </c>
      <c r="E83" s="558">
        <v>0</v>
      </c>
      <c r="F83" s="558">
        <v>0</v>
      </c>
      <c r="G83" s="558">
        <v>0</v>
      </c>
      <c r="H83" s="558">
        <v>0</v>
      </c>
      <c r="I83" s="558">
        <v>467</v>
      </c>
      <c r="J83" s="558">
        <v>467</v>
      </c>
      <c r="K83" s="558">
        <v>0</v>
      </c>
      <c r="L83" s="558">
        <v>-467</v>
      </c>
    </row>
    <row r="84" spans="1:12">
      <c r="A84">
        <v>4931</v>
      </c>
      <c r="B84" t="s">
        <v>540</v>
      </c>
      <c r="D84" s="558">
        <v>0</v>
      </c>
      <c r="E84" s="558">
        <v>0</v>
      </c>
      <c r="F84" s="558">
        <v>0</v>
      </c>
      <c r="G84" s="558">
        <v>0</v>
      </c>
      <c r="H84" s="558">
        <v>0</v>
      </c>
      <c r="I84" s="558">
        <v>1170.02</v>
      </c>
      <c r="J84" s="558">
        <v>1170.02</v>
      </c>
      <c r="K84" s="558">
        <v>0</v>
      </c>
      <c r="L84" s="558">
        <v>-1170.02</v>
      </c>
    </row>
    <row r="85" spans="1:12">
      <c r="A85">
        <v>4986</v>
      </c>
      <c r="B85" t="s">
        <v>554</v>
      </c>
      <c r="D85" s="558">
        <v>136.38999999999999</v>
      </c>
      <c r="E85" s="558">
        <v>0</v>
      </c>
      <c r="F85" s="558">
        <v>0</v>
      </c>
      <c r="G85" s="558">
        <v>136.38999999999999</v>
      </c>
      <c r="H85" s="558">
        <v>0</v>
      </c>
      <c r="I85" s="558">
        <v>0</v>
      </c>
      <c r="J85" s="558">
        <v>0</v>
      </c>
      <c r="K85" s="558">
        <v>0</v>
      </c>
      <c r="L85" s="558">
        <v>136.38999999999999</v>
      </c>
    </row>
    <row r="86" spans="1:12">
      <c r="A86">
        <v>8001</v>
      </c>
      <c r="B86" t="s">
        <v>555</v>
      </c>
      <c r="D86" s="558">
        <v>1014219.93</v>
      </c>
      <c r="E86" s="558">
        <v>0</v>
      </c>
      <c r="F86" s="558">
        <v>0</v>
      </c>
      <c r="G86" s="558">
        <v>1014219.93</v>
      </c>
      <c r="H86" s="558">
        <v>0</v>
      </c>
      <c r="I86" s="558">
        <v>0</v>
      </c>
      <c r="J86" s="558">
        <v>0</v>
      </c>
      <c r="K86" s="558">
        <v>0</v>
      </c>
      <c r="L86" s="558">
        <v>1014219.93</v>
      </c>
    </row>
    <row r="87" spans="1:12">
      <c r="A87">
        <v>8024</v>
      </c>
      <c r="B87" t="s">
        <v>556</v>
      </c>
      <c r="D87" s="558">
        <v>390.63</v>
      </c>
      <c r="E87" s="558">
        <v>0</v>
      </c>
      <c r="F87" s="558">
        <v>0</v>
      </c>
      <c r="G87" s="558">
        <v>390.63</v>
      </c>
      <c r="H87" s="558">
        <v>0</v>
      </c>
      <c r="I87" s="558">
        <v>0</v>
      </c>
      <c r="J87" s="558">
        <v>0</v>
      </c>
      <c r="K87" s="558">
        <v>0</v>
      </c>
      <c r="L87" s="558">
        <v>390.63</v>
      </c>
    </row>
    <row r="88" spans="1:12">
      <c r="A88">
        <v>8050</v>
      </c>
      <c r="B88" t="s">
        <v>557</v>
      </c>
      <c r="D88" s="558">
        <v>822088.43</v>
      </c>
      <c r="E88" s="558">
        <v>0</v>
      </c>
      <c r="F88" s="558">
        <v>0</v>
      </c>
      <c r="G88" s="558">
        <v>822088.43</v>
      </c>
      <c r="H88" s="558">
        <v>0</v>
      </c>
      <c r="I88" s="558">
        <v>0</v>
      </c>
      <c r="J88" s="558">
        <v>0</v>
      </c>
      <c r="K88" s="558">
        <v>0</v>
      </c>
      <c r="L88" s="558">
        <v>822088.43</v>
      </c>
    </row>
    <row r="90" spans="1:12">
      <c r="A90" t="s">
        <v>177</v>
      </c>
      <c r="D90" s="352">
        <v>62432940.880000003</v>
      </c>
      <c r="E90" s="352">
        <v>143908127.09999999</v>
      </c>
      <c r="F90" s="352">
        <v>3949440.82</v>
      </c>
      <c r="G90" s="352">
        <v>210290508.80000001</v>
      </c>
      <c r="H90" s="352">
        <v>146517691.12</v>
      </c>
      <c r="I90" s="352">
        <v>28481864.460000001</v>
      </c>
      <c r="J90" s="352">
        <v>174999555.58000001</v>
      </c>
      <c r="K90" s="352">
        <v>3949440.82</v>
      </c>
      <c r="L90" s="558">
        <v>31341512.399999999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L85"/>
  <sheetViews>
    <sheetView workbookViewId="0">
      <selection activeCell="A3" sqref="A3"/>
    </sheetView>
  </sheetViews>
  <sheetFormatPr defaultColWidth="11.5703125" defaultRowHeight="15"/>
  <cols>
    <col min="4" max="5" width="12.42578125" customWidth="1"/>
    <col min="6" max="6" width="10.42578125" customWidth="1"/>
    <col min="7" max="9" width="12.42578125" customWidth="1"/>
    <col min="11" max="11" width="11.42578125" customWidth="1"/>
    <col min="12" max="12" width="13.42578125" customWidth="1"/>
  </cols>
  <sheetData>
    <row r="1" spans="1:12" ht="11.45" customHeight="1">
      <c r="A1" s="186" t="s">
        <v>479</v>
      </c>
    </row>
    <row r="2" spans="1:12" ht="11.45" customHeight="1">
      <c r="A2" s="186" t="s">
        <v>1671</v>
      </c>
    </row>
    <row r="4" spans="1:12" ht="11.45" customHeight="1">
      <c r="A4" s="186" t="s">
        <v>480</v>
      </c>
      <c r="C4" s="563" t="s">
        <v>481</v>
      </c>
    </row>
    <row r="6" spans="1:12" ht="11.45" customHeight="1">
      <c r="D6" s="566" t="s">
        <v>482</v>
      </c>
      <c r="E6" s="566" t="s">
        <v>483</v>
      </c>
      <c r="F6" s="566" t="s">
        <v>484</v>
      </c>
      <c r="G6" s="566" t="s">
        <v>485</v>
      </c>
      <c r="H6" s="566" t="s">
        <v>486</v>
      </c>
      <c r="I6" s="566" t="s">
        <v>487</v>
      </c>
      <c r="J6" s="566" t="s">
        <v>488</v>
      </c>
      <c r="K6" s="566" t="s">
        <v>489</v>
      </c>
      <c r="L6" s="566" t="s">
        <v>490</v>
      </c>
    </row>
    <row r="7" spans="1:12" ht="11.45" customHeight="1">
      <c r="A7" s="556" t="s">
        <v>491</v>
      </c>
      <c r="D7" s="566"/>
      <c r="E7" s="566"/>
      <c r="F7" s="566"/>
      <c r="G7" s="566"/>
      <c r="H7" s="566"/>
      <c r="I7" s="566"/>
      <c r="J7" s="566"/>
      <c r="K7" s="566"/>
      <c r="L7" s="566"/>
    </row>
    <row r="8" spans="1:12" ht="11.45" customHeight="1">
      <c r="A8" s="85">
        <v>1</v>
      </c>
      <c r="B8" s="565" t="s">
        <v>492</v>
      </c>
      <c r="C8" s="565"/>
      <c r="D8" s="557">
        <v>7665003.0800000001</v>
      </c>
      <c r="E8" s="557">
        <v>48736937.350000001</v>
      </c>
      <c r="F8" s="557">
        <v>3949440.82</v>
      </c>
      <c r="G8" s="557">
        <v>60351381.25</v>
      </c>
      <c r="H8" s="557">
        <v>39746596.259999998</v>
      </c>
      <c r="I8" s="557">
        <v>145729.32999999999</v>
      </c>
      <c r="J8" s="557">
        <v>39892325.590000004</v>
      </c>
      <c r="K8" s="557">
        <v>3949440.82</v>
      </c>
      <c r="L8" s="557">
        <v>16509614.84</v>
      </c>
    </row>
    <row r="9" spans="1:12" ht="11.45" customHeight="1">
      <c r="A9" s="85">
        <v>20</v>
      </c>
      <c r="B9" s="565" t="s">
        <v>493</v>
      </c>
      <c r="C9" s="565"/>
      <c r="D9" s="557">
        <v>18946.099999999999</v>
      </c>
      <c r="E9" s="557">
        <v>6879254.5999999996</v>
      </c>
      <c r="F9" s="557">
        <v>0</v>
      </c>
      <c r="G9" s="557">
        <v>6898200.7000000002</v>
      </c>
      <c r="H9" s="557">
        <v>9828935.9100000001</v>
      </c>
      <c r="I9" s="557">
        <v>646275.41</v>
      </c>
      <c r="J9" s="557">
        <v>10475211.32</v>
      </c>
      <c r="K9" s="557">
        <v>0</v>
      </c>
      <c r="L9" s="557">
        <v>-3577010.62</v>
      </c>
    </row>
    <row r="10" spans="1:12" ht="11.45" customHeight="1">
      <c r="A10" s="85">
        <v>31</v>
      </c>
      <c r="B10" s="565" t="s">
        <v>494</v>
      </c>
      <c r="C10" s="565"/>
      <c r="D10" s="557">
        <v>1604648.06</v>
      </c>
      <c r="E10" s="557">
        <v>23548807.75</v>
      </c>
      <c r="F10" s="557">
        <v>0</v>
      </c>
      <c r="G10" s="557">
        <v>25153455.809999999</v>
      </c>
      <c r="H10" s="557">
        <v>25585242.300000001</v>
      </c>
      <c r="I10" s="557">
        <v>148252.46</v>
      </c>
      <c r="J10" s="557">
        <v>25733494.760000002</v>
      </c>
      <c r="K10" s="557">
        <v>0</v>
      </c>
      <c r="L10" s="557">
        <v>-580038.94999999995</v>
      </c>
    </row>
    <row r="11" spans="1:12" ht="11.45" customHeight="1">
      <c r="A11" s="85">
        <v>40</v>
      </c>
      <c r="B11" s="565" t="s">
        <v>495</v>
      </c>
      <c r="C11" s="565"/>
      <c r="D11" s="557">
        <v>430232.87</v>
      </c>
      <c r="E11" s="557">
        <v>11076108.710000001</v>
      </c>
      <c r="F11" s="557">
        <v>0</v>
      </c>
      <c r="G11" s="557">
        <v>11506341.58</v>
      </c>
      <c r="H11" s="557">
        <v>19471640.59</v>
      </c>
      <c r="I11" s="557">
        <v>9635.52</v>
      </c>
      <c r="J11" s="557">
        <v>19481276.109999999</v>
      </c>
      <c r="K11" s="557">
        <v>0</v>
      </c>
      <c r="L11" s="557">
        <v>-7974934.5300000003</v>
      </c>
    </row>
    <row r="12" spans="1:12" ht="11.45" customHeight="1">
      <c r="A12" s="85">
        <v>50</v>
      </c>
      <c r="B12" s="565" t="s">
        <v>496</v>
      </c>
      <c r="C12" s="565"/>
      <c r="D12" s="557">
        <v>40962798.229999997</v>
      </c>
      <c r="E12" s="557">
        <v>33413163.789999999</v>
      </c>
      <c r="F12" s="557">
        <v>0</v>
      </c>
      <c r="G12" s="557">
        <v>74375962.019999996</v>
      </c>
      <c r="H12" s="557">
        <v>24499566.550000001</v>
      </c>
      <c r="I12" s="557">
        <v>9800</v>
      </c>
      <c r="J12" s="557">
        <v>24509366.550000001</v>
      </c>
      <c r="K12" s="557">
        <v>0</v>
      </c>
      <c r="L12" s="557">
        <v>49866595.469999999</v>
      </c>
    </row>
    <row r="13" spans="1:12" ht="11.45" customHeight="1">
      <c r="A13" s="85">
        <v>900</v>
      </c>
      <c r="B13" s="565" t="s">
        <v>497</v>
      </c>
      <c r="C13" s="565"/>
      <c r="D13" s="557">
        <v>4.5</v>
      </c>
      <c r="E13" s="557">
        <v>0</v>
      </c>
      <c r="F13" s="557">
        <v>0</v>
      </c>
      <c r="G13" s="557">
        <v>4.5</v>
      </c>
      <c r="H13" s="557">
        <v>0</v>
      </c>
      <c r="I13" s="557">
        <v>0</v>
      </c>
      <c r="J13" s="557">
        <v>0</v>
      </c>
      <c r="K13" s="557">
        <v>0</v>
      </c>
      <c r="L13" s="557">
        <v>4.5</v>
      </c>
    </row>
    <row r="14" spans="1:12" ht="11.45" customHeight="1">
      <c r="A14" s="85">
        <v>1022</v>
      </c>
      <c r="B14" s="565" t="s">
        <v>498</v>
      </c>
      <c r="C14" s="565"/>
      <c r="D14" s="557">
        <v>105438.31</v>
      </c>
      <c r="E14" s="557">
        <v>367843.9</v>
      </c>
      <c r="F14" s="557">
        <v>0</v>
      </c>
      <c r="G14" s="557">
        <v>473282.21</v>
      </c>
      <c r="H14" s="557">
        <v>206935.67</v>
      </c>
      <c r="I14" s="557">
        <v>0</v>
      </c>
      <c r="J14" s="557">
        <v>206935.67</v>
      </c>
      <c r="K14" s="557">
        <v>0</v>
      </c>
      <c r="L14" s="557">
        <v>266346.53999999998</v>
      </c>
    </row>
    <row r="15" spans="1:12" ht="11.45" customHeight="1">
      <c r="A15" s="85">
        <v>1023</v>
      </c>
      <c r="B15" s="565" t="s">
        <v>499</v>
      </c>
      <c r="C15" s="565"/>
      <c r="D15" s="557">
        <v>1412415.94</v>
      </c>
      <c r="E15" s="557">
        <v>1752773.25</v>
      </c>
      <c r="F15" s="557">
        <v>0</v>
      </c>
      <c r="G15" s="557">
        <v>3165189.19</v>
      </c>
      <c r="H15" s="557">
        <v>1777964.57</v>
      </c>
      <c r="I15" s="557">
        <v>1056</v>
      </c>
      <c r="J15" s="557">
        <v>1779020.57</v>
      </c>
      <c r="K15" s="557">
        <v>0</v>
      </c>
      <c r="L15" s="557">
        <v>1386168.62</v>
      </c>
    </row>
    <row r="16" spans="1:12" ht="11.45" customHeight="1">
      <c r="A16" s="85">
        <v>1024</v>
      </c>
      <c r="B16" s="565" t="s">
        <v>500</v>
      </c>
      <c r="C16" s="565"/>
      <c r="D16" s="557">
        <v>259261.06</v>
      </c>
      <c r="E16" s="557">
        <v>83045.399999999994</v>
      </c>
      <c r="F16" s="557">
        <v>0</v>
      </c>
      <c r="G16" s="557">
        <v>342306.46</v>
      </c>
      <c r="H16" s="557">
        <v>351124.96</v>
      </c>
      <c r="I16" s="557">
        <v>0</v>
      </c>
      <c r="J16" s="557">
        <v>351124.96</v>
      </c>
      <c r="K16" s="557">
        <v>0</v>
      </c>
      <c r="L16" s="557">
        <v>-8818.5</v>
      </c>
    </row>
    <row r="17" spans="1:12" ht="11.45" customHeight="1">
      <c r="A17" s="85">
        <v>1025</v>
      </c>
      <c r="B17" s="565" t="s">
        <v>501</v>
      </c>
      <c r="C17" s="565"/>
      <c r="D17" s="557">
        <v>1260117.1399999999</v>
      </c>
      <c r="E17" s="557">
        <v>96505.52</v>
      </c>
      <c r="F17" s="557">
        <v>0</v>
      </c>
      <c r="G17" s="557">
        <v>1356622.66</v>
      </c>
      <c r="H17" s="557">
        <v>735637.87</v>
      </c>
      <c r="I17" s="557">
        <v>0</v>
      </c>
      <c r="J17" s="557">
        <v>735637.87</v>
      </c>
      <c r="K17" s="557">
        <v>0</v>
      </c>
      <c r="L17" s="557">
        <v>620984.79</v>
      </c>
    </row>
    <row r="18" spans="1:12" ht="11.45" customHeight="1">
      <c r="A18" s="85">
        <v>1026</v>
      </c>
      <c r="B18" s="565" t="s">
        <v>502</v>
      </c>
      <c r="C18" s="565"/>
      <c r="D18" s="557">
        <v>544140.11</v>
      </c>
      <c r="E18" s="557">
        <v>2543159.2599999998</v>
      </c>
      <c r="F18" s="557">
        <v>0</v>
      </c>
      <c r="G18" s="557">
        <v>3087299.37</v>
      </c>
      <c r="H18" s="557">
        <v>2743837.5</v>
      </c>
      <c r="I18" s="557">
        <v>0</v>
      </c>
      <c r="J18" s="557">
        <v>2743837.5</v>
      </c>
      <c r="K18" s="557">
        <v>0</v>
      </c>
      <c r="L18" s="557">
        <v>343461.87</v>
      </c>
    </row>
    <row r="19" spans="1:12" ht="11.45" customHeight="1">
      <c r="A19" s="85">
        <v>1031</v>
      </c>
      <c r="B19" s="565" t="s">
        <v>503</v>
      </c>
      <c r="C19" s="565"/>
      <c r="D19" s="557">
        <v>13981.08</v>
      </c>
      <c r="E19" s="557">
        <v>1090.51</v>
      </c>
      <c r="F19" s="557">
        <v>0</v>
      </c>
      <c r="G19" s="557">
        <v>15071.59</v>
      </c>
      <c r="H19" s="557">
        <v>0</v>
      </c>
      <c r="I19" s="557">
        <v>0</v>
      </c>
      <c r="J19" s="557">
        <v>0</v>
      </c>
      <c r="K19" s="557">
        <v>0</v>
      </c>
      <c r="L19" s="557">
        <v>15071.59</v>
      </c>
    </row>
    <row r="20" spans="1:12" ht="11.45" customHeight="1">
      <c r="A20" s="85">
        <v>1101</v>
      </c>
      <c r="B20" s="565" t="s">
        <v>504</v>
      </c>
      <c r="C20" s="565"/>
      <c r="D20" s="557">
        <v>1175.71</v>
      </c>
      <c r="E20" s="557">
        <v>112.38</v>
      </c>
      <c r="F20" s="557">
        <v>0</v>
      </c>
      <c r="G20" s="557">
        <v>1288.0899999999999</v>
      </c>
      <c r="H20" s="557">
        <v>0</v>
      </c>
      <c r="I20" s="557">
        <v>0</v>
      </c>
      <c r="J20" s="557">
        <v>0</v>
      </c>
      <c r="K20" s="557">
        <v>0</v>
      </c>
      <c r="L20" s="557">
        <v>1288.0899999999999</v>
      </c>
    </row>
    <row r="21" spans="1:12" ht="11.45" customHeight="1">
      <c r="A21" s="85">
        <v>1103</v>
      </c>
      <c r="B21" s="565" t="s">
        <v>505</v>
      </c>
      <c r="C21" s="565"/>
      <c r="D21" s="557">
        <v>4658.99</v>
      </c>
      <c r="E21" s="557">
        <v>41113.339999999997</v>
      </c>
      <c r="F21" s="557">
        <v>0</v>
      </c>
      <c r="G21" s="557">
        <v>45772.33</v>
      </c>
      <c r="H21" s="557">
        <v>60962.11</v>
      </c>
      <c r="I21" s="557">
        <v>1468.7</v>
      </c>
      <c r="J21" s="557">
        <v>62430.81</v>
      </c>
      <c r="K21" s="557">
        <v>0</v>
      </c>
      <c r="L21" s="557">
        <v>-16658.48</v>
      </c>
    </row>
    <row r="22" spans="1:12" ht="11.45" customHeight="1">
      <c r="A22" s="85">
        <v>1121</v>
      </c>
      <c r="B22" s="565" t="s">
        <v>506</v>
      </c>
      <c r="C22" s="565"/>
      <c r="D22" s="557">
        <v>380189.47</v>
      </c>
      <c r="E22" s="557">
        <v>319813.42</v>
      </c>
      <c r="F22" s="557">
        <v>0</v>
      </c>
      <c r="G22" s="557">
        <v>700002.89</v>
      </c>
      <c r="H22" s="557">
        <v>297778.92</v>
      </c>
      <c r="I22" s="557">
        <v>2085</v>
      </c>
      <c r="J22" s="557">
        <v>299863.92</v>
      </c>
      <c r="K22" s="557">
        <v>0</v>
      </c>
      <c r="L22" s="557">
        <v>400138.97</v>
      </c>
    </row>
    <row r="23" spans="1:12" ht="11.45" customHeight="1">
      <c r="A23" s="85">
        <v>1122</v>
      </c>
      <c r="B23" s="565" t="s">
        <v>507</v>
      </c>
      <c r="C23" s="565"/>
      <c r="D23" s="557">
        <v>52142.09</v>
      </c>
      <c r="E23" s="557">
        <v>15170.03</v>
      </c>
      <c r="F23" s="557">
        <v>0</v>
      </c>
      <c r="G23" s="557">
        <v>67312.12</v>
      </c>
      <c r="H23" s="557">
        <v>0</v>
      </c>
      <c r="I23" s="557">
        <v>0</v>
      </c>
      <c r="J23" s="557">
        <v>0</v>
      </c>
      <c r="K23" s="557">
        <v>0</v>
      </c>
      <c r="L23" s="557">
        <v>67312.12</v>
      </c>
    </row>
    <row r="24" spans="1:12" ht="11.45" customHeight="1">
      <c r="A24" s="85">
        <v>1124</v>
      </c>
      <c r="B24" s="565" t="s">
        <v>508</v>
      </c>
      <c r="C24" s="565"/>
      <c r="D24" s="557">
        <v>75682.350000000006</v>
      </c>
      <c r="E24" s="557">
        <v>63652.87</v>
      </c>
      <c r="F24" s="557">
        <v>0</v>
      </c>
      <c r="G24" s="557">
        <v>139335.22</v>
      </c>
      <c r="H24" s="557">
        <v>23840.63</v>
      </c>
      <c r="I24" s="557">
        <v>0</v>
      </c>
      <c r="J24" s="557">
        <v>23840.63</v>
      </c>
      <c r="K24" s="557">
        <v>0</v>
      </c>
      <c r="L24" s="557">
        <v>115494.59</v>
      </c>
    </row>
    <row r="25" spans="1:12" ht="11.45" customHeight="1">
      <c r="A25" s="85">
        <v>1180</v>
      </c>
      <c r="B25" s="565" t="s">
        <v>509</v>
      </c>
      <c r="C25" s="565"/>
      <c r="D25" s="557">
        <v>19.98</v>
      </c>
      <c r="E25" s="557">
        <v>0</v>
      </c>
      <c r="F25" s="557">
        <v>0</v>
      </c>
      <c r="G25" s="557">
        <v>19.98</v>
      </c>
      <c r="H25" s="557">
        <v>0</v>
      </c>
      <c r="I25" s="557">
        <v>0</v>
      </c>
      <c r="J25" s="557">
        <v>0</v>
      </c>
      <c r="K25" s="557">
        <v>0</v>
      </c>
      <c r="L25" s="557">
        <v>19.98</v>
      </c>
    </row>
    <row r="26" spans="1:12" ht="11.45" customHeight="1">
      <c r="A26" s="85">
        <v>1181</v>
      </c>
      <c r="B26" s="565" t="s">
        <v>510</v>
      </c>
      <c r="C26" s="565"/>
      <c r="D26" s="557">
        <v>164.88</v>
      </c>
      <c r="E26" s="557">
        <v>12.82</v>
      </c>
      <c r="F26" s="557">
        <v>0</v>
      </c>
      <c r="G26" s="557">
        <v>177.7</v>
      </c>
      <c r="H26" s="557">
        <v>0</v>
      </c>
      <c r="I26" s="557">
        <v>0</v>
      </c>
      <c r="J26" s="557">
        <v>0</v>
      </c>
      <c r="K26" s="557">
        <v>0</v>
      </c>
      <c r="L26" s="557">
        <v>177.7</v>
      </c>
    </row>
    <row r="27" spans="1:12" ht="11.45" customHeight="1">
      <c r="A27" s="85">
        <v>1182</v>
      </c>
      <c r="B27" s="565" t="s">
        <v>511</v>
      </c>
      <c r="C27" s="565"/>
      <c r="D27" s="557">
        <v>73.89</v>
      </c>
      <c r="E27" s="557">
        <v>20452.27</v>
      </c>
      <c r="F27" s="557">
        <v>0</v>
      </c>
      <c r="G27" s="557">
        <v>20526.16</v>
      </c>
      <c r="H27" s="557">
        <v>7296.29</v>
      </c>
      <c r="I27" s="557">
        <v>0</v>
      </c>
      <c r="J27" s="557">
        <v>7296.29</v>
      </c>
      <c r="K27" s="557">
        <v>0</v>
      </c>
      <c r="L27" s="557">
        <v>13229.87</v>
      </c>
    </row>
    <row r="28" spans="1:12" ht="11.45" customHeight="1">
      <c r="A28" s="85">
        <v>1184</v>
      </c>
      <c r="B28" s="565" t="s">
        <v>512</v>
      </c>
      <c r="C28" s="565"/>
      <c r="D28" s="557">
        <v>41867.129999999997</v>
      </c>
      <c r="E28" s="557">
        <v>1303301.03</v>
      </c>
      <c r="F28" s="557">
        <v>0</v>
      </c>
      <c r="G28" s="557">
        <v>1345168.16</v>
      </c>
      <c r="H28" s="557">
        <v>556152.42000000004</v>
      </c>
      <c r="I28" s="557">
        <v>0</v>
      </c>
      <c r="J28" s="557">
        <v>556152.42000000004</v>
      </c>
      <c r="K28" s="557">
        <v>0</v>
      </c>
      <c r="L28" s="557">
        <v>789015.74</v>
      </c>
    </row>
    <row r="29" spans="1:12" ht="11.45" customHeight="1">
      <c r="A29" s="85">
        <v>1186</v>
      </c>
      <c r="B29" s="565" t="s">
        <v>513</v>
      </c>
      <c r="C29" s="565"/>
      <c r="D29" s="557">
        <v>196526.39</v>
      </c>
      <c r="E29" s="557">
        <v>442105.49</v>
      </c>
      <c r="F29" s="557">
        <v>0</v>
      </c>
      <c r="G29" s="557">
        <v>638631.88</v>
      </c>
      <c r="H29" s="557">
        <v>202998.84</v>
      </c>
      <c r="I29" s="557">
        <v>0</v>
      </c>
      <c r="J29" s="557">
        <v>202998.84</v>
      </c>
      <c r="K29" s="557">
        <v>0</v>
      </c>
      <c r="L29" s="557">
        <v>435633.04</v>
      </c>
    </row>
    <row r="30" spans="1:12" ht="11.45" customHeight="1">
      <c r="A30" s="85">
        <v>1187</v>
      </c>
      <c r="B30" s="565" t="s">
        <v>514</v>
      </c>
      <c r="C30" s="565"/>
      <c r="D30" s="557">
        <v>28.83</v>
      </c>
      <c r="E30" s="557">
        <v>0.02</v>
      </c>
      <c r="F30" s="557">
        <v>0</v>
      </c>
      <c r="G30" s="557">
        <v>28.85</v>
      </c>
      <c r="H30" s="557">
        <v>0</v>
      </c>
      <c r="I30" s="557">
        <v>0</v>
      </c>
      <c r="J30" s="557">
        <v>0</v>
      </c>
      <c r="K30" s="557">
        <v>0</v>
      </c>
      <c r="L30" s="557">
        <v>28.85</v>
      </c>
    </row>
    <row r="31" spans="1:12" ht="11.45" customHeight="1">
      <c r="A31" s="85">
        <v>1188</v>
      </c>
      <c r="B31" s="565" t="s">
        <v>515</v>
      </c>
      <c r="C31" s="565"/>
      <c r="D31" s="557">
        <v>63288.26</v>
      </c>
      <c r="E31" s="557">
        <v>3159.29</v>
      </c>
      <c r="F31" s="557">
        <v>0</v>
      </c>
      <c r="G31" s="557">
        <v>66447.55</v>
      </c>
      <c r="H31" s="557">
        <v>44752.83</v>
      </c>
      <c r="I31" s="557">
        <v>0</v>
      </c>
      <c r="J31" s="557">
        <v>44752.83</v>
      </c>
      <c r="K31" s="557">
        <v>0</v>
      </c>
      <c r="L31" s="557">
        <v>21694.720000000001</v>
      </c>
    </row>
    <row r="32" spans="1:12" ht="11.45" customHeight="1">
      <c r="A32" s="85">
        <v>1190</v>
      </c>
      <c r="B32" s="565" t="s">
        <v>516</v>
      </c>
      <c r="C32" s="565"/>
      <c r="D32" s="557">
        <v>147.55000000000001</v>
      </c>
      <c r="E32" s="557">
        <v>28363.16</v>
      </c>
      <c r="F32" s="557">
        <v>0</v>
      </c>
      <c r="G32" s="557">
        <v>28510.71</v>
      </c>
      <c r="H32" s="557">
        <v>18000</v>
      </c>
      <c r="I32" s="557">
        <v>0</v>
      </c>
      <c r="J32" s="557">
        <v>18000</v>
      </c>
      <c r="K32" s="557">
        <v>0</v>
      </c>
      <c r="L32" s="557">
        <v>10510.71</v>
      </c>
    </row>
    <row r="33" spans="1:12" ht="11.45" customHeight="1">
      <c r="A33" s="85">
        <v>1500</v>
      </c>
      <c r="B33" s="565" t="s">
        <v>143</v>
      </c>
      <c r="C33" s="565"/>
      <c r="D33" s="557">
        <v>1029371</v>
      </c>
      <c r="E33" s="557">
        <v>4582762.33</v>
      </c>
      <c r="F33" s="557">
        <v>0</v>
      </c>
      <c r="G33" s="557">
        <v>5612133.3300000001</v>
      </c>
      <c r="H33" s="557">
        <v>2753559.47</v>
      </c>
      <c r="I33" s="557">
        <v>0</v>
      </c>
      <c r="J33" s="557">
        <v>2753559.47</v>
      </c>
      <c r="K33" s="557">
        <v>0</v>
      </c>
      <c r="L33" s="557">
        <v>2858573.86</v>
      </c>
    </row>
    <row r="34" spans="1:12" ht="11.45" customHeight="1">
      <c r="A34" s="85">
        <v>3804</v>
      </c>
      <c r="B34" s="565" t="s">
        <v>663</v>
      </c>
      <c r="C34" s="565"/>
      <c r="D34" s="557">
        <v>0</v>
      </c>
      <c r="E34" s="557">
        <v>213833.38</v>
      </c>
      <c r="F34" s="557">
        <v>0</v>
      </c>
      <c r="G34" s="557">
        <v>213833.38</v>
      </c>
      <c r="H34" s="557">
        <v>0</v>
      </c>
      <c r="I34" s="557">
        <v>0</v>
      </c>
      <c r="J34" s="557">
        <v>0</v>
      </c>
      <c r="K34" s="557">
        <v>0</v>
      </c>
      <c r="L34" s="557">
        <v>213833.38</v>
      </c>
    </row>
    <row r="35" spans="1:12" ht="11.45" customHeight="1">
      <c r="A35" s="85">
        <v>3812</v>
      </c>
      <c r="B35" s="565" t="s">
        <v>517</v>
      </c>
      <c r="C35" s="565"/>
      <c r="D35" s="557">
        <v>43500.69</v>
      </c>
      <c r="E35" s="557">
        <v>4158.18</v>
      </c>
      <c r="F35" s="557">
        <v>0</v>
      </c>
      <c r="G35" s="557">
        <v>47658.87</v>
      </c>
      <c r="H35" s="557">
        <v>0</v>
      </c>
      <c r="I35" s="557">
        <v>0</v>
      </c>
      <c r="J35" s="557">
        <v>0</v>
      </c>
      <c r="K35" s="557">
        <v>0</v>
      </c>
      <c r="L35" s="557">
        <v>47658.87</v>
      </c>
    </row>
    <row r="36" spans="1:12" ht="11.45" customHeight="1">
      <c r="A36" s="85">
        <v>3813</v>
      </c>
      <c r="B36" s="565" t="s">
        <v>518</v>
      </c>
      <c r="C36" s="565"/>
      <c r="D36" s="557">
        <v>9374.4699999999993</v>
      </c>
      <c r="E36" s="557">
        <v>762.72</v>
      </c>
      <c r="F36" s="557">
        <v>0</v>
      </c>
      <c r="G36" s="557">
        <v>10137.19</v>
      </c>
      <c r="H36" s="557">
        <v>0</v>
      </c>
      <c r="I36" s="557">
        <v>0</v>
      </c>
      <c r="J36" s="557">
        <v>0</v>
      </c>
      <c r="K36" s="557">
        <v>0</v>
      </c>
      <c r="L36" s="557">
        <v>10137.19</v>
      </c>
    </row>
    <row r="37" spans="1:12" ht="11.45" customHeight="1">
      <c r="A37" s="85">
        <v>3814</v>
      </c>
      <c r="B37" s="565" t="s">
        <v>620</v>
      </c>
      <c r="C37" s="565"/>
      <c r="D37" s="557">
        <v>143250</v>
      </c>
      <c r="E37" s="557">
        <v>5438.13</v>
      </c>
      <c r="F37" s="557">
        <v>0</v>
      </c>
      <c r="G37" s="557">
        <v>148688.13</v>
      </c>
      <c r="H37" s="557">
        <v>93104.71</v>
      </c>
      <c r="I37" s="557">
        <v>0</v>
      </c>
      <c r="J37" s="557">
        <v>93104.71</v>
      </c>
      <c r="K37" s="557">
        <v>0</v>
      </c>
      <c r="L37" s="557">
        <v>55583.42</v>
      </c>
    </row>
    <row r="38" spans="1:12" ht="11.45" customHeight="1">
      <c r="A38" s="85">
        <v>3818</v>
      </c>
      <c r="B38" s="565" t="s">
        <v>1185</v>
      </c>
      <c r="C38" s="565"/>
      <c r="D38" s="557">
        <v>0</v>
      </c>
      <c r="E38" s="557">
        <v>71843.66</v>
      </c>
      <c r="F38" s="557">
        <v>0</v>
      </c>
      <c r="G38" s="557">
        <v>71843.66</v>
      </c>
      <c r="H38" s="557">
        <v>0</v>
      </c>
      <c r="I38" s="557">
        <v>0</v>
      </c>
      <c r="J38" s="557">
        <v>0</v>
      </c>
      <c r="K38" s="557">
        <v>0</v>
      </c>
      <c r="L38" s="557">
        <v>71843.66</v>
      </c>
    </row>
    <row r="39" spans="1:12" ht="11.45" customHeight="1">
      <c r="A39" s="85">
        <v>3821</v>
      </c>
      <c r="B39" s="565" t="s">
        <v>1187</v>
      </c>
      <c r="C39" s="565"/>
      <c r="D39" s="557">
        <v>0</v>
      </c>
      <c r="E39" s="557">
        <v>0</v>
      </c>
      <c r="F39" s="557">
        <v>0</v>
      </c>
      <c r="G39" s="557">
        <v>0</v>
      </c>
      <c r="H39" s="557">
        <v>1530000</v>
      </c>
      <c r="I39" s="557">
        <v>0</v>
      </c>
      <c r="J39" s="557">
        <v>1530000</v>
      </c>
      <c r="K39" s="557">
        <v>0</v>
      </c>
      <c r="L39" s="557">
        <v>-1530000</v>
      </c>
    </row>
    <row r="40" spans="1:12" ht="11.45" customHeight="1">
      <c r="A40" s="85">
        <v>3822</v>
      </c>
      <c r="B40" s="565" t="s">
        <v>520</v>
      </c>
      <c r="C40" s="565"/>
      <c r="D40" s="557">
        <v>7703.93</v>
      </c>
      <c r="E40" s="557">
        <v>0</v>
      </c>
      <c r="F40" s="557">
        <v>0</v>
      </c>
      <c r="G40" s="557">
        <v>7703.93</v>
      </c>
      <c r="H40" s="557">
        <v>6794.76</v>
      </c>
      <c r="I40" s="557">
        <v>0</v>
      </c>
      <c r="J40" s="557">
        <v>6794.76</v>
      </c>
      <c r="K40" s="557">
        <v>0</v>
      </c>
      <c r="L40" s="557">
        <v>909.17</v>
      </c>
    </row>
    <row r="41" spans="1:12" ht="11.45" customHeight="1">
      <c r="A41" s="85">
        <v>3831</v>
      </c>
      <c r="B41" s="565" t="s">
        <v>521</v>
      </c>
      <c r="C41" s="565"/>
      <c r="D41" s="557">
        <v>85937.78</v>
      </c>
      <c r="E41" s="557">
        <v>125890.45</v>
      </c>
      <c r="F41" s="557">
        <v>0</v>
      </c>
      <c r="G41" s="557">
        <v>211828.23</v>
      </c>
      <c r="H41" s="557">
        <v>0</v>
      </c>
      <c r="I41" s="557">
        <v>73229.710000000006</v>
      </c>
      <c r="J41" s="557">
        <v>73229.710000000006</v>
      </c>
      <c r="K41" s="557">
        <v>0</v>
      </c>
      <c r="L41" s="557">
        <v>138598.51999999999</v>
      </c>
    </row>
    <row r="42" spans="1:12" ht="11.45" customHeight="1">
      <c r="A42" s="85">
        <v>3832</v>
      </c>
      <c r="B42" s="565" t="s">
        <v>522</v>
      </c>
      <c r="C42" s="565"/>
      <c r="D42" s="557">
        <v>143175.21</v>
      </c>
      <c r="E42" s="557">
        <v>474.61</v>
      </c>
      <c r="F42" s="557">
        <v>0</v>
      </c>
      <c r="G42" s="557">
        <v>143649.82</v>
      </c>
      <c r="H42" s="557">
        <v>2607.86</v>
      </c>
      <c r="I42" s="557">
        <v>0</v>
      </c>
      <c r="J42" s="557">
        <v>2607.86</v>
      </c>
      <c r="K42" s="557">
        <v>0</v>
      </c>
      <c r="L42" s="557">
        <v>141041.96</v>
      </c>
    </row>
    <row r="43" spans="1:12" ht="11.45" customHeight="1">
      <c r="A43" s="85">
        <v>3833</v>
      </c>
      <c r="B43" s="565" t="s">
        <v>523</v>
      </c>
      <c r="C43" s="565"/>
      <c r="D43" s="557">
        <v>1803.59</v>
      </c>
      <c r="E43" s="557">
        <v>53563.63</v>
      </c>
      <c r="F43" s="557">
        <v>0</v>
      </c>
      <c r="G43" s="557">
        <v>55367.22</v>
      </c>
      <c r="H43" s="557">
        <v>0</v>
      </c>
      <c r="I43" s="557">
        <v>52694.07</v>
      </c>
      <c r="J43" s="557">
        <v>52694.07</v>
      </c>
      <c r="K43" s="557">
        <v>0</v>
      </c>
      <c r="L43" s="557">
        <v>2673.15</v>
      </c>
    </row>
    <row r="44" spans="1:12" ht="11.45" customHeight="1">
      <c r="A44" s="85">
        <v>3838</v>
      </c>
      <c r="B44" s="565" t="s">
        <v>606</v>
      </c>
      <c r="C44" s="565"/>
      <c r="D44" s="557">
        <v>203513.54</v>
      </c>
      <c r="E44" s="557">
        <v>15823.91</v>
      </c>
      <c r="F44" s="557">
        <v>0</v>
      </c>
      <c r="G44" s="557">
        <v>219337.45</v>
      </c>
      <c r="H44" s="557">
        <v>0</v>
      </c>
      <c r="I44" s="557">
        <v>0</v>
      </c>
      <c r="J44" s="557">
        <v>0</v>
      </c>
      <c r="K44" s="557">
        <v>0</v>
      </c>
      <c r="L44" s="557">
        <v>219337.45</v>
      </c>
    </row>
    <row r="45" spans="1:12" ht="11.45" customHeight="1">
      <c r="A45" s="85">
        <v>3839</v>
      </c>
      <c r="B45" s="565" t="s">
        <v>607</v>
      </c>
      <c r="C45" s="565"/>
      <c r="D45" s="557">
        <v>101756.75</v>
      </c>
      <c r="E45" s="557">
        <v>7911.97</v>
      </c>
      <c r="F45" s="557">
        <v>0</v>
      </c>
      <c r="G45" s="557">
        <v>109668.72</v>
      </c>
      <c r="H45" s="557">
        <v>0</v>
      </c>
      <c r="I45" s="557">
        <v>0</v>
      </c>
      <c r="J45" s="557">
        <v>0</v>
      </c>
      <c r="K45" s="557">
        <v>0</v>
      </c>
      <c r="L45" s="557">
        <v>109668.72</v>
      </c>
    </row>
    <row r="46" spans="1:12" ht="11.45" customHeight="1">
      <c r="A46" s="85">
        <v>3841</v>
      </c>
      <c r="B46" s="565" t="s">
        <v>621</v>
      </c>
      <c r="C46" s="565"/>
      <c r="D46" s="557">
        <v>11566.61</v>
      </c>
      <c r="E46" s="557">
        <v>108.91</v>
      </c>
      <c r="F46" s="557">
        <v>0</v>
      </c>
      <c r="G46" s="557">
        <v>11675.52</v>
      </c>
      <c r="H46" s="557">
        <v>0</v>
      </c>
      <c r="I46" s="557">
        <v>0</v>
      </c>
      <c r="J46" s="557">
        <v>0</v>
      </c>
      <c r="K46" s="557">
        <v>0</v>
      </c>
      <c r="L46" s="557">
        <v>11675.52</v>
      </c>
    </row>
    <row r="47" spans="1:12" ht="11.45" customHeight="1">
      <c r="A47" s="85">
        <v>3843</v>
      </c>
      <c r="B47" s="565" t="s">
        <v>635</v>
      </c>
      <c r="C47" s="565"/>
      <c r="D47" s="557">
        <v>102402.37</v>
      </c>
      <c r="E47" s="557">
        <v>627594.5</v>
      </c>
      <c r="F47" s="557">
        <v>0</v>
      </c>
      <c r="G47" s="557">
        <v>729996.87</v>
      </c>
      <c r="H47" s="557">
        <v>0</v>
      </c>
      <c r="I47" s="557">
        <v>0</v>
      </c>
      <c r="J47" s="557">
        <v>0</v>
      </c>
      <c r="K47" s="557">
        <v>0</v>
      </c>
      <c r="L47" s="557">
        <v>729996.87</v>
      </c>
    </row>
    <row r="48" spans="1:12" ht="11.45" customHeight="1">
      <c r="A48" s="85">
        <v>3844</v>
      </c>
      <c r="B48" s="565" t="s">
        <v>1186</v>
      </c>
      <c r="C48" s="565"/>
      <c r="D48" s="557">
        <v>0</v>
      </c>
      <c r="E48" s="557">
        <v>309979.93</v>
      </c>
      <c r="F48" s="557">
        <v>0</v>
      </c>
      <c r="G48" s="557">
        <v>309979.93</v>
      </c>
      <c r="H48" s="557">
        <v>0</v>
      </c>
      <c r="I48" s="557">
        <v>0</v>
      </c>
      <c r="J48" s="557">
        <v>0</v>
      </c>
      <c r="K48" s="557">
        <v>0</v>
      </c>
      <c r="L48" s="557">
        <v>309979.93</v>
      </c>
    </row>
    <row r="49" spans="1:12" ht="11.45" customHeight="1">
      <c r="A49" s="85">
        <v>4000</v>
      </c>
      <c r="B49" s="565" t="s">
        <v>524</v>
      </c>
      <c r="C49" s="565"/>
      <c r="D49" s="557">
        <v>8.92</v>
      </c>
      <c r="E49" s="557">
        <v>0</v>
      </c>
      <c r="F49" s="557">
        <v>0</v>
      </c>
      <c r="G49" s="557">
        <v>8.92</v>
      </c>
      <c r="H49" s="557">
        <v>0</v>
      </c>
      <c r="I49" s="557">
        <v>0</v>
      </c>
      <c r="J49" s="557">
        <v>0</v>
      </c>
      <c r="K49" s="557">
        <v>0</v>
      </c>
      <c r="L49" s="557">
        <v>8.92</v>
      </c>
    </row>
    <row r="50" spans="1:12" ht="11.45" customHeight="1">
      <c r="A50" s="85">
        <v>4001</v>
      </c>
      <c r="B50" s="565" t="s">
        <v>525</v>
      </c>
      <c r="C50" s="565"/>
      <c r="D50" s="557">
        <v>2573.62</v>
      </c>
      <c r="E50" s="557">
        <v>271892.06</v>
      </c>
      <c r="F50" s="557">
        <v>0</v>
      </c>
      <c r="G50" s="557">
        <v>274465.68</v>
      </c>
      <c r="H50" s="557">
        <v>136117.93</v>
      </c>
      <c r="I50" s="557">
        <v>0</v>
      </c>
      <c r="J50" s="557">
        <v>136117.93</v>
      </c>
      <c r="K50" s="557">
        <v>0</v>
      </c>
      <c r="L50" s="557">
        <v>138347.75</v>
      </c>
    </row>
    <row r="51" spans="1:12" ht="11.45" customHeight="1">
      <c r="A51" s="85">
        <v>4011</v>
      </c>
      <c r="B51" s="565" t="s">
        <v>526</v>
      </c>
      <c r="C51" s="565"/>
      <c r="D51" s="557">
        <v>432726.35</v>
      </c>
      <c r="E51" s="557">
        <v>270114.09000000003</v>
      </c>
      <c r="F51" s="557">
        <v>0</v>
      </c>
      <c r="G51" s="557">
        <v>702840.44</v>
      </c>
      <c r="H51" s="557">
        <v>688451.85</v>
      </c>
      <c r="I51" s="557">
        <v>0</v>
      </c>
      <c r="J51" s="557">
        <v>688451.85</v>
      </c>
      <c r="K51" s="557">
        <v>0</v>
      </c>
      <c r="L51" s="557">
        <v>14388.59</v>
      </c>
    </row>
    <row r="52" spans="1:12" ht="11.45" customHeight="1">
      <c r="A52" s="85">
        <v>4030</v>
      </c>
      <c r="B52" s="565" t="s">
        <v>527</v>
      </c>
      <c r="C52" s="565"/>
      <c r="D52" s="557">
        <v>12.44</v>
      </c>
      <c r="E52" s="557">
        <v>0</v>
      </c>
      <c r="F52" s="557">
        <v>0</v>
      </c>
      <c r="G52" s="557">
        <v>12.44</v>
      </c>
      <c r="H52" s="557">
        <v>0</v>
      </c>
      <c r="I52" s="557">
        <v>0</v>
      </c>
      <c r="J52" s="557">
        <v>0</v>
      </c>
      <c r="K52" s="557">
        <v>0</v>
      </c>
      <c r="L52" s="557">
        <v>12.44</v>
      </c>
    </row>
    <row r="53" spans="1:12" ht="11.45" customHeight="1">
      <c r="A53" s="85">
        <v>4050</v>
      </c>
      <c r="B53" s="565" t="s">
        <v>528</v>
      </c>
      <c r="C53" s="565"/>
      <c r="D53" s="557">
        <v>222837.41</v>
      </c>
      <c r="E53" s="557">
        <v>366419.48</v>
      </c>
      <c r="F53" s="557">
        <v>0</v>
      </c>
      <c r="G53" s="557">
        <v>589256.89</v>
      </c>
      <c r="H53" s="557">
        <v>374363.43</v>
      </c>
      <c r="I53" s="557">
        <v>0</v>
      </c>
      <c r="J53" s="557">
        <v>374363.43</v>
      </c>
      <c r="K53" s="557">
        <v>0</v>
      </c>
      <c r="L53" s="557">
        <v>214893.46</v>
      </c>
    </row>
    <row r="54" spans="1:12" ht="11.45" customHeight="1">
      <c r="A54" s="85">
        <v>4051</v>
      </c>
      <c r="B54" s="565" t="s">
        <v>529</v>
      </c>
      <c r="C54" s="565"/>
      <c r="D54" s="557">
        <v>510.57</v>
      </c>
      <c r="E54" s="557">
        <v>46.68</v>
      </c>
      <c r="F54" s="557">
        <v>0</v>
      </c>
      <c r="G54" s="557">
        <v>557.25</v>
      </c>
      <c r="H54" s="557">
        <v>0</v>
      </c>
      <c r="I54" s="557">
        <v>0</v>
      </c>
      <c r="J54" s="557">
        <v>0</v>
      </c>
      <c r="K54" s="557">
        <v>0</v>
      </c>
      <c r="L54" s="557">
        <v>557.25</v>
      </c>
    </row>
    <row r="55" spans="1:12" ht="11.45" customHeight="1">
      <c r="A55" s="85">
        <v>4080</v>
      </c>
      <c r="B55" s="565" t="s">
        <v>530</v>
      </c>
      <c r="C55" s="565"/>
      <c r="D55" s="557">
        <v>49.53</v>
      </c>
      <c r="E55" s="557">
        <v>0</v>
      </c>
      <c r="F55" s="557">
        <v>0</v>
      </c>
      <c r="G55" s="557">
        <v>49.53</v>
      </c>
      <c r="H55" s="557">
        <v>0</v>
      </c>
      <c r="I55" s="557">
        <v>0</v>
      </c>
      <c r="J55" s="557">
        <v>0</v>
      </c>
      <c r="K55" s="557">
        <v>0</v>
      </c>
      <c r="L55" s="557">
        <v>49.53</v>
      </c>
    </row>
    <row r="56" spans="1:12" ht="11.45" customHeight="1">
      <c r="A56" s="85">
        <v>4090</v>
      </c>
      <c r="B56" s="565" t="s">
        <v>531</v>
      </c>
      <c r="C56" s="565"/>
      <c r="D56" s="557">
        <v>313240.15000000002</v>
      </c>
      <c r="E56" s="557">
        <v>306332.67</v>
      </c>
      <c r="F56" s="557">
        <v>0</v>
      </c>
      <c r="G56" s="557">
        <v>619572.81999999995</v>
      </c>
      <c r="H56" s="557">
        <v>523053.79</v>
      </c>
      <c r="I56" s="557">
        <v>0</v>
      </c>
      <c r="J56" s="557">
        <v>523053.79</v>
      </c>
      <c r="K56" s="557">
        <v>0</v>
      </c>
      <c r="L56" s="557">
        <v>96519.03</v>
      </c>
    </row>
    <row r="57" spans="1:12" ht="11.45" customHeight="1">
      <c r="A57" s="85">
        <v>4160</v>
      </c>
      <c r="B57" s="565" t="s">
        <v>532</v>
      </c>
      <c r="C57" s="565"/>
      <c r="D57" s="557">
        <v>132444.79999999999</v>
      </c>
      <c r="E57" s="557">
        <v>6705.06</v>
      </c>
      <c r="F57" s="557">
        <v>0</v>
      </c>
      <c r="G57" s="557">
        <v>139149.85999999999</v>
      </c>
      <c r="H57" s="557">
        <v>136375.82</v>
      </c>
      <c r="I57" s="557">
        <v>0</v>
      </c>
      <c r="J57" s="557">
        <v>136375.82</v>
      </c>
      <c r="K57" s="557">
        <v>0</v>
      </c>
      <c r="L57" s="557">
        <v>2774.04</v>
      </c>
    </row>
    <row r="58" spans="1:12" ht="11.45" customHeight="1">
      <c r="A58" s="85">
        <v>4170</v>
      </c>
      <c r="B58" s="565" t="s">
        <v>533</v>
      </c>
      <c r="C58" s="565"/>
      <c r="D58" s="557">
        <v>15744.22</v>
      </c>
      <c r="E58" s="557">
        <v>102550.28</v>
      </c>
      <c r="F58" s="557">
        <v>0</v>
      </c>
      <c r="G58" s="557">
        <v>118294.5</v>
      </c>
      <c r="H58" s="557">
        <v>107084.68</v>
      </c>
      <c r="I58" s="557">
        <v>6510.43</v>
      </c>
      <c r="J58" s="557">
        <v>113595.11</v>
      </c>
      <c r="K58" s="557">
        <v>0</v>
      </c>
      <c r="L58" s="557">
        <v>4699.3900000000003</v>
      </c>
    </row>
    <row r="59" spans="1:12" ht="11.45" customHeight="1">
      <c r="A59" s="85">
        <v>4190</v>
      </c>
      <c r="B59" s="565" t="s">
        <v>534</v>
      </c>
      <c r="C59" s="565"/>
      <c r="D59" s="557">
        <v>3309.38</v>
      </c>
      <c r="E59" s="557">
        <v>302.87</v>
      </c>
      <c r="F59" s="557">
        <v>0</v>
      </c>
      <c r="G59" s="557">
        <v>3612.25</v>
      </c>
      <c r="H59" s="557">
        <v>0</v>
      </c>
      <c r="I59" s="557">
        <v>0</v>
      </c>
      <c r="J59" s="557">
        <v>0</v>
      </c>
      <c r="K59" s="557">
        <v>0</v>
      </c>
      <c r="L59" s="557">
        <v>3612.25</v>
      </c>
    </row>
    <row r="60" spans="1:12" ht="11.45" customHeight="1">
      <c r="A60" s="85">
        <v>4220</v>
      </c>
      <c r="B60" s="565" t="s">
        <v>535</v>
      </c>
      <c r="C60" s="565"/>
      <c r="D60" s="557">
        <v>61068.87</v>
      </c>
      <c r="E60" s="557">
        <v>120498.47</v>
      </c>
      <c r="F60" s="557">
        <v>0</v>
      </c>
      <c r="G60" s="557">
        <v>181567.34</v>
      </c>
      <c r="H60" s="557">
        <v>181972.26</v>
      </c>
      <c r="I60" s="557">
        <v>0</v>
      </c>
      <c r="J60" s="557">
        <v>181972.26</v>
      </c>
      <c r="K60" s="557">
        <v>0</v>
      </c>
      <c r="L60" s="557">
        <v>-404.92</v>
      </c>
    </row>
    <row r="61" spans="1:12" ht="11.45" customHeight="1">
      <c r="A61" s="85">
        <v>4234</v>
      </c>
      <c r="B61" s="565" t="s">
        <v>536</v>
      </c>
      <c r="C61" s="565"/>
      <c r="D61" s="557">
        <v>69.73</v>
      </c>
      <c r="E61" s="557">
        <v>0</v>
      </c>
      <c r="F61" s="557">
        <v>0</v>
      </c>
      <c r="G61" s="557">
        <v>69.73</v>
      </c>
      <c r="H61" s="557">
        <v>0</v>
      </c>
      <c r="I61" s="557">
        <v>0</v>
      </c>
      <c r="J61" s="557">
        <v>0</v>
      </c>
      <c r="K61" s="557">
        <v>0</v>
      </c>
      <c r="L61" s="557">
        <v>69.73</v>
      </c>
    </row>
    <row r="62" spans="1:12" ht="11.45" customHeight="1">
      <c r="A62" s="85">
        <v>4270</v>
      </c>
      <c r="B62" s="565" t="s">
        <v>537</v>
      </c>
      <c r="C62" s="565"/>
      <c r="D62" s="557">
        <v>506.95</v>
      </c>
      <c r="E62" s="557">
        <v>46.42</v>
      </c>
      <c r="F62" s="557">
        <v>0</v>
      </c>
      <c r="G62" s="557">
        <v>553.37</v>
      </c>
      <c r="H62" s="557">
        <v>0</v>
      </c>
      <c r="I62" s="557">
        <v>0</v>
      </c>
      <c r="J62" s="557">
        <v>0</v>
      </c>
      <c r="K62" s="557">
        <v>0</v>
      </c>
      <c r="L62" s="557">
        <v>553.37</v>
      </c>
    </row>
    <row r="63" spans="1:12" ht="11.45" customHeight="1">
      <c r="A63" s="85">
        <v>4290</v>
      </c>
      <c r="B63" s="565" t="s">
        <v>538</v>
      </c>
      <c r="C63" s="565"/>
      <c r="D63" s="557">
        <v>33.24</v>
      </c>
      <c r="E63" s="557">
        <v>0</v>
      </c>
      <c r="F63" s="557">
        <v>0</v>
      </c>
      <c r="G63" s="557">
        <v>33.24</v>
      </c>
      <c r="H63" s="557">
        <v>0</v>
      </c>
      <c r="I63" s="557">
        <v>0</v>
      </c>
      <c r="J63" s="557">
        <v>0</v>
      </c>
      <c r="K63" s="557">
        <v>0</v>
      </c>
      <c r="L63" s="557">
        <v>33.24</v>
      </c>
    </row>
    <row r="64" spans="1:12" ht="11.45" customHeight="1">
      <c r="A64" s="85">
        <v>4292</v>
      </c>
      <c r="B64" s="565" t="s">
        <v>539</v>
      </c>
      <c r="C64" s="565"/>
      <c r="D64" s="557">
        <v>51604.53</v>
      </c>
      <c r="E64" s="557">
        <v>4722.7299999999996</v>
      </c>
      <c r="F64" s="557">
        <v>0</v>
      </c>
      <c r="G64" s="557">
        <v>56327.26</v>
      </c>
      <c r="H64" s="557">
        <v>0</v>
      </c>
      <c r="I64" s="557">
        <v>0</v>
      </c>
      <c r="J64" s="557">
        <v>0</v>
      </c>
      <c r="K64" s="557">
        <v>0</v>
      </c>
      <c r="L64" s="557">
        <v>56327.26</v>
      </c>
    </row>
    <row r="65" spans="1:12" ht="11.45" customHeight="1">
      <c r="A65" s="85">
        <v>4293</v>
      </c>
      <c r="B65" s="565" t="s">
        <v>540</v>
      </c>
      <c r="C65" s="565"/>
      <c r="D65" s="557">
        <v>2427.89</v>
      </c>
      <c r="E65" s="557">
        <v>222.21</v>
      </c>
      <c r="F65" s="557">
        <v>0</v>
      </c>
      <c r="G65" s="557">
        <v>2650.1</v>
      </c>
      <c r="H65" s="557">
        <v>0</v>
      </c>
      <c r="I65" s="557">
        <v>0</v>
      </c>
      <c r="J65" s="557">
        <v>0</v>
      </c>
      <c r="K65" s="557">
        <v>0</v>
      </c>
      <c r="L65" s="557">
        <v>2650.1</v>
      </c>
    </row>
    <row r="66" spans="1:12" ht="11.45" customHeight="1">
      <c r="A66" s="85">
        <v>4294</v>
      </c>
      <c r="B66" s="565" t="s">
        <v>541</v>
      </c>
      <c r="C66" s="565"/>
      <c r="D66" s="557">
        <v>7294.84</v>
      </c>
      <c r="E66" s="557">
        <v>667.62</v>
      </c>
      <c r="F66" s="557">
        <v>0</v>
      </c>
      <c r="G66" s="557">
        <v>7962.46</v>
      </c>
      <c r="H66" s="557">
        <v>0</v>
      </c>
      <c r="I66" s="557">
        <v>0</v>
      </c>
      <c r="J66" s="557">
        <v>0</v>
      </c>
      <c r="K66" s="557">
        <v>0</v>
      </c>
      <c r="L66" s="557">
        <v>7962.46</v>
      </c>
    </row>
    <row r="67" spans="1:12" ht="11.45" customHeight="1">
      <c r="A67" s="85">
        <v>4295</v>
      </c>
      <c r="B67" s="565" t="s">
        <v>542</v>
      </c>
      <c r="C67" s="565"/>
      <c r="D67" s="557">
        <v>69461.37</v>
      </c>
      <c r="E67" s="557">
        <v>2226.2399999999998</v>
      </c>
      <c r="F67" s="557">
        <v>0</v>
      </c>
      <c r="G67" s="557">
        <v>71687.61</v>
      </c>
      <c r="H67" s="557">
        <v>0</v>
      </c>
      <c r="I67" s="557">
        <v>66479.460000000006</v>
      </c>
      <c r="J67" s="557">
        <v>66479.460000000006</v>
      </c>
      <c r="K67" s="557">
        <v>0</v>
      </c>
      <c r="L67" s="557">
        <v>5208.1499999999996</v>
      </c>
    </row>
    <row r="68" spans="1:12" ht="11.45" customHeight="1">
      <c r="A68" s="85">
        <v>4297</v>
      </c>
      <c r="B68" s="565" t="s">
        <v>664</v>
      </c>
      <c r="C68" s="565"/>
      <c r="D68" s="557">
        <v>0</v>
      </c>
      <c r="E68" s="557">
        <v>51635.56</v>
      </c>
      <c r="F68" s="557">
        <v>0</v>
      </c>
      <c r="G68" s="557">
        <v>51635.56</v>
      </c>
      <c r="H68" s="557">
        <v>49999</v>
      </c>
      <c r="I68" s="557">
        <v>0</v>
      </c>
      <c r="J68" s="557">
        <v>49999</v>
      </c>
      <c r="K68" s="557">
        <v>0</v>
      </c>
      <c r="L68" s="557">
        <v>1636.56</v>
      </c>
    </row>
    <row r="69" spans="1:12" ht="11.45" customHeight="1">
      <c r="A69" s="85">
        <v>4500</v>
      </c>
      <c r="B69" s="565" t="s">
        <v>543</v>
      </c>
      <c r="C69" s="565"/>
      <c r="D69" s="557">
        <v>1054909.3799999999</v>
      </c>
      <c r="E69" s="557">
        <v>3718100.15</v>
      </c>
      <c r="F69" s="557">
        <v>0</v>
      </c>
      <c r="G69" s="557">
        <v>4773009.53</v>
      </c>
      <c r="H69" s="557">
        <v>4054791.29</v>
      </c>
      <c r="I69" s="557">
        <v>5888.57</v>
      </c>
      <c r="J69" s="557">
        <v>4060679.86</v>
      </c>
      <c r="K69" s="557">
        <v>0</v>
      </c>
      <c r="L69" s="557">
        <v>712329.67</v>
      </c>
    </row>
    <row r="70" spans="1:12" ht="11.45" customHeight="1">
      <c r="A70" s="85">
        <v>4501</v>
      </c>
      <c r="B70" s="565" t="s">
        <v>544</v>
      </c>
      <c r="C70" s="565"/>
      <c r="D70" s="557">
        <v>44945.33</v>
      </c>
      <c r="E70" s="557">
        <v>798612.12</v>
      </c>
      <c r="F70" s="557">
        <v>0</v>
      </c>
      <c r="G70" s="557">
        <v>843557.45</v>
      </c>
      <c r="H70" s="557">
        <v>688033.88</v>
      </c>
      <c r="I70" s="557">
        <v>0</v>
      </c>
      <c r="J70" s="557">
        <v>688033.88</v>
      </c>
      <c r="K70" s="557">
        <v>0</v>
      </c>
      <c r="L70" s="557">
        <v>155523.57</v>
      </c>
    </row>
    <row r="71" spans="1:12" ht="11.45" customHeight="1">
      <c r="A71" s="85">
        <v>4502</v>
      </c>
      <c r="B71" s="565" t="s">
        <v>545</v>
      </c>
      <c r="C71" s="565"/>
      <c r="D71" s="557">
        <v>97004.35</v>
      </c>
      <c r="E71" s="557">
        <v>122464.18</v>
      </c>
      <c r="F71" s="557">
        <v>0</v>
      </c>
      <c r="G71" s="557">
        <v>219468.53</v>
      </c>
      <c r="H71" s="557">
        <v>95606.31</v>
      </c>
      <c r="I71" s="557">
        <v>25</v>
      </c>
      <c r="J71" s="557">
        <v>95631.31</v>
      </c>
      <c r="K71" s="557">
        <v>0</v>
      </c>
      <c r="L71" s="557">
        <v>123837.22</v>
      </c>
    </row>
    <row r="72" spans="1:12" ht="11.45" customHeight="1">
      <c r="A72" s="85">
        <v>4503</v>
      </c>
      <c r="B72" s="565" t="s">
        <v>546</v>
      </c>
      <c r="C72" s="565"/>
      <c r="D72" s="557">
        <v>114958.1</v>
      </c>
      <c r="E72" s="557">
        <v>214731.16</v>
      </c>
      <c r="F72" s="557">
        <v>0</v>
      </c>
      <c r="G72" s="557">
        <v>329689.26</v>
      </c>
      <c r="H72" s="557">
        <v>261198.61</v>
      </c>
      <c r="I72" s="557">
        <v>0</v>
      </c>
      <c r="J72" s="557">
        <v>261198.61</v>
      </c>
      <c r="K72" s="557">
        <v>0</v>
      </c>
      <c r="L72" s="557">
        <v>68490.649999999994</v>
      </c>
    </row>
    <row r="73" spans="1:12" ht="11.45" customHeight="1">
      <c r="A73" s="85">
        <v>4504</v>
      </c>
      <c r="B73" s="565" t="s">
        <v>547</v>
      </c>
      <c r="C73" s="565"/>
      <c r="D73" s="557">
        <v>56450.81</v>
      </c>
      <c r="E73" s="557">
        <v>10692.57</v>
      </c>
      <c r="F73" s="557">
        <v>0</v>
      </c>
      <c r="G73" s="557">
        <v>67143.38</v>
      </c>
      <c r="H73" s="557">
        <v>1708.2</v>
      </c>
      <c r="I73" s="557">
        <v>0</v>
      </c>
      <c r="J73" s="557">
        <v>1708.2</v>
      </c>
      <c r="K73" s="557">
        <v>0</v>
      </c>
      <c r="L73" s="557">
        <v>65435.18</v>
      </c>
    </row>
    <row r="74" spans="1:12" ht="11.45" customHeight="1">
      <c r="A74" s="85">
        <v>4505</v>
      </c>
      <c r="B74" s="565" t="s">
        <v>548</v>
      </c>
      <c r="C74" s="565"/>
      <c r="D74" s="557">
        <v>787329.99</v>
      </c>
      <c r="E74" s="557">
        <v>518734.47</v>
      </c>
      <c r="F74" s="557">
        <v>0</v>
      </c>
      <c r="G74" s="557">
        <v>1306064.46</v>
      </c>
      <c r="H74" s="557">
        <v>140703.82999999999</v>
      </c>
      <c r="I74" s="557">
        <v>40520</v>
      </c>
      <c r="J74" s="557">
        <v>181223.83</v>
      </c>
      <c r="K74" s="557">
        <v>0</v>
      </c>
      <c r="L74" s="557">
        <v>1124840.6299999999</v>
      </c>
    </row>
    <row r="75" spans="1:12" ht="11.45" customHeight="1">
      <c r="A75" s="85">
        <v>4506</v>
      </c>
      <c r="B75" s="565" t="s">
        <v>549</v>
      </c>
      <c r="C75" s="565"/>
      <c r="D75" s="557">
        <v>14175.24</v>
      </c>
      <c r="E75" s="557">
        <v>255362.21</v>
      </c>
      <c r="F75" s="557">
        <v>0</v>
      </c>
      <c r="G75" s="557">
        <v>269537.45</v>
      </c>
      <c r="H75" s="557">
        <v>0</v>
      </c>
      <c r="I75" s="557">
        <v>0</v>
      </c>
      <c r="J75" s="557">
        <v>0</v>
      </c>
      <c r="K75" s="557">
        <v>0</v>
      </c>
      <c r="L75" s="557">
        <v>269537.45</v>
      </c>
    </row>
    <row r="76" spans="1:12" ht="11.45" customHeight="1">
      <c r="A76" s="85">
        <v>4507</v>
      </c>
      <c r="B76" s="565" t="s">
        <v>550</v>
      </c>
      <c r="C76" s="565"/>
      <c r="D76" s="557">
        <v>311.81</v>
      </c>
      <c r="E76" s="557">
        <v>63.26</v>
      </c>
      <c r="F76" s="557">
        <v>0</v>
      </c>
      <c r="G76" s="557">
        <v>375.07</v>
      </c>
      <c r="H76" s="557">
        <v>0</v>
      </c>
      <c r="I76" s="557">
        <v>0</v>
      </c>
      <c r="J76" s="557">
        <v>0</v>
      </c>
      <c r="K76" s="557">
        <v>0</v>
      </c>
      <c r="L76" s="557">
        <v>375.07</v>
      </c>
    </row>
    <row r="77" spans="1:12" ht="11.45" customHeight="1">
      <c r="A77" s="85">
        <v>4509</v>
      </c>
      <c r="B77" s="565" t="s">
        <v>551</v>
      </c>
      <c r="C77" s="565"/>
      <c r="D77" s="557">
        <v>92042.33</v>
      </c>
      <c r="E77" s="557">
        <v>7157.56</v>
      </c>
      <c r="F77" s="557">
        <v>0</v>
      </c>
      <c r="G77" s="557">
        <v>99199.89</v>
      </c>
      <c r="H77" s="557">
        <v>0</v>
      </c>
      <c r="I77" s="557">
        <v>0</v>
      </c>
      <c r="J77" s="557">
        <v>0</v>
      </c>
      <c r="K77" s="557">
        <v>0</v>
      </c>
      <c r="L77" s="557">
        <v>99199.89</v>
      </c>
    </row>
    <row r="78" spans="1:12" ht="11.45" customHeight="1">
      <c r="A78" s="85">
        <v>4511</v>
      </c>
      <c r="B78" s="565" t="s">
        <v>552</v>
      </c>
      <c r="C78" s="565"/>
      <c r="D78" s="557">
        <v>23964.31</v>
      </c>
      <c r="E78" s="557">
        <v>407.95</v>
      </c>
      <c r="F78" s="557">
        <v>0</v>
      </c>
      <c r="G78" s="557">
        <v>24372.26</v>
      </c>
      <c r="H78" s="557">
        <v>16129.99</v>
      </c>
      <c r="I78" s="557">
        <v>600</v>
      </c>
      <c r="J78" s="557">
        <v>16729.990000000002</v>
      </c>
      <c r="K78" s="557">
        <v>0</v>
      </c>
      <c r="L78" s="557">
        <v>7642.27</v>
      </c>
    </row>
    <row r="79" spans="1:12" ht="11.45" customHeight="1">
      <c r="A79" s="85">
        <v>4512</v>
      </c>
      <c r="B79" s="565" t="s">
        <v>553</v>
      </c>
      <c r="C79" s="565"/>
      <c r="D79" s="557">
        <v>17781.099999999999</v>
      </c>
      <c r="E79" s="557">
        <v>1326.56</v>
      </c>
      <c r="F79" s="557">
        <v>0</v>
      </c>
      <c r="G79" s="557">
        <v>19107.66</v>
      </c>
      <c r="H79" s="557">
        <v>0</v>
      </c>
      <c r="I79" s="557">
        <v>0</v>
      </c>
      <c r="J79" s="557">
        <v>0</v>
      </c>
      <c r="K79" s="557">
        <v>0</v>
      </c>
      <c r="L79" s="557">
        <v>19107.66</v>
      </c>
    </row>
    <row r="80" spans="1:12" ht="11.45" customHeight="1">
      <c r="A80" s="85">
        <v>4986</v>
      </c>
      <c r="B80" s="565" t="s">
        <v>554</v>
      </c>
      <c r="C80" s="565"/>
      <c r="D80" s="557">
        <v>136.38999999999999</v>
      </c>
      <c r="E80" s="557">
        <v>0</v>
      </c>
      <c r="F80" s="557">
        <v>0</v>
      </c>
      <c r="G80" s="557">
        <v>136.38999999999999</v>
      </c>
      <c r="H80" s="557">
        <v>0</v>
      </c>
      <c r="I80" s="557">
        <v>0</v>
      </c>
      <c r="J80" s="557">
        <v>0</v>
      </c>
      <c r="K80" s="557">
        <v>0</v>
      </c>
      <c r="L80" s="557">
        <v>136.38999999999999</v>
      </c>
    </row>
    <row r="81" spans="1:12">
      <c r="A81">
        <v>8001</v>
      </c>
      <c r="B81" t="s">
        <v>555</v>
      </c>
      <c r="D81" s="558">
        <v>1014219.93</v>
      </c>
      <c r="E81" s="558">
        <v>0</v>
      </c>
      <c r="F81" s="558">
        <v>0</v>
      </c>
      <c r="G81" s="558">
        <v>1014219.93</v>
      </c>
      <c r="H81" s="558">
        <v>0</v>
      </c>
      <c r="I81" s="558">
        <v>0</v>
      </c>
      <c r="J81" s="558">
        <v>0</v>
      </c>
      <c r="K81" s="558">
        <v>0</v>
      </c>
      <c r="L81" s="558">
        <v>1014219.93</v>
      </c>
    </row>
    <row r="82" spans="1:12" ht="11.45" customHeight="1">
      <c r="A82" s="564">
        <v>8024</v>
      </c>
      <c r="B82" s="564" t="s">
        <v>556</v>
      </c>
      <c r="C82" s="564"/>
      <c r="D82" s="559">
        <v>390.63</v>
      </c>
      <c r="E82" s="559">
        <v>0</v>
      </c>
      <c r="F82" s="559">
        <v>0</v>
      </c>
      <c r="G82" s="559">
        <v>390.63</v>
      </c>
      <c r="H82" s="559">
        <v>0</v>
      </c>
      <c r="I82" s="559">
        <v>0</v>
      </c>
      <c r="J82" s="559">
        <v>0</v>
      </c>
      <c r="K82" s="559">
        <v>0</v>
      </c>
      <c r="L82" s="559">
        <v>390.63</v>
      </c>
    </row>
    <row r="83" spans="1:12">
      <c r="A83">
        <v>8050</v>
      </c>
      <c r="B83" t="s">
        <v>557</v>
      </c>
      <c r="D83">
        <v>822088.43</v>
      </c>
      <c r="E83">
        <v>0</v>
      </c>
      <c r="F83">
        <v>0</v>
      </c>
      <c r="G83">
        <v>822088.43</v>
      </c>
      <c r="H83">
        <v>0</v>
      </c>
      <c r="I83">
        <v>0</v>
      </c>
      <c r="J83">
        <v>0</v>
      </c>
      <c r="K83">
        <v>0</v>
      </c>
      <c r="L83">
        <v>822088.43</v>
      </c>
    </row>
    <row r="85" spans="1:12">
      <c r="A85" t="s">
        <v>177</v>
      </c>
      <c r="D85">
        <v>62432940.880000003</v>
      </c>
      <c r="E85">
        <v>143908127.09999999</v>
      </c>
      <c r="F85">
        <v>3949440.82</v>
      </c>
      <c r="G85">
        <v>210290508.80000001</v>
      </c>
      <c r="H85">
        <v>138000921.88999999</v>
      </c>
      <c r="I85">
        <v>1210249.6599999999</v>
      </c>
      <c r="J85">
        <v>139211171.55000001</v>
      </c>
      <c r="K85">
        <v>3949440.82</v>
      </c>
      <c r="L85">
        <v>67129896.430000007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L84"/>
  <sheetViews>
    <sheetView workbookViewId="0">
      <selection activeCell="A3" sqref="A3"/>
    </sheetView>
  </sheetViews>
  <sheetFormatPr defaultColWidth="11.5703125" defaultRowHeight="15"/>
  <cols>
    <col min="4" max="5" width="12.42578125" customWidth="1"/>
    <col min="6" max="6" width="10.42578125" customWidth="1"/>
    <col min="7" max="9" width="12.42578125" customWidth="1"/>
    <col min="10" max="10" width="11.42578125" customWidth="1"/>
    <col min="11" max="11" width="10.42578125" customWidth="1"/>
    <col min="12" max="12" width="13.42578125" customWidth="1"/>
  </cols>
  <sheetData>
    <row r="1" spans="1:12" ht="11.45" customHeight="1">
      <c r="A1" s="186" t="s">
        <v>479</v>
      </c>
    </row>
    <row r="2" spans="1:12" ht="11.45" customHeight="1">
      <c r="A2" s="186" t="s">
        <v>1671</v>
      </c>
    </row>
    <row r="4" spans="1:12" ht="11.45" customHeight="1">
      <c r="A4" s="186" t="s">
        <v>480</v>
      </c>
      <c r="C4" s="563" t="s">
        <v>481</v>
      </c>
    </row>
    <row r="6" spans="1:12" ht="11.45" customHeight="1">
      <c r="D6" s="566" t="s">
        <v>482</v>
      </c>
      <c r="E6" s="566" t="s">
        <v>483</v>
      </c>
      <c r="F6" s="566" t="s">
        <v>484</v>
      </c>
      <c r="G6" s="566" t="s">
        <v>485</v>
      </c>
      <c r="H6" s="566" t="s">
        <v>558</v>
      </c>
      <c r="I6" s="566" t="s">
        <v>559</v>
      </c>
      <c r="J6" s="566" t="s">
        <v>560</v>
      </c>
      <c r="K6" s="566" t="s">
        <v>489</v>
      </c>
      <c r="L6" s="566" t="s">
        <v>490</v>
      </c>
    </row>
    <row r="7" spans="1:12" ht="11.45" customHeight="1">
      <c r="A7" s="556" t="s">
        <v>491</v>
      </c>
      <c r="D7" s="566"/>
      <c r="E7" s="566"/>
      <c r="F7" s="566"/>
      <c r="G7" s="566"/>
      <c r="H7" s="566"/>
      <c r="I7" s="566"/>
      <c r="J7" s="566"/>
      <c r="K7" s="566"/>
      <c r="L7" s="566"/>
    </row>
    <row r="8" spans="1:12" ht="11.45" customHeight="1">
      <c r="A8" s="85">
        <v>1</v>
      </c>
      <c r="B8" s="565" t="s">
        <v>492</v>
      </c>
      <c r="C8" s="565"/>
      <c r="D8" s="557">
        <v>7665003.0800000001</v>
      </c>
      <c r="E8" s="557">
        <v>48736937.350000001</v>
      </c>
      <c r="F8" s="557">
        <v>3949440.82</v>
      </c>
      <c r="G8" s="557">
        <v>60351381.25</v>
      </c>
      <c r="H8" s="557">
        <v>36064072.479999997</v>
      </c>
      <c r="I8" s="557">
        <v>3061978.03</v>
      </c>
      <c r="J8" s="557">
        <v>39126050.509999998</v>
      </c>
      <c r="K8" s="557">
        <v>3949440.82</v>
      </c>
      <c r="L8" s="557">
        <v>17275889.920000002</v>
      </c>
    </row>
    <row r="9" spans="1:12" ht="11.45" customHeight="1">
      <c r="A9" s="85">
        <v>20</v>
      </c>
      <c r="B9" s="565" t="s">
        <v>493</v>
      </c>
      <c r="C9" s="565"/>
      <c r="D9" s="557">
        <v>18946.099999999999</v>
      </c>
      <c r="E9" s="557">
        <v>6879254.5999999996</v>
      </c>
      <c r="F9" s="557">
        <v>0</v>
      </c>
      <c r="G9" s="557">
        <v>6898200.7000000002</v>
      </c>
      <c r="H9" s="557">
        <v>8693032.3399999999</v>
      </c>
      <c r="I9" s="557">
        <v>1739298.66</v>
      </c>
      <c r="J9" s="557">
        <v>10432331</v>
      </c>
      <c r="K9" s="557">
        <v>0</v>
      </c>
      <c r="L9" s="557">
        <v>-3534130.3</v>
      </c>
    </row>
    <row r="10" spans="1:12" ht="11.45" customHeight="1">
      <c r="A10" s="85">
        <v>31</v>
      </c>
      <c r="B10" s="565" t="s">
        <v>494</v>
      </c>
      <c r="C10" s="565"/>
      <c r="D10" s="557">
        <v>1604648.06</v>
      </c>
      <c r="E10" s="557">
        <v>23548807.75</v>
      </c>
      <c r="F10" s="557">
        <v>0</v>
      </c>
      <c r="G10" s="557">
        <v>25153455.809999999</v>
      </c>
      <c r="H10" s="557">
        <v>24260516.469999999</v>
      </c>
      <c r="I10" s="557">
        <v>665086.21</v>
      </c>
      <c r="J10" s="557">
        <v>24925602.68</v>
      </c>
      <c r="K10" s="557">
        <v>0</v>
      </c>
      <c r="L10" s="557">
        <v>227853.13</v>
      </c>
    </row>
    <row r="11" spans="1:12" ht="11.45" customHeight="1">
      <c r="A11" s="85">
        <v>40</v>
      </c>
      <c r="B11" s="565" t="s">
        <v>495</v>
      </c>
      <c r="C11" s="565"/>
      <c r="D11" s="557">
        <v>430232.87</v>
      </c>
      <c r="E11" s="557">
        <v>11076108.710000001</v>
      </c>
      <c r="F11" s="557">
        <v>0</v>
      </c>
      <c r="G11" s="557">
        <v>11506341.58</v>
      </c>
      <c r="H11" s="557">
        <v>18165094.34</v>
      </c>
      <c r="I11" s="557">
        <v>1602793.6</v>
      </c>
      <c r="J11" s="557">
        <v>19767887.940000001</v>
      </c>
      <c r="K11" s="557">
        <v>0</v>
      </c>
      <c r="L11" s="557">
        <v>-8261546.3600000003</v>
      </c>
    </row>
    <row r="12" spans="1:12" ht="11.45" customHeight="1">
      <c r="A12" s="85">
        <v>50</v>
      </c>
      <c r="B12" s="565" t="s">
        <v>496</v>
      </c>
      <c r="C12" s="565"/>
      <c r="D12" s="557">
        <v>40962798.229999997</v>
      </c>
      <c r="E12" s="557">
        <v>33413163.789999999</v>
      </c>
      <c r="F12" s="557">
        <v>0</v>
      </c>
      <c r="G12" s="557">
        <v>74375962.019999996</v>
      </c>
      <c r="H12" s="557">
        <v>24489236.100000001</v>
      </c>
      <c r="I12" s="557">
        <v>10896.22</v>
      </c>
      <c r="J12" s="557">
        <v>24500132.32</v>
      </c>
      <c r="K12" s="557">
        <v>0</v>
      </c>
      <c r="L12" s="557">
        <v>49875829.700000003</v>
      </c>
    </row>
    <row r="13" spans="1:12" ht="11.45" customHeight="1">
      <c r="A13" s="85">
        <v>900</v>
      </c>
      <c r="B13" s="565" t="s">
        <v>497</v>
      </c>
      <c r="C13" s="565"/>
      <c r="D13" s="557">
        <v>4.5</v>
      </c>
      <c r="E13" s="557">
        <v>0</v>
      </c>
      <c r="F13" s="557">
        <v>0</v>
      </c>
      <c r="G13" s="557">
        <v>4.5</v>
      </c>
      <c r="H13" s="557">
        <v>0</v>
      </c>
      <c r="I13" s="557">
        <v>0</v>
      </c>
      <c r="J13" s="557">
        <v>0</v>
      </c>
      <c r="K13" s="557">
        <v>0</v>
      </c>
      <c r="L13" s="557">
        <v>4.5</v>
      </c>
    </row>
    <row r="14" spans="1:12" ht="11.45" customHeight="1">
      <c r="A14" s="85">
        <v>1022</v>
      </c>
      <c r="B14" s="565" t="s">
        <v>498</v>
      </c>
      <c r="C14" s="565"/>
      <c r="D14" s="557">
        <v>105438.31</v>
      </c>
      <c r="E14" s="557">
        <v>367843.9</v>
      </c>
      <c r="F14" s="557">
        <v>0</v>
      </c>
      <c r="G14" s="557">
        <v>473282.21</v>
      </c>
      <c r="H14" s="557">
        <v>206935.67</v>
      </c>
      <c r="I14" s="557">
        <v>0</v>
      </c>
      <c r="J14" s="557">
        <v>206935.67</v>
      </c>
      <c r="K14" s="557">
        <v>0</v>
      </c>
      <c r="L14" s="557">
        <v>266346.53999999998</v>
      </c>
    </row>
    <row r="15" spans="1:12" ht="11.45" customHeight="1">
      <c r="A15" s="85">
        <v>1023</v>
      </c>
      <c r="B15" s="565" t="s">
        <v>499</v>
      </c>
      <c r="C15" s="565"/>
      <c r="D15" s="557">
        <v>1412415.94</v>
      </c>
      <c r="E15" s="557">
        <v>1752773.25</v>
      </c>
      <c r="F15" s="557">
        <v>0</v>
      </c>
      <c r="G15" s="557">
        <v>3165189.19</v>
      </c>
      <c r="H15" s="557">
        <v>1696970.81</v>
      </c>
      <c r="I15" s="557">
        <v>28981.49</v>
      </c>
      <c r="J15" s="557">
        <v>1725952.3</v>
      </c>
      <c r="K15" s="557">
        <v>0</v>
      </c>
      <c r="L15" s="557">
        <v>1439236.89</v>
      </c>
    </row>
    <row r="16" spans="1:12" ht="11.45" customHeight="1">
      <c r="A16" s="85">
        <v>1024</v>
      </c>
      <c r="B16" s="565" t="s">
        <v>500</v>
      </c>
      <c r="C16" s="565"/>
      <c r="D16" s="557">
        <v>259261.06</v>
      </c>
      <c r="E16" s="557">
        <v>83045.399999999994</v>
      </c>
      <c r="F16" s="557">
        <v>0</v>
      </c>
      <c r="G16" s="557">
        <v>342306.46</v>
      </c>
      <c r="H16" s="557">
        <v>343748.38</v>
      </c>
      <c r="I16" s="557">
        <v>20099.78</v>
      </c>
      <c r="J16" s="557">
        <v>363848.16</v>
      </c>
      <c r="K16" s="557">
        <v>0</v>
      </c>
      <c r="L16" s="557">
        <v>-21541.7</v>
      </c>
    </row>
    <row r="17" spans="1:12" ht="11.45" customHeight="1">
      <c r="A17" s="85">
        <v>1025</v>
      </c>
      <c r="B17" s="565" t="s">
        <v>501</v>
      </c>
      <c r="C17" s="565"/>
      <c r="D17" s="557">
        <v>1260117.1399999999</v>
      </c>
      <c r="E17" s="557">
        <v>96505.52</v>
      </c>
      <c r="F17" s="557">
        <v>0</v>
      </c>
      <c r="G17" s="557">
        <v>1356622.66</v>
      </c>
      <c r="H17" s="557">
        <v>735637.87</v>
      </c>
      <c r="I17" s="557">
        <v>0</v>
      </c>
      <c r="J17" s="557">
        <v>735637.87</v>
      </c>
      <c r="K17" s="557">
        <v>0</v>
      </c>
      <c r="L17" s="557">
        <v>620984.79</v>
      </c>
    </row>
    <row r="18" spans="1:12" ht="11.45" customHeight="1">
      <c r="A18" s="85">
        <v>1026</v>
      </c>
      <c r="B18" s="565" t="s">
        <v>502</v>
      </c>
      <c r="C18" s="565"/>
      <c r="D18" s="557">
        <v>544140.11</v>
      </c>
      <c r="E18" s="557">
        <v>2543159.2599999998</v>
      </c>
      <c r="F18" s="557">
        <v>0</v>
      </c>
      <c r="G18" s="557">
        <v>3087299.37</v>
      </c>
      <c r="H18" s="557">
        <v>2383788.9900000002</v>
      </c>
      <c r="I18" s="557">
        <v>264938.32</v>
      </c>
      <c r="J18" s="557">
        <v>2648727.31</v>
      </c>
      <c r="K18" s="557">
        <v>0</v>
      </c>
      <c r="L18" s="557">
        <v>438572.06</v>
      </c>
    </row>
    <row r="19" spans="1:12" ht="11.45" customHeight="1">
      <c r="A19" s="85">
        <v>1031</v>
      </c>
      <c r="B19" s="565" t="s">
        <v>503</v>
      </c>
      <c r="C19" s="565"/>
      <c r="D19" s="557">
        <v>13981.08</v>
      </c>
      <c r="E19" s="557">
        <v>1090.51</v>
      </c>
      <c r="F19" s="557">
        <v>0</v>
      </c>
      <c r="G19" s="557">
        <v>15071.59</v>
      </c>
      <c r="H19" s="557">
        <v>0</v>
      </c>
      <c r="I19" s="557">
        <v>0</v>
      </c>
      <c r="J19" s="557">
        <v>0</v>
      </c>
      <c r="K19" s="557">
        <v>0</v>
      </c>
      <c r="L19" s="557">
        <v>15071.59</v>
      </c>
    </row>
    <row r="20" spans="1:12" ht="11.45" customHeight="1">
      <c r="A20" s="85">
        <v>1101</v>
      </c>
      <c r="B20" s="565" t="s">
        <v>504</v>
      </c>
      <c r="C20" s="565"/>
      <c r="D20" s="557">
        <v>1175.71</v>
      </c>
      <c r="E20" s="557">
        <v>112.38</v>
      </c>
      <c r="F20" s="557">
        <v>0</v>
      </c>
      <c r="G20" s="557">
        <v>1288.0899999999999</v>
      </c>
      <c r="H20" s="557">
        <v>0</v>
      </c>
      <c r="I20" s="557">
        <v>0</v>
      </c>
      <c r="J20" s="557">
        <v>0</v>
      </c>
      <c r="K20" s="557">
        <v>0</v>
      </c>
      <c r="L20" s="557">
        <v>1288.0899999999999</v>
      </c>
    </row>
    <row r="21" spans="1:12" ht="11.45" customHeight="1">
      <c r="A21" s="85">
        <v>1103</v>
      </c>
      <c r="B21" s="565" t="s">
        <v>505</v>
      </c>
      <c r="C21" s="565"/>
      <c r="D21" s="557">
        <v>4658.99</v>
      </c>
      <c r="E21" s="557">
        <v>41113.339999999997</v>
      </c>
      <c r="F21" s="557">
        <v>0</v>
      </c>
      <c r="G21" s="557">
        <v>45772.33</v>
      </c>
      <c r="H21" s="557">
        <v>45079.839999999997</v>
      </c>
      <c r="I21" s="557">
        <v>4956.7</v>
      </c>
      <c r="J21" s="557">
        <v>50036.54</v>
      </c>
      <c r="K21" s="557">
        <v>0</v>
      </c>
      <c r="L21" s="557">
        <v>-4264.21</v>
      </c>
    </row>
    <row r="22" spans="1:12" ht="11.45" customHeight="1">
      <c r="A22" s="85">
        <v>1121</v>
      </c>
      <c r="B22" s="565" t="s">
        <v>506</v>
      </c>
      <c r="C22" s="565"/>
      <c r="D22" s="557">
        <v>380189.47</v>
      </c>
      <c r="E22" s="557">
        <v>319813.42</v>
      </c>
      <c r="F22" s="557">
        <v>0</v>
      </c>
      <c r="G22" s="557">
        <v>700002.89</v>
      </c>
      <c r="H22" s="557">
        <v>269688.34000000003</v>
      </c>
      <c r="I22" s="557">
        <v>53445.66</v>
      </c>
      <c r="J22" s="557">
        <v>323134</v>
      </c>
      <c r="K22" s="557">
        <v>0</v>
      </c>
      <c r="L22" s="557">
        <v>376868.89</v>
      </c>
    </row>
    <row r="23" spans="1:12" ht="11.45" customHeight="1">
      <c r="A23" s="85">
        <v>1122</v>
      </c>
      <c r="B23" s="565" t="s">
        <v>507</v>
      </c>
      <c r="C23" s="565"/>
      <c r="D23" s="557">
        <v>52142.09</v>
      </c>
      <c r="E23" s="557">
        <v>15170.03</v>
      </c>
      <c r="F23" s="557">
        <v>0</v>
      </c>
      <c r="G23" s="557">
        <v>67312.12</v>
      </c>
      <c r="H23" s="557">
        <v>0</v>
      </c>
      <c r="I23" s="557">
        <v>0</v>
      </c>
      <c r="J23" s="557">
        <v>0</v>
      </c>
      <c r="K23" s="557">
        <v>0</v>
      </c>
      <c r="L23" s="557">
        <v>67312.12</v>
      </c>
    </row>
    <row r="24" spans="1:12" ht="11.45" customHeight="1">
      <c r="A24" s="85">
        <v>1124</v>
      </c>
      <c r="B24" s="565" t="s">
        <v>508</v>
      </c>
      <c r="C24" s="565"/>
      <c r="D24" s="557">
        <v>75682.350000000006</v>
      </c>
      <c r="E24" s="557">
        <v>63652.87</v>
      </c>
      <c r="F24" s="557">
        <v>0</v>
      </c>
      <c r="G24" s="557">
        <v>139335.22</v>
      </c>
      <c r="H24" s="557">
        <v>12495.52</v>
      </c>
      <c r="I24" s="557">
        <v>152.59</v>
      </c>
      <c r="J24" s="557">
        <v>12648.11</v>
      </c>
      <c r="K24" s="557">
        <v>0</v>
      </c>
      <c r="L24" s="557">
        <v>126687.11</v>
      </c>
    </row>
    <row r="25" spans="1:12" ht="11.45" customHeight="1">
      <c r="A25" s="85">
        <v>1180</v>
      </c>
      <c r="B25" s="565" t="s">
        <v>509</v>
      </c>
      <c r="C25" s="565"/>
      <c r="D25" s="557">
        <v>19.98</v>
      </c>
      <c r="E25" s="557">
        <v>0</v>
      </c>
      <c r="F25" s="557">
        <v>0</v>
      </c>
      <c r="G25" s="557">
        <v>19.98</v>
      </c>
      <c r="H25" s="557">
        <v>0</v>
      </c>
      <c r="I25" s="557">
        <v>0</v>
      </c>
      <c r="J25" s="557">
        <v>0</v>
      </c>
      <c r="K25" s="557">
        <v>0</v>
      </c>
      <c r="L25" s="557">
        <v>19.98</v>
      </c>
    </row>
    <row r="26" spans="1:12" ht="11.45" customHeight="1">
      <c r="A26" s="85">
        <v>1181</v>
      </c>
      <c r="B26" s="565" t="s">
        <v>510</v>
      </c>
      <c r="C26" s="565"/>
      <c r="D26" s="557">
        <v>164.88</v>
      </c>
      <c r="E26" s="557">
        <v>12.82</v>
      </c>
      <c r="F26" s="557">
        <v>0</v>
      </c>
      <c r="G26" s="557">
        <v>177.7</v>
      </c>
      <c r="H26" s="557">
        <v>0</v>
      </c>
      <c r="I26" s="557">
        <v>0</v>
      </c>
      <c r="J26" s="557">
        <v>0</v>
      </c>
      <c r="K26" s="557">
        <v>0</v>
      </c>
      <c r="L26" s="557">
        <v>177.7</v>
      </c>
    </row>
    <row r="27" spans="1:12" ht="11.45" customHeight="1">
      <c r="A27" s="85">
        <v>1182</v>
      </c>
      <c r="B27" s="565" t="s">
        <v>511</v>
      </c>
      <c r="C27" s="565"/>
      <c r="D27" s="557">
        <v>73.89</v>
      </c>
      <c r="E27" s="557">
        <v>20452.27</v>
      </c>
      <c r="F27" s="557">
        <v>0</v>
      </c>
      <c r="G27" s="557">
        <v>20526.16</v>
      </c>
      <c r="H27" s="557">
        <v>7296.29</v>
      </c>
      <c r="I27" s="557">
        <v>0</v>
      </c>
      <c r="J27" s="557">
        <v>7296.29</v>
      </c>
      <c r="K27" s="557">
        <v>0</v>
      </c>
      <c r="L27" s="557">
        <v>13229.87</v>
      </c>
    </row>
    <row r="28" spans="1:12" ht="11.45" customHeight="1">
      <c r="A28" s="85">
        <v>1184</v>
      </c>
      <c r="B28" s="565" t="s">
        <v>512</v>
      </c>
      <c r="C28" s="565"/>
      <c r="D28" s="557">
        <v>41867.129999999997</v>
      </c>
      <c r="E28" s="557">
        <v>1303301.03</v>
      </c>
      <c r="F28" s="557">
        <v>0</v>
      </c>
      <c r="G28" s="557">
        <v>1345168.16</v>
      </c>
      <c r="H28" s="557">
        <v>469829.78</v>
      </c>
      <c r="I28" s="557">
        <v>90345.88</v>
      </c>
      <c r="J28" s="557">
        <v>560175.66</v>
      </c>
      <c r="K28" s="557">
        <v>0</v>
      </c>
      <c r="L28" s="557">
        <v>784992.5</v>
      </c>
    </row>
    <row r="29" spans="1:12" ht="11.45" customHeight="1">
      <c r="A29" s="85">
        <v>1186</v>
      </c>
      <c r="B29" s="565" t="s">
        <v>513</v>
      </c>
      <c r="C29" s="565"/>
      <c r="D29" s="557">
        <v>196526.39</v>
      </c>
      <c r="E29" s="557">
        <v>442105.49</v>
      </c>
      <c r="F29" s="557">
        <v>0</v>
      </c>
      <c r="G29" s="557">
        <v>638631.88</v>
      </c>
      <c r="H29" s="557">
        <v>202998.84</v>
      </c>
      <c r="I29" s="557">
        <v>0</v>
      </c>
      <c r="J29" s="557">
        <v>202998.84</v>
      </c>
      <c r="K29" s="557">
        <v>0</v>
      </c>
      <c r="L29" s="557">
        <v>435633.04</v>
      </c>
    </row>
    <row r="30" spans="1:12" ht="11.45" customHeight="1">
      <c r="A30" s="85">
        <v>1187</v>
      </c>
      <c r="B30" s="565" t="s">
        <v>514</v>
      </c>
      <c r="C30" s="565"/>
      <c r="D30" s="557">
        <v>28.83</v>
      </c>
      <c r="E30" s="557">
        <v>0.02</v>
      </c>
      <c r="F30" s="557">
        <v>0</v>
      </c>
      <c r="G30" s="557">
        <v>28.85</v>
      </c>
      <c r="H30" s="557">
        <v>0</v>
      </c>
      <c r="I30" s="557">
        <v>0</v>
      </c>
      <c r="J30" s="557">
        <v>0</v>
      </c>
      <c r="K30" s="557">
        <v>0</v>
      </c>
      <c r="L30" s="557">
        <v>28.85</v>
      </c>
    </row>
    <row r="31" spans="1:12" ht="11.45" customHeight="1">
      <c r="A31" s="85">
        <v>1188</v>
      </c>
      <c r="B31" s="565" t="s">
        <v>515</v>
      </c>
      <c r="C31" s="565"/>
      <c r="D31" s="557">
        <v>63288.26</v>
      </c>
      <c r="E31" s="557">
        <v>3159.29</v>
      </c>
      <c r="F31" s="557">
        <v>0</v>
      </c>
      <c r="G31" s="557">
        <v>66447.55</v>
      </c>
      <c r="H31" s="557">
        <v>41423.769999999997</v>
      </c>
      <c r="I31" s="557">
        <v>4470.1400000000003</v>
      </c>
      <c r="J31" s="557">
        <v>45893.91</v>
      </c>
      <c r="K31" s="557">
        <v>0</v>
      </c>
      <c r="L31" s="557">
        <v>20553.64</v>
      </c>
    </row>
    <row r="32" spans="1:12" ht="11.45" customHeight="1">
      <c r="A32" s="85">
        <v>1190</v>
      </c>
      <c r="B32" s="565" t="s">
        <v>516</v>
      </c>
      <c r="C32" s="565"/>
      <c r="D32" s="557">
        <v>147.55000000000001</v>
      </c>
      <c r="E32" s="557">
        <v>28363.16</v>
      </c>
      <c r="F32" s="557">
        <v>0</v>
      </c>
      <c r="G32" s="557">
        <v>28510.71</v>
      </c>
      <c r="H32" s="557">
        <v>18000</v>
      </c>
      <c r="I32" s="557">
        <v>0</v>
      </c>
      <c r="J32" s="557">
        <v>18000</v>
      </c>
      <c r="K32" s="557">
        <v>0</v>
      </c>
      <c r="L32" s="557">
        <v>10510.71</v>
      </c>
    </row>
    <row r="33" spans="1:12" ht="11.45" customHeight="1">
      <c r="A33" s="85">
        <v>1500</v>
      </c>
      <c r="B33" s="565" t="s">
        <v>143</v>
      </c>
      <c r="C33" s="565"/>
      <c r="D33" s="557">
        <v>1029371</v>
      </c>
      <c r="E33" s="557">
        <v>4582762.33</v>
      </c>
      <c r="F33" s="557">
        <v>0</v>
      </c>
      <c r="G33" s="557">
        <v>5612133.3300000001</v>
      </c>
      <c r="H33" s="557">
        <v>2753559.47</v>
      </c>
      <c r="I33" s="557">
        <v>36283.160000000003</v>
      </c>
      <c r="J33" s="557">
        <v>2789842.63</v>
      </c>
      <c r="K33" s="557">
        <v>0</v>
      </c>
      <c r="L33" s="557">
        <v>2822290.7</v>
      </c>
    </row>
    <row r="34" spans="1:12" ht="11.45" customHeight="1">
      <c r="A34" s="85">
        <v>3804</v>
      </c>
      <c r="B34" s="565" t="s">
        <v>663</v>
      </c>
      <c r="C34" s="565"/>
      <c r="D34" s="557">
        <v>0</v>
      </c>
      <c r="E34" s="557">
        <v>213833.38</v>
      </c>
      <c r="F34" s="557">
        <v>0</v>
      </c>
      <c r="G34" s="557">
        <v>213833.38</v>
      </c>
      <c r="H34" s="557">
        <v>0</v>
      </c>
      <c r="I34" s="557">
        <v>0</v>
      </c>
      <c r="J34" s="557">
        <v>0</v>
      </c>
      <c r="K34" s="557">
        <v>0</v>
      </c>
      <c r="L34" s="557">
        <v>213833.38</v>
      </c>
    </row>
    <row r="35" spans="1:12" ht="11.45" customHeight="1">
      <c r="A35" s="85">
        <v>3812</v>
      </c>
      <c r="B35" s="565" t="s">
        <v>517</v>
      </c>
      <c r="C35" s="565"/>
      <c r="D35" s="557">
        <v>43500.69</v>
      </c>
      <c r="E35" s="557">
        <v>4158.18</v>
      </c>
      <c r="F35" s="557">
        <v>0</v>
      </c>
      <c r="G35" s="557">
        <v>47658.87</v>
      </c>
      <c r="H35" s="557">
        <v>0</v>
      </c>
      <c r="I35" s="557">
        <v>0</v>
      </c>
      <c r="J35" s="557">
        <v>0</v>
      </c>
      <c r="K35" s="557">
        <v>0</v>
      </c>
      <c r="L35" s="557">
        <v>47658.87</v>
      </c>
    </row>
    <row r="36" spans="1:12" ht="11.45" customHeight="1">
      <c r="A36" s="85">
        <v>3813</v>
      </c>
      <c r="B36" s="565" t="s">
        <v>518</v>
      </c>
      <c r="C36" s="565"/>
      <c r="D36" s="557">
        <v>9374.4699999999993</v>
      </c>
      <c r="E36" s="557">
        <v>762.72</v>
      </c>
      <c r="F36" s="557">
        <v>0</v>
      </c>
      <c r="G36" s="557">
        <v>10137.19</v>
      </c>
      <c r="H36" s="557">
        <v>0</v>
      </c>
      <c r="I36" s="557">
        <v>0</v>
      </c>
      <c r="J36" s="557">
        <v>0</v>
      </c>
      <c r="K36" s="557">
        <v>0</v>
      </c>
      <c r="L36" s="557">
        <v>10137.19</v>
      </c>
    </row>
    <row r="37" spans="1:12" ht="11.45" customHeight="1">
      <c r="A37" s="85">
        <v>3814</v>
      </c>
      <c r="B37" s="565" t="s">
        <v>620</v>
      </c>
      <c r="C37" s="565"/>
      <c r="D37" s="557">
        <v>143250</v>
      </c>
      <c r="E37" s="557">
        <v>5438.13</v>
      </c>
      <c r="F37" s="557">
        <v>0</v>
      </c>
      <c r="G37" s="557">
        <v>148688.13</v>
      </c>
      <c r="H37" s="557">
        <v>93104.71</v>
      </c>
      <c r="I37" s="557">
        <v>0</v>
      </c>
      <c r="J37" s="557">
        <v>93104.71</v>
      </c>
      <c r="K37" s="557">
        <v>0</v>
      </c>
      <c r="L37" s="557">
        <v>55583.42</v>
      </c>
    </row>
    <row r="38" spans="1:12" ht="11.45" customHeight="1">
      <c r="A38" s="85">
        <v>3818</v>
      </c>
      <c r="B38" s="565" t="s">
        <v>1185</v>
      </c>
      <c r="C38" s="565"/>
      <c r="D38" s="557">
        <v>0</v>
      </c>
      <c r="E38" s="557">
        <v>71843.66</v>
      </c>
      <c r="F38" s="557">
        <v>0</v>
      </c>
      <c r="G38" s="557">
        <v>71843.66</v>
      </c>
      <c r="H38" s="557">
        <v>0</v>
      </c>
      <c r="I38" s="557">
        <v>0</v>
      </c>
      <c r="J38" s="557">
        <v>0</v>
      </c>
      <c r="K38" s="557">
        <v>0</v>
      </c>
      <c r="L38" s="557">
        <v>71843.66</v>
      </c>
    </row>
    <row r="39" spans="1:12" ht="11.45" customHeight="1">
      <c r="A39" s="85">
        <v>3822</v>
      </c>
      <c r="B39" s="565" t="s">
        <v>520</v>
      </c>
      <c r="C39" s="565"/>
      <c r="D39" s="557">
        <v>7703.93</v>
      </c>
      <c r="E39" s="557">
        <v>0</v>
      </c>
      <c r="F39" s="557">
        <v>0</v>
      </c>
      <c r="G39" s="557">
        <v>7703.93</v>
      </c>
      <c r="H39" s="557">
        <v>6794.76</v>
      </c>
      <c r="I39" s="557">
        <v>0</v>
      </c>
      <c r="J39" s="557">
        <v>6794.76</v>
      </c>
      <c r="K39" s="557">
        <v>0</v>
      </c>
      <c r="L39" s="557">
        <v>909.17</v>
      </c>
    </row>
    <row r="40" spans="1:12" ht="11.45" customHeight="1">
      <c r="A40" s="85">
        <v>3831</v>
      </c>
      <c r="B40" s="565" t="s">
        <v>521</v>
      </c>
      <c r="C40" s="565"/>
      <c r="D40" s="557">
        <v>85937.78</v>
      </c>
      <c r="E40" s="557">
        <v>125890.45</v>
      </c>
      <c r="F40" s="557">
        <v>0</v>
      </c>
      <c r="G40" s="557">
        <v>211828.23</v>
      </c>
      <c r="H40" s="557">
        <v>0</v>
      </c>
      <c r="I40" s="557">
        <v>77427.81</v>
      </c>
      <c r="J40" s="557">
        <v>77427.81</v>
      </c>
      <c r="K40" s="557">
        <v>0</v>
      </c>
      <c r="L40" s="557">
        <v>134400.42000000001</v>
      </c>
    </row>
    <row r="41" spans="1:12" ht="11.45" customHeight="1">
      <c r="A41" s="85">
        <v>3832</v>
      </c>
      <c r="B41" s="565" t="s">
        <v>522</v>
      </c>
      <c r="C41" s="565"/>
      <c r="D41" s="557">
        <v>143175.21</v>
      </c>
      <c r="E41" s="557">
        <v>474.61</v>
      </c>
      <c r="F41" s="557">
        <v>0</v>
      </c>
      <c r="G41" s="557">
        <v>143649.82</v>
      </c>
      <c r="H41" s="557">
        <v>2607.86</v>
      </c>
      <c r="I41" s="557">
        <v>140964.41</v>
      </c>
      <c r="J41" s="557">
        <v>143572.26999999999</v>
      </c>
      <c r="K41" s="557">
        <v>0</v>
      </c>
      <c r="L41" s="557">
        <v>77.55</v>
      </c>
    </row>
    <row r="42" spans="1:12" ht="11.45" customHeight="1">
      <c r="A42" s="85">
        <v>3833</v>
      </c>
      <c r="B42" s="565" t="s">
        <v>523</v>
      </c>
      <c r="C42" s="565"/>
      <c r="D42" s="557">
        <v>1803.59</v>
      </c>
      <c r="E42" s="557">
        <v>53563.63</v>
      </c>
      <c r="F42" s="557">
        <v>0</v>
      </c>
      <c r="G42" s="557">
        <v>55367.22</v>
      </c>
      <c r="H42" s="557">
        <v>0</v>
      </c>
      <c r="I42" s="557">
        <v>52694.07</v>
      </c>
      <c r="J42" s="557">
        <v>52694.07</v>
      </c>
      <c r="K42" s="557">
        <v>0</v>
      </c>
      <c r="L42" s="557">
        <v>2673.15</v>
      </c>
    </row>
    <row r="43" spans="1:12" ht="11.45" customHeight="1">
      <c r="A43" s="85">
        <v>3838</v>
      </c>
      <c r="B43" s="565" t="s">
        <v>606</v>
      </c>
      <c r="C43" s="565"/>
      <c r="D43" s="557">
        <v>203513.54</v>
      </c>
      <c r="E43" s="557">
        <v>15823.91</v>
      </c>
      <c r="F43" s="557">
        <v>0</v>
      </c>
      <c r="G43" s="557">
        <v>219337.45</v>
      </c>
      <c r="H43" s="557">
        <v>0</v>
      </c>
      <c r="I43" s="557">
        <v>0</v>
      </c>
      <c r="J43" s="557">
        <v>0</v>
      </c>
      <c r="K43" s="557">
        <v>0</v>
      </c>
      <c r="L43" s="557">
        <v>219337.45</v>
      </c>
    </row>
    <row r="44" spans="1:12" ht="11.45" customHeight="1">
      <c r="A44" s="85">
        <v>3839</v>
      </c>
      <c r="B44" s="565" t="s">
        <v>607</v>
      </c>
      <c r="C44" s="565"/>
      <c r="D44" s="557">
        <v>101756.75</v>
      </c>
      <c r="E44" s="557">
        <v>7911.97</v>
      </c>
      <c r="F44" s="557">
        <v>0</v>
      </c>
      <c r="G44" s="557">
        <v>109668.72</v>
      </c>
      <c r="H44" s="557">
        <v>0</v>
      </c>
      <c r="I44" s="557">
        <v>0</v>
      </c>
      <c r="J44" s="557">
        <v>0</v>
      </c>
      <c r="K44" s="557">
        <v>0</v>
      </c>
      <c r="L44" s="557">
        <v>109668.72</v>
      </c>
    </row>
    <row r="45" spans="1:12" ht="11.45" customHeight="1">
      <c r="A45" s="85">
        <v>3841</v>
      </c>
      <c r="B45" s="565" t="s">
        <v>621</v>
      </c>
      <c r="C45" s="565"/>
      <c r="D45" s="557">
        <v>11566.61</v>
      </c>
      <c r="E45" s="557">
        <v>108.91</v>
      </c>
      <c r="F45" s="557">
        <v>0</v>
      </c>
      <c r="G45" s="557">
        <v>11675.52</v>
      </c>
      <c r="H45" s="557">
        <v>0</v>
      </c>
      <c r="I45" s="557">
        <v>10400</v>
      </c>
      <c r="J45" s="557">
        <v>10400</v>
      </c>
      <c r="K45" s="557">
        <v>0</v>
      </c>
      <c r="L45" s="557">
        <v>1275.52</v>
      </c>
    </row>
    <row r="46" spans="1:12" ht="11.45" customHeight="1">
      <c r="A46" s="85">
        <v>3843</v>
      </c>
      <c r="B46" s="565" t="s">
        <v>635</v>
      </c>
      <c r="C46" s="565"/>
      <c r="D46" s="557">
        <v>102402.37</v>
      </c>
      <c r="E46" s="557">
        <v>627594.5</v>
      </c>
      <c r="F46" s="557">
        <v>0</v>
      </c>
      <c r="G46" s="557">
        <v>729996.87</v>
      </c>
      <c r="H46" s="557">
        <v>0</v>
      </c>
      <c r="I46" s="557">
        <v>0</v>
      </c>
      <c r="J46" s="557">
        <v>0</v>
      </c>
      <c r="K46" s="557">
        <v>0</v>
      </c>
      <c r="L46" s="557">
        <v>729996.87</v>
      </c>
    </row>
    <row r="47" spans="1:12" ht="11.45" customHeight="1">
      <c r="A47" s="85">
        <v>3844</v>
      </c>
      <c r="B47" s="565" t="s">
        <v>1186</v>
      </c>
      <c r="C47" s="565"/>
      <c r="D47" s="557">
        <v>0</v>
      </c>
      <c r="E47" s="557">
        <v>309979.93</v>
      </c>
      <c r="F47" s="557">
        <v>0</v>
      </c>
      <c r="G47" s="557">
        <v>309979.93</v>
      </c>
      <c r="H47" s="557">
        <v>0</v>
      </c>
      <c r="I47" s="557">
        <v>0</v>
      </c>
      <c r="J47" s="557">
        <v>0</v>
      </c>
      <c r="K47" s="557">
        <v>0</v>
      </c>
      <c r="L47" s="557">
        <v>309979.93</v>
      </c>
    </row>
    <row r="48" spans="1:12" ht="11.45" customHeight="1">
      <c r="A48" s="85">
        <v>4000</v>
      </c>
      <c r="B48" s="565" t="s">
        <v>524</v>
      </c>
      <c r="C48" s="565"/>
      <c r="D48" s="557">
        <v>8.92</v>
      </c>
      <c r="E48" s="557">
        <v>0</v>
      </c>
      <c r="F48" s="557">
        <v>0</v>
      </c>
      <c r="G48" s="557">
        <v>8.92</v>
      </c>
      <c r="H48" s="557">
        <v>0</v>
      </c>
      <c r="I48" s="557">
        <v>0</v>
      </c>
      <c r="J48" s="557">
        <v>0</v>
      </c>
      <c r="K48" s="557">
        <v>0</v>
      </c>
      <c r="L48" s="557">
        <v>8.92</v>
      </c>
    </row>
    <row r="49" spans="1:12" ht="11.45" customHeight="1">
      <c r="A49" s="85">
        <v>4001</v>
      </c>
      <c r="B49" s="565" t="s">
        <v>525</v>
      </c>
      <c r="C49" s="565"/>
      <c r="D49" s="557">
        <v>2573.62</v>
      </c>
      <c r="E49" s="557">
        <v>271892.06</v>
      </c>
      <c r="F49" s="557">
        <v>0</v>
      </c>
      <c r="G49" s="557">
        <v>274465.68</v>
      </c>
      <c r="H49" s="557">
        <v>110618.93</v>
      </c>
      <c r="I49" s="557">
        <v>0</v>
      </c>
      <c r="J49" s="557">
        <v>110618.93</v>
      </c>
      <c r="K49" s="557">
        <v>0</v>
      </c>
      <c r="L49" s="557">
        <v>163846.75</v>
      </c>
    </row>
    <row r="50" spans="1:12" ht="11.45" customHeight="1">
      <c r="A50" s="85">
        <v>4011</v>
      </c>
      <c r="B50" s="565" t="s">
        <v>526</v>
      </c>
      <c r="C50" s="565"/>
      <c r="D50" s="557">
        <v>432726.35</v>
      </c>
      <c r="E50" s="557">
        <v>270114.09000000003</v>
      </c>
      <c r="F50" s="557">
        <v>0</v>
      </c>
      <c r="G50" s="557">
        <v>702840.44</v>
      </c>
      <c r="H50" s="557">
        <v>688451.85</v>
      </c>
      <c r="I50" s="557">
        <v>0</v>
      </c>
      <c r="J50" s="557">
        <v>688451.85</v>
      </c>
      <c r="K50" s="557">
        <v>0</v>
      </c>
      <c r="L50" s="557">
        <v>14388.59</v>
      </c>
    </row>
    <row r="51" spans="1:12" ht="11.45" customHeight="1">
      <c r="A51" s="85">
        <v>4030</v>
      </c>
      <c r="B51" s="565" t="s">
        <v>527</v>
      </c>
      <c r="C51" s="565"/>
      <c r="D51" s="557">
        <v>12.44</v>
      </c>
      <c r="E51" s="557">
        <v>0</v>
      </c>
      <c r="F51" s="557">
        <v>0</v>
      </c>
      <c r="G51" s="557">
        <v>12.44</v>
      </c>
      <c r="H51" s="557">
        <v>0</v>
      </c>
      <c r="I51" s="557">
        <v>0</v>
      </c>
      <c r="J51" s="557">
        <v>0</v>
      </c>
      <c r="K51" s="557">
        <v>0</v>
      </c>
      <c r="L51" s="557">
        <v>12.44</v>
      </c>
    </row>
    <row r="52" spans="1:12" ht="11.45" customHeight="1">
      <c r="A52" s="85">
        <v>4050</v>
      </c>
      <c r="B52" s="565" t="s">
        <v>528</v>
      </c>
      <c r="C52" s="565"/>
      <c r="D52" s="557">
        <v>222837.41</v>
      </c>
      <c r="E52" s="557">
        <v>366419.48</v>
      </c>
      <c r="F52" s="557">
        <v>0</v>
      </c>
      <c r="G52" s="557">
        <v>589256.89</v>
      </c>
      <c r="H52" s="557">
        <v>344790</v>
      </c>
      <c r="I52" s="557">
        <v>0</v>
      </c>
      <c r="J52" s="557">
        <v>344790</v>
      </c>
      <c r="K52" s="557">
        <v>0</v>
      </c>
      <c r="L52" s="557">
        <v>244466.89</v>
      </c>
    </row>
    <row r="53" spans="1:12" ht="11.45" customHeight="1">
      <c r="A53" s="85">
        <v>4051</v>
      </c>
      <c r="B53" s="565" t="s">
        <v>529</v>
      </c>
      <c r="C53" s="565"/>
      <c r="D53" s="557">
        <v>510.57</v>
      </c>
      <c r="E53" s="557">
        <v>46.68</v>
      </c>
      <c r="F53" s="557">
        <v>0</v>
      </c>
      <c r="G53" s="557">
        <v>557.25</v>
      </c>
      <c r="H53" s="557">
        <v>0</v>
      </c>
      <c r="I53" s="557">
        <v>0</v>
      </c>
      <c r="J53" s="557">
        <v>0</v>
      </c>
      <c r="K53" s="557">
        <v>0</v>
      </c>
      <c r="L53" s="557">
        <v>557.25</v>
      </c>
    </row>
    <row r="54" spans="1:12" ht="11.45" customHeight="1">
      <c r="A54" s="85">
        <v>4080</v>
      </c>
      <c r="B54" s="565" t="s">
        <v>530</v>
      </c>
      <c r="C54" s="565"/>
      <c r="D54" s="557">
        <v>49.53</v>
      </c>
      <c r="E54" s="557">
        <v>0</v>
      </c>
      <c r="F54" s="557">
        <v>0</v>
      </c>
      <c r="G54" s="557">
        <v>49.53</v>
      </c>
      <c r="H54" s="557">
        <v>0</v>
      </c>
      <c r="I54" s="557">
        <v>0</v>
      </c>
      <c r="J54" s="557">
        <v>0</v>
      </c>
      <c r="K54" s="557">
        <v>0</v>
      </c>
      <c r="L54" s="557">
        <v>49.53</v>
      </c>
    </row>
    <row r="55" spans="1:12" ht="11.45" customHeight="1">
      <c r="A55" s="85">
        <v>4090</v>
      </c>
      <c r="B55" s="565" t="s">
        <v>531</v>
      </c>
      <c r="C55" s="565"/>
      <c r="D55" s="557">
        <v>313240.15000000002</v>
      </c>
      <c r="E55" s="557">
        <v>306332.67</v>
      </c>
      <c r="F55" s="557">
        <v>0</v>
      </c>
      <c r="G55" s="557">
        <v>619572.81999999995</v>
      </c>
      <c r="H55" s="557">
        <v>523053.79</v>
      </c>
      <c r="I55" s="557">
        <v>0</v>
      </c>
      <c r="J55" s="557">
        <v>523053.79</v>
      </c>
      <c r="K55" s="557">
        <v>0</v>
      </c>
      <c r="L55" s="557">
        <v>96519.03</v>
      </c>
    </row>
    <row r="56" spans="1:12" ht="11.45" customHeight="1">
      <c r="A56" s="85">
        <v>4160</v>
      </c>
      <c r="B56" s="565" t="s">
        <v>532</v>
      </c>
      <c r="C56" s="565"/>
      <c r="D56" s="557">
        <v>132444.79999999999</v>
      </c>
      <c r="E56" s="557">
        <v>6705.06</v>
      </c>
      <c r="F56" s="557">
        <v>0</v>
      </c>
      <c r="G56" s="557">
        <v>139149.85999999999</v>
      </c>
      <c r="H56" s="557">
        <v>136375.82</v>
      </c>
      <c r="I56" s="557">
        <v>0</v>
      </c>
      <c r="J56" s="557">
        <v>136375.82</v>
      </c>
      <c r="K56" s="557">
        <v>0</v>
      </c>
      <c r="L56" s="557">
        <v>2774.04</v>
      </c>
    </row>
    <row r="57" spans="1:12" ht="11.45" customHeight="1">
      <c r="A57" s="85">
        <v>4170</v>
      </c>
      <c r="B57" s="565" t="s">
        <v>533</v>
      </c>
      <c r="C57" s="565"/>
      <c r="D57" s="557">
        <v>15744.22</v>
      </c>
      <c r="E57" s="557">
        <v>102550.28</v>
      </c>
      <c r="F57" s="557">
        <v>0</v>
      </c>
      <c r="G57" s="557">
        <v>118294.5</v>
      </c>
      <c r="H57" s="557">
        <v>106724</v>
      </c>
      <c r="I57" s="557">
        <v>7609.93</v>
      </c>
      <c r="J57" s="557">
        <v>114333.93</v>
      </c>
      <c r="K57" s="557">
        <v>0</v>
      </c>
      <c r="L57" s="557">
        <v>3960.57</v>
      </c>
    </row>
    <row r="58" spans="1:12" ht="11.45" customHeight="1">
      <c r="A58" s="85">
        <v>4190</v>
      </c>
      <c r="B58" s="565" t="s">
        <v>534</v>
      </c>
      <c r="C58" s="565"/>
      <c r="D58" s="557">
        <v>3309.38</v>
      </c>
      <c r="E58" s="557">
        <v>302.87</v>
      </c>
      <c r="F58" s="557">
        <v>0</v>
      </c>
      <c r="G58" s="557">
        <v>3612.25</v>
      </c>
      <c r="H58" s="557">
        <v>0</v>
      </c>
      <c r="I58" s="557">
        <v>0</v>
      </c>
      <c r="J58" s="557">
        <v>0</v>
      </c>
      <c r="K58" s="557">
        <v>0</v>
      </c>
      <c r="L58" s="557">
        <v>3612.25</v>
      </c>
    </row>
    <row r="59" spans="1:12" ht="11.45" customHeight="1">
      <c r="A59" s="85">
        <v>4220</v>
      </c>
      <c r="B59" s="565" t="s">
        <v>535</v>
      </c>
      <c r="C59" s="565"/>
      <c r="D59" s="557">
        <v>61068.87</v>
      </c>
      <c r="E59" s="557">
        <v>120498.47</v>
      </c>
      <c r="F59" s="557">
        <v>0</v>
      </c>
      <c r="G59" s="557">
        <v>181567.34</v>
      </c>
      <c r="H59" s="557">
        <v>180238.48</v>
      </c>
      <c r="I59" s="557">
        <v>574.89</v>
      </c>
      <c r="J59" s="557">
        <v>180813.37</v>
      </c>
      <c r="K59" s="557">
        <v>0</v>
      </c>
      <c r="L59" s="557">
        <v>753.97</v>
      </c>
    </row>
    <row r="60" spans="1:12" ht="11.45" customHeight="1">
      <c r="A60" s="85">
        <v>4234</v>
      </c>
      <c r="B60" s="565" t="s">
        <v>536</v>
      </c>
      <c r="C60" s="565"/>
      <c r="D60" s="557">
        <v>69.73</v>
      </c>
      <c r="E60" s="557">
        <v>0</v>
      </c>
      <c r="F60" s="557">
        <v>0</v>
      </c>
      <c r="G60" s="557">
        <v>69.73</v>
      </c>
      <c r="H60" s="557">
        <v>0</v>
      </c>
      <c r="I60" s="557">
        <v>0</v>
      </c>
      <c r="J60" s="557">
        <v>0</v>
      </c>
      <c r="K60" s="557">
        <v>0</v>
      </c>
      <c r="L60" s="557">
        <v>69.73</v>
      </c>
    </row>
    <row r="61" spans="1:12" ht="11.45" customHeight="1">
      <c r="A61" s="85">
        <v>4270</v>
      </c>
      <c r="B61" s="565" t="s">
        <v>537</v>
      </c>
      <c r="C61" s="565"/>
      <c r="D61" s="557">
        <v>506.95</v>
      </c>
      <c r="E61" s="557">
        <v>46.42</v>
      </c>
      <c r="F61" s="557">
        <v>0</v>
      </c>
      <c r="G61" s="557">
        <v>553.37</v>
      </c>
      <c r="H61" s="557">
        <v>0</v>
      </c>
      <c r="I61" s="557">
        <v>0</v>
      </c>
      <c r="J61" s="557">
        <v>0</v>
      </c>
      <c r="K61" s="557">
        <v>0</v>
      </c>
      <c r="L61" s="557">
        <v>553.37</v>
      </c>
    </row>
    <row r="62" spans="1:12" ht="11.45" customHeight="1">
      <c r="A62" s="85">
        <v>4290</v>
      </c>
      <c r="B62" s="565" t="s">
        <v>538</v>
      </c>
      <c r="C62" s="565"/>
      <c r="D62" s="557">
        <v>33.24</v>
      </c>
      <c r="E62" s="557">
        <v>0</v>
      </c>
      <c r="F62" s="557">
        <v>0</v>
      </c>
      <c r="G62" s="557">
        <v>33.24</v>
      </c>
      <c r="H62" s="557">
        <v>0</v>
      </c>
      <c r="I62" s="557">
        <v>0</v>
      </c>
      <c r="J62" s="557">
        <v>0</v>
      </c>
      <c r="K62" s="557">
        <v>0</v>
      </c>
      <c r="L62" s="557">
        <v>33.24</v>
      </c>
    </row>
    <row r="63" spans="1:12" ht="11.45" customHeight="1">
      <c r="A63" s="85">
        <v>4292</v>
      </c>
      <c r="B63" s="565" t="s">
        <v>539</v>
      </c>
      <c r="C63" s="565"/>
      <c r="D63" s="557">
        <v>51604.53</v>
      </c>
      <c r="E63" s="557">
        <v>4722.7299999999996</v>
      </c>
      <c r="F63" s="557">
        <v>0</v>
      </c>
      <c r="G63" s="557">
        <v>56327.26</v>
      </c>
      <c r="H63" s="557">
        <v>0</v>
      </c>
      <c r="I63" s="557">
        <v>0</v>
      </c>
      <c r="J63" s="557">
        <v>0</v>
      </c>
      <c r="K63" s="557">
        <v>0</v>
      </c>
      <c r="L63" s="557">
        <v>56327.26</v>
      </c>
    </row>
    <row r="64" spans="1:12" ht="11.45" customHeight="1">
      <c r="A64" s="85">
        <v>4293</v>
      </c>
      <c r="B64" s="565" t="s">
        <v>540</v>
      </c>
      <c r="C64" s="565"/>
      <c r="D64" s="557">
        <v>2427.89</v>
      </c>
      <c r="E64" s="557">
        <v>222.21</v>
      </c>
      <c r="F64" s="557">
        <v>0</v>
      </c>
      <c r="G64" s="557">
        <v>2650.1</v>
      </c>
      <c r="H64" s="557">
        <v>0</v>
      </c>
      <c r="I64" s="557">
        <v>0</v>
      </c>
      <c r="J64" s="557">
        <v>0</v>
      </c>
      <c r="K64" s="557">
        <v>0</v>
      </c>
      <c r="L64" s="557">
        <v>2650.1</v>
      </c>
    </row>
    <row r="65" spans="1:12" ht="11.45" customHeight="1">
      <c r="A65" s="85">
        <v>4294</v>
      </c>
      <c r="B65" s="565" t="s">
        <v>541</v>
      </c>
      <c r="C65" s="565"/>
      <c r="D65" s="557">
        <v>7294.84</v>
      </c>
      <c r="E65" s="557">
        <v>667.62</v>
      </c>
      <c r="F65" s="557">
        <v>0</v>
      </c>
      <c r="G65" s="557">
        <v>7962.46</v>
      </c>
      <c r="H65" s="557">
        <v>0</v>
      </c>
      <c r="I65" s="557">
        <v>0</v>
      </c>
      <c r="J65" s="557">
        <v>0</v>
      </c>
      <c r="K65" s="557">
        <v>0</v>
      </c>
      <c r="L65" s="557">
        <v>7962.46</v>
      </c>
    </row>
    <row r="66" spans="1:12" ht="11.45" customHeight="1">
      <c r="A66" s="85">
        <v>4295</v>
      </c>
      <c r="B66" s="565" t="s">
        <v>542</v>
      </c>
      <c r="C66" s="565"/>
      <c r="D66" s="557">
        <v>69461.37</v>
      </c>
      <c r="E66" s="557">
        <v>2226.2399999999998</v>
      </c>
      <c r="F66" s="557">
        <v>0</v>
      </c>
      <c r="G66" s="557">
        <v>71687.61</v>
      </c>
      <c r="H66" s="557">
        <v>0</v>
      </c>
      <c r="I66" s="557">
        <v>66479.460000000006</v>
      </c>
      <c r="J66" s="557">
        <v>66479.460000000006</v>
      </c>
      <c r="K66" s="557">
        <v>0</v>
      </c>
      <c r="L66" s="557">
        <v>5208.1499999999996</v>
      </c>
    </row>
    <row r="67" spans="1:12" ht="11.45" customHeight="1">
      <c r="A67" s="85">
        <v>4297</v>
      </c>
      <c r="B67" s="565" t="s">
        <v>664</v>
      </c>
      <c r="C67" s="565"/>
      <c r="D67" s="557">
        <v>0</v>
      </c>
      <c r="E67" s="557">
        <v>51635.56</v>
      </c>
      <c r="F67" s="557">
        <v>0</v>
      </c>
      <c r="G67" s="557">
        <v>51635.56</v>
      </c>
      <c r="H67" s="557">
        <v>49999</v>
      </c>
      <c r="I67" s="557">
        <v>0</v>
      </c>
      <c r="J67" s="557">
        <v>49999</v>
      </c>
      <c r="K67" s="557">
        <v>0</v>
      </c>
      <c r="L67" s="557">
        <v>1636.56</v>
      </c>
    </row>
    <row r="68" spans="1:12" ht="11.45" customHeight="1">
      <c r="A68" s="85">
        <v>4500</v>
      </c>
      <c r="B68" s="565" t="s">
        <v>543</v>
      </c>
      <c r="C68" s="565"/>
      <c r="D68" s="557">
        <v>1054909.3799999999</v>
      </c>
      <c r="E68" s="557">
        <v>3718100.15</v>
      </c>
      <c r="F68" s="557">
        <v>0</v>
      </c>
      <c r="G68" s="557">
        <v>4773009.53</v>
      </c>
      <c r="H68" s="557">
        <v>3896212.98</v>
      </c>
      <c r="I68" s="557">
        <v>212636.65</v>
      </c>
      <c r="J68" s="557">
        <v>4108849.63</v>
      </c>
      <c r="K68" s="557">
        <v>0</v>
      </c>
      <c r="L68" s="557">
        <v>664159.9</v>
      </c>
    </row>
    <row r="69" spans="1:12" ht="11.45" customHeight="1">
      <c r="A69" s="85">
        <v>4501</v>
      </c>
      <c r="B69" s="565" t="s">
        <v>544</v>
      </c>
      <c r="C69" s="565"/>
      <c r="D69" s="557">
        <v>44945.33</v>
      </c>
      <c r="E69" s="557">
        <v>798612.12</v>
      </c>
      <c r="F69" s="557">
        <v>0</v>
      </c>
      <c r="G69" s="557">
        <v>843557.45</v>
      </c>
      <c r="H69" s="557">
        <v>684351.47</v>
      </c>
      <c r="I69" s="557">
        <v>35537.75</v>
      </c>
      <c r="J69" s="557">
        <v>719889.22</v>
      </c>
      <c r="K69" s="557">
        <v>0</v>
      </c>
      <c r="L69" s="557">
        <v>123668.23</v>
      </c>
    </row>
    <row r="70" spans="1:12" ht="11.45" customHeight="1">
      <c r="A70" s="85">
        <v>4502</v>
      </c>
      <c r="B70" s="565" t="s">
        <v>545</v>
      </c>
      <c r="C70" s="565"/>
      <c r="D70" s="557">
        <v>97004.35</v>
      </c>
      <c r="E70" s="557">
        <v>122464.18</v>
      </c>
      <c r="F70" s="557">
        <v>0</v>
      </c>
      <c r="G70" s="557">
        <v>219468.53</v>
      </c>
      <c r="H70" s="557">
        <v>90903.69</v>
      </c>
      <c r="I70" s="557">
        <v>36420.65</v>
      </c>
      <c r="J70" s="557">
        <v>127324.34</v>
      </c>
      <c r="K70" s="557">
        <v>0</v>
      </c>
      <c r="L70" s="557">
        <v>92144.19</v>
      </c>
    </row>
    <row r="71" spans="1:12" ht="11.45" customHeight="1">
      <c r="A71" s="85">
        <v>4503</v>
      </c>
      <c r="B71" s="565" t="s">
        <v>546</v>
      </c>
      <c r="C71" s="565"/>
      <c r="D71" s="557">
        <v>114958.1</v>
      </c>
      <c r="E71" s="557">
        <v>214731.16</v>
      </c>
      <c r="F71" s="557">
        <v>0</v>
      </c>
      <c r="G71" s="557">
        <v>329689.26</v>
      </c>
      <c r="H71" s="557">
        <v>238067.24</v>
      </c>
      <c r="I71" s="557">
        <v>1743.4</v>
      </c>
      <c r="J71" s="557">
        <v>239810.64</v>
      </c>
      <c r="K71" s="557">
        <v>0</v>
      </c>
      <c r="L71" s="557">
        <v>89878.62</v>
      </c>
    </row>
    <row r="72" spans="1:12" ht="11.45" customHeight="1">
      <c r="A72" s="85">
        <v>4504</v>
      </c>
      <c r="B72" s="565" t="s">
        <v>547</v>
      </c>
      <c r="C72" s="565"/>
      <c r="D72" s="557">
        <v>56450.81</v>
      </c>
      <c r="E72" s="557">
        <v>10692.57</v>
      </c>
      <c r="F72" s="557">
        <v>0</v>
      </c>
      <c r="G72" s="557">
        <v>67143.38</v>
      </c>
      <c r="H72" s="557">
        <v>1708.2</v>
      </c>
      <c r="I72" s="557">
        <v>0</v>
      </c>
      <c r="J72" s="557">
        <v>1708.2</v>
      </c>
      <c r="K72" s="557">
        <v>0</v>
      </c>
      <c r="L72" s="557">
        <v>65435.18</v>
      </c>
    </row>
    <row r="73" spans="1:12" ht="11.45" customHeight="1">
      <c r="A73" s="85">
        <v>4505</v>
      </c>
      <c r="B73" s="565" t="s">
        <v>548</v>
      </c>
      <c r="C73" s="565"/>
      <c r="D73" s="557">
        <v>787329.99</v>
      </c>
      <c r="E73" s="557">
        <v>518734.47</v>
      </c>
      <c r="F73" s="557">
        <v>0</v>
      </c>
      <c r="G73" s="557">
        <v>1306064.46</v>
      </c>
      <c r="H73" s="557">
        <v>138828.82999999999</v>
      </c>
      <c r="I73" s="557">
        <v>282916.65999999997</v>
      </c>
      <c r="J73" s="557">
        <v>421745.49</v>
      </c>
      <c r="K73" s="557">
        <v>0</v>
      </c>
      <c r="L73" s="557">
        <v>884318.97</v>
      </c>
    </row>
    <row r="74" spans="1:12" ht="11.45" customHeight="1">
      <c r="A74" s="85">
        <v>4506</v>
      </c>
      <c r="B74" s="565" t="s">
        <v>549</v>
      </c>
      <c r="C74" s="565"/>
      <c r="D74" s="557">
        <v>14175.24</v>
      </c>
      <c r="E74" s="557">
        <v>255362.21</v>
      </c>
      <c r="F74" s="557">
        <v>0</v>
      </c>
      <c r="G74" s="557">
        <v>269537.45</v>
      </c>
      <c r="H74" s="557">
        <v>0</v>
      </c>
      <c r="I74" s="557">
        <v>14005.63</v>
      </c>
      <c r="J74" s="557">
        <v>14005.63</v>
      </c>
      <c r="K74" s="557">
        <v>0</v>
      </c>
      <c r="L74" s="557">
        <v>255531.82</v>
      </c>
    </row>
    <row r="75" spans="1:12" ht="11.45" customHeight="1">
      <c r="A75" s="85">
        <v>4507</v>
      </c>
      <c r="B75" s="565" t="s">
        <v>550</v>
      </c>
      <c r="C75" s="565"/>
      <c r="D75" s="557">
        <v>311.81</v>
      </c>
      <c r="E75" s="557">
        <v>63.26</v>
      </c>
      <c r="F75" s="557">
        <v>0</v>
      </c>
      <c r="G75" s="557">
        <v>375.07</v>
      </c>
      <c r="H75" s="557">
        <v>0</v>
      </c>
      <c r="I75" s="557">
        <v>0</v>
      </c>
      <c r="J75" s="557">
        <v>0</v>
      </c>
      <c r="K75" s="557">
        <v>0</v>
      </c>
      <c r="L75" s="557">
        <v>375.07</v>
      </c>
    </row>
    <row r="76" spans="1:12" ht="11.45" customHeight="1">
      <c r="A76" s="85">
        <v>4509</v>
      </c>
      <c r="B76" s="565" t="s">
        <v>551</v>
      </c>
      <c r="C76" s="565"/>
      <c r="D76" s="557">
        <v>92042.33</v>
      </c>
      <c r="E76" s="557">
        <v>7157.56</v>
      </c>
      <c r="F76" s="557">
        <v>0</v>
      </c>
      <c r="G76" s="557">
        <v>99199.89</v>
      </c>
      <c r="H76" s="557">
        <v>0</v>
      </c>
      <c r="I76" s="557">
        <v>0</v>
      </c>
      <c r="J76" s="557">
        <v>0</v>
      </c>
      <c r="K76" s="557">
        <v>0</v>
      </c>
      <c r="L76" s="557">
        <v>99199.89</v>
      </c>
    </row>
    <row r="77" spans="1:12" ht="11.45" customHeight="1">
      <c r="A77" s="85">
        <v>4511</v>
      </c>
      <c r="B77" s="565" t="s">
        <v>552</v>
      </c>
      <c r="C77" s="565"/>
      <c r="D77" s="557">
        <v>23964.31</v>
      </c>
      <c r="E77" s="557">
        <v>407.95</v>
      </c>
      <c r="F77" s="557">
        <v>0</v>
      </c>
      <c r="G77" s="557">
        <v>24372.26</v>
      </c>
      <c r="H77" s="557">
        <v>16129.99</v>
      </c>
      <c r="I77" s="557">
        <v>5715</v>
      </c>
      <c r="J77" s="557">
        <v>21844.99</v>
      </c>
      <c r="K77" s="557">
        <v>0</v>
      </c>
      <c r="L77" s="557">
        <v>2527.27</v>
      </c>
    </row>
    <row r="78" spans="1:12" ht="11.45" customHeight="1">
      <c r="A78" s="85">
        <v>4512</v>
      </c>
      <c r="B78" s="565" t="s">
        <v>553</v>
      </c>
      <c r="C78" s="565"/>
      <c r="D78" s="557">
        <v>17781.099999999999</v>
      </c>
      <c r="E78" s="557">
        <v>1326.56</v>
      </c>
      <c r="F78" s="557">
        <v>0</v>
      </c>
      <c r="G78" s="557">
        <v>19107.66</v>
      </c>
      <c r="H78" s="557">
        <v>0</v>
      </c>
      <c r="I78" s="557">
        <v>0</v>
      </c>
      <c r="J78" s="557">
        <v>0</v>
      </c>
      <c r="K78" s="557">
        <v>0</v>
      </c>
      <c r="L78" s="557">
        <v>19107.66</v>
      </c>
    </row>
    <row r="79" spans="1:12" ht="11.45" customHeight="1">
      <c r="A79" s="85">
        <v>4986</v>
      </c>
      <c r="B79" s="565" t="s">
        <v>554</v>
      </c>
      <c r="C79" s="565"/>
      <c r="D79" s="557">
        <v>136.38999999999999</v>
      </c>
      <c r="E79" s="557">
        <v>0</v>
      </c>
      <c r="F79" s="557">
        <v>0</v>
      </c>
      <c r="G79" s="557">
        <v>136.38999999999999</v>
      </c>
      <c r="H79" s="557">
        <v>0</v>
      </c>
      <c r="I79" s="557">
        <v>0</v>
      </c>
      <c r="J79" s="557">
        <v>0</v>
      </c>
      <c r="K79" s="557">
        <v>0</v>
      </c>
      <c r="L79" s="557">
        <v>136.38999999999999</v>
      </c>
    </row>
    <row r="80" spans="1:12" ht="11.45" customHeight="1">
      <c r="A80" s="85">
        <v>8001</v>
      </c>
      <c r="B80" s="565" t="s">
        <v>555</v>
      </c>
      <c r="C80" s="565"/>
      <c r="D80" s="557">
        <v>1014219.93</v>
      </c>
      <c r="E80" s="557">
        <v>0</v>
      </c>
      <c r="F80" s="557">
        <v>0</v>
      </c>
      <c r="G80" s="557">
        <v>1014219.93</v>
      </c>
      <c r="H80" s="557">
        <v>0</v>
      </c>
      <c r="I80" s="557">
        <v>0</v>
      </c>
      <c r="J80" s="557">
        <v>0</v>
      </c>
      <c r="K80" s="557">
        <v>0</v>
      </c>
      <c r="L80" s="557">
        <v>1014219.93</v>
      </c>
    </row>
    <row r="81" spans="1:12">
      <c r="A81">
        <v>8024</v>
      </c>
      <c r="B81" t="s">
        <v>556</v>
      </c>
      <c r="D81" s="558">
        <v>390.63</v>
      </c>
      <c r="E81" s="558">
        <v>0</v>
      </c>
      <c r="F81" s="558">
        <v>0</v>
      </c>
      <c r="G81" s="558">
        <v>390.63</v>
      </c>
      <c r="H81" s="558">
        <v>0</v>
      </c>
      <c r="I81" s="558">
        <v>0</v>
      </c>
      <c r="J81" s="558">
        <v>0</v>
      </c>
      <c r="K81" s="558">
        <v>0</v>
      </c>
      <c r="L81" s="558">
        <v>390.63</v>
      </c>
    </row>
    <row r="82" spans="1:12" ht="11.45" customHeight="1">
      <c r="A82" s="564">
        <v>8050</v>
      </c>
      <c r="B82" s="564" t="s">
        <v>557</v>
      </c>
      <c r="C82" s="564"/>
      <c r="D82" s="559">
        <v>822088.43</v>
      </c>
      <c r="E82" s="559">
        <v>0</v>
      </c>
      <c r="F82" s="559">
        <v>0</v>
      </c>
      <c r="G82" s="559">
        <v>822088.43</v>
      </c>
      <c r="H82" s="559">
        <v>0</v>
      </c>
      <c r="I82" s="559">
        <v>0</v>
      </c>
      <c r="J82" s="559">
        <v>0</v>
      </c>
      <c r="K82" s="559">
        <v>0</v>
      </c>
      <c r="L82" s="559">
        <v>822088.43</v>
      </c>
    </row>
    <row r="83" spans="1:12">
      <c r="D83" s="558"/>
      <c r="E83" s="558"/>
      <c r="F83" s="558"/>
      <c r="G83" s="558"/>
      <c r="H83" s="558"/>
      <c r="I83" s="558"/>
      <c r="J83" s="558"/>
      <c r="K83" s="558"/>
      <c r="L83" s="558"/>
    </row>
    <row r="84" spans="1:12">
      <c r="A84" t="s">
        <v>177</v>
      </c>
      <c r="D84" s="558">
        <v>62432940.880000003</v>
      </c>
      <c r="E84" s="558">
        <v>143908127.09999999</v>
      </c>
      <c r="F84" s="558">
        <v>3949440.82</v>
      </c>
      <c r="G84" s="558">
        <v>210290508.80000001</v>
      </c>
      <c r="H84" s="558">
        <v>128168366.90000001</v>
      </c>
      <c r="I84" s="558">
        <v>8528852.75</v>
      </c>
      <c r="J84" s="558">
        <v>136697219.65000001</v>
      </c>
      <c r="K84" s="558">
        <v>3949440.82</v>
      </c>
      <c r="L84" s="558">
        <v>69643848.329999998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20</vt:i4>
      </vt:variant>
    </vt:vector>
  </HeadingPairs>
  <TitlesOfParts>
    <vt:vector size="20" baseType="lpstr">
      <vt:lpstr>RREO</vt:lpstr>
      <vt:lpstr>BalOrç</vt:lpstr>
      <vt:lpstr>Funç</vt:lpstr>
      <vt:lpstr>Result</vt:lpstr>
      <vt:lpstr>Restos</vt:lpstr>
      <vt:lpstr>Alienaç</vt:lpstr>
      <vt:lpstr>PPP</vt:lpstr>
      <vt:lpstr>Dívid</vt:lpstr>
      <vt:lpstr>RCL</vt:lpstr>
      <vt:lpstr>DCLP</vt:lpstr>
      <vt:lpstr>DCLP_RCL</vt:lpstr>
      <vt:lpstr>AcompFAPS</vt:lpstr>
      <vt:lpstr>Cronogra</vt:lpstr>
      <vt:lpstr>Cruz</vt:lpstr>
      <vt:lpstr>Exec_Orç</vt:lpstr>
      <vt:lpstr>Míni</vt:lpstr>
      <vt:lpstr>DespSEDUC</vt:lpstr>
      <vt:lpstr>Emp</vt:lpstr>
      <vt:lpstr>Liquid</vt:lpstr>
      <vt:lpstr>Pgtos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2022-11-29T14:52:59Z</cp:lastPrinted>
  <dcterms:created xsi:type="dcterms:W3CDTF">2021-06-02T17:39:55Z</dcterms:created>
  <dcterms:modified xsi:type="dcterms:W3CDTF">2022-11-29T16:14:34Z</dcterms:modified>
</cp:coreProperties>
</file>