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jpeg" ContentType="image/jpeg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RREO" sheetId="16" r:id="rId1"/>
    <sheet name="RGF" sheetId="28" r:id="rId2"/>
    <sheet name="Restos" sheetId="17" r:id="rId3"/>
    <sheet name="RCL" sheetId="1" r:id="rId4"/>
    <sheet name="DCLP" sheetId="2" r:id="rId5"/>
    <sheet name="DCLP_RCL" sheetId="9" r:id="rId6"/>
    <sheet name="AcompFAPS" sheetId="3" r:id="rId7"/>
    <sheet name="Cronogra" sheetId="7" r:id="rId8"/>
    <sheet name="Cruz" sheetId="8" r:id="rId9"/>
    <sheet name="Exec_Orç" sheetId="4" r:id="rId10"/>
    <sheet name="Míni" sheetId="6" r:id="rId11"/>
    <sheet name="DespSEDUC" sheetId="5" r:id="rId12"/>
    <sheet name="Emp" sheetId="11" r:id="rId13"/>
    <sheet name="Liquid" sheetId="10" r:id="rId14"/>
    <sheet name="Pgtos" sheetId="12" r:id="rId15"/>
    <sheet name="Bal_Orç" sheetId="19" r:id="rId16"/>
    <sheet name="Funções" sheetId="27" r:id="rId17"/>
    <sheet name="RPPS" sheetId="20" r:id="rId18"/>
    <sheet name="Result" sheetId="21" r:id="rId19"/>
    <sheet name="ASPS" sheetId="24" r:id="rId20"/>
    <sheet name="MDE" sheetId="26" r:id="rId21"/>
    <sheet name="Divid" sheetId="29" r:id="rId22"/>
  </sheets>
  <externalReferences>
    <externalReference r:id="rId23"/>
    <externalReference r:id="rId24"/>
  </externalReferences>
  <calcPr calcId="125725"/>
</workbook>
</file>

<file path=xl/calcChain.xml><?xml version="1.0" encoding="utf-8"?>
<calcChain xmlns="http://schemas.openxmlformats.org/spreadsheetml/2006/main">
  <c r="D73" i="16"/>
  <c r="B18" i="28"/>
  <c r="B17"/>
  <c r="B16"/>
  <c r="C15"/>
  <c r="L35" i="4"/>
  <c r="L34"/>
  <c r="E17" i="5"/>
  <c r="E35" i="6"/>
  <c r="G23"/>
  <c r="I38"/>
  <c r="D19"/>
  <c r="D18"/>
  <c r="D17"/>
  <c r="D15"/>
  <c r="D12"/>
  <c r="D34"/>
  <c r="B34"/>
  <c r="C34"/>
  <c r="D11"/>
  <c r="D10"/>
  <c r="D9"/>
  <c r="D8"/>
  <c r="K33"/>
  <c r="J33"/>
  <c r="I33"/>
  <c r="J36" i="8"/>
  <c r="F90" i="7"/>
  <c r="V4" i="4"/>
  <c r="U20"/>
  <c r="T20"/>
  <c r="S20"/>
  <c r="R20"/>
  <c r="Q20"/>
  <c r="P20"/>
  <c r="L20"/>
  <c r="J19"/>
  <c r="H27" l="1"/>
  <c r="L27"/>
  <c r="H25"/>
  <c r="M26"/>
  <c r="H24"/>
  <c r="L26"/>
  <c r="H26"/>
  <c r="L25"/>
  <c r="N17"/>
  <c r="J20"/>
  <c r="J12"/>
  <c r="J11"/>
  <c r="N9"/>
  <c r="K9"/>
  <c r="K16"/>
  <c r="N15"/>
  <c r="K15"/>
  <c r="I13"/>
  <c r="N14"/>
  <c r="K14"/>
  <c r="K13"/>
  <c r="I12"/>
  <c r="K12"/>
  <c r="I11"/>
  <c r="K11"/>
  <c r="N10"/>
  <c r="I8"/>
  <c r="K8"/>
  <c r="N7"/>
  <c r="K7"/>
  <c r="N6"/>
  <c r="N5"/>
  <c r="H26" i="8"/>
  <c r="H25"/>
  <c r="H16"/>
  <c r="D92" i="7" l="1"/>
  <c r="F91"/>
  <c r="E91"/>
  <c r="E90"/>
  <c r="G90"/>
  <c r="G91" s="1"/>
  <c r="H90"/>
  <c r="D90"/>
  <c r="AE66"/>
  <c r="V62"/>
  <c r="V59"/>
  <c r="V57"/>
  <c r="X85"/>
  <c r="F20" i="4"/>
  <c r="I28" i="8"/>
  <c r="F12"/>
  <c r="F13"/>
  <c r="F14"/>
  <c r="F15"/>
  <c r="F16"/>
  <c r="F17"/>
  <c r="F18"/>
  <c r="F19"/>
  <c r="F20"/>
  <c r="F21"/>
  <c r="F22"/>
  <c r="F23"/>
  <c r="F24"/>
  <c r="F25"/>
  <c r="F26"/>
  <c r="F11"/>
  <c r="H54" i="7"/>
  <c r="D54"/>
  <c r="D43"/>
  <c r="G49" i="3" l="1"/>
  <c r="Q47"/>
  <c r="P47"/>
  <c r="G46"/>
  <c r="F47"/>
  <c r="F46"/>
  <c r="E47"/>
  <c r="Q43"/>
  <c r="F43"/>
  <c r="F36"/>
  <c r="F35"/>
  <c r="F34"/>
  <c r="P37"/>
  <c r="Q37"/>
  <c r="G43"/>
  <c r="G36"/>
  <c r="G35"/>
  <c r="G34"/>
  <c r="P34"/>
  <c r="Q34" s="1"/>
  <c r="I24" i="2"/>
  <c r="I20"/>
  <c r="J6"/>
  <c r="M6"/>
  <c r="N6"/>
  <c r="P6"/>
  <c r="Q6"/>
  <c r="R6"/>
  <c r="S6"/>
  <c r="T6"/>
  <c r="J7"/>
  <c r="K7"/>
  <c r="M7"/>
  <c r="N7"/>
  <c r="P7"/>
  <c r="Q7"/>
  <c r="S7"/>
  <c r="T7"/>
  <c r="L8"/>
  <c r="O8"/>
  <c r="J10"/>
  <c r="J8" s="1"/>
  <c r="K10"/>
  <c r="M10"/>
  <c r="M8" s="1"/>
  <c r="N10"/>
  <c r="N8" s="1"/>
  <c r="P10"/>
  <c r="P8" s="1"/>
  <c r="Q10"/>
  <c r="S10"/>
  <c r="S8" s="1"/>
  <c r="T10"/>
  <c r="T8" s="1"/>
  <c r="K12"/>
  <c r="K8" s="1"/>
  <c r="M12"/>
  <c r="N12"/>
  <c r="P12"/>
  <c r="Q12"/>
  <c r="Q8" s="1"/>
  <c r="S12"/>
  <c r="T12"/>
  <c r="J14"/>
  <c r="K14"/>
  <c r="P14"/>
  <c r="Q14"/>
  <c r="R14"/>
  <c r="R8" s="1"/>
  <c r="S14"/>
  <c r="T14"/>
  <c r="J18"/>
  <c r="K18"/>
  <c r="M18"/>
  <c r="N18"/>
  <c r="P18"/>
  <c r="S18"/>
  <c r="T18"/>
  <c r="J23"/>
  <c r="K23"/>
  <c r="L23"/>
  <c r="M23"/>
  <c r="N23"/>
  <c r="O23"/>
  <c r="P23"/>
  <c r="Q23"/>
  <c r="R23"/>
  <c r="S23"/>
  <c r="T23"/>
  <c r="M25"/>
  <c r="N25"/>
  <c r="O25"/>
  <c r="P25"/>
  <c r="Q25"/>
  <c r="R25"/>
  <c r="S25"/>
  <c r="T25"/>
  <c r="D13" i="1"/>
  <c r="C24"/>
  <c r="D24"/>
  <c r="D25"/>
  <c r="D18"/>
  <c r="D14"/>
  <c r="E38"/>
  <c r="F38"/>
  <c r="G38"/>
  <c r="H38"/>
  <c r="I38"/>
  <c r="J38"/>
  <c r="K38"/>
  <c r="L38"/>
  <c r="M38"/>
  <c r="N38"/>
  <c r="O38"/>
  <c r="J5"/>
  <c r="L5"/>
  <c r="M5"/>
  <c r="G6"/>
  <c r="G5" s="1"/>
  <c r="G31" s="1"/>
  <c r="G33" s="1"/>
  <c r="G35" s="1"/>
  <c r="H6"/>
  <c r="I6"/>
  <c r="I5" s="1"/>
  <c r="I31" s="1"/>
  <c r="I33" s="1"/>
  <c r="I35" s="1"/>
  <c r="L6"/>
  <c r="N6"/>
  <c r="N5" s="1"/>
  <c r="N31" s="1"/>
  <c r="N33" s="1"/>
  <c r="N35" s="1"/>
  <c r="E7"/>
  <c r="E5" s="1"/>
  <c r="F7"/>
  <c r="F5" s="1"/>
  <c r="F31" s="1"/>
  <c r="F33" s="1"/>
  <c r="F35" s="1"/>
  <c r="G7"/>
  <c r="H7"/>
  <c r="H5" s="1"/>
  <c r="H31" s="1"/>
  <c r="H33" s="1"/>
  <c r="H35" s="1"/>
  <c r="I7"/>
  <c r="K7"/>
  <c r="K5" s="1"/>
  <c r="K31" s="1"/>
  <c r="K33" s="1"/>
  <c r="K35" s="1"/>
  <c r="L7"/>
  <c r="N7"/>
  <c r="O7"/>
  <c r="O5" s="1"/>
  <c r="E13"/>
  <c r="F13"/>
  <c r="F8" s="1"/>
  <c r="G13"/>
  <c r="H13"/>
  <c r="H8" s="1"/>
  <c r="I13"/>
  <c r="J13"/>
  <c r="J8" s="1"/>
  <c r="J31" s="1"/>
  <c r="J33" s="1"/>
  <c r="J35" s="1"/>
  <c r="K13"/>
  <c r="L13"/>
  <c r="L8" s="1"/>
  <c r="L31" s="1"/>
  <c r="L33" s="1"/>
  <c r="L35" s="1"/>
  <c r="M13"/>
  <c r="N13"/>
  <c r="N8" s="1"/>
  <c r="O13"/>
  <c r="E14"/>
  <c r="E8" s="1"/>
  <c r="F14"/>
  <c r="G14"/>
  <c r="G8" s="1"/>
  <c r="H14"/>
  <c r="I14"/>
  <c r="I8" s="1"/>
  <c r="J14"/>
  <c r="K14"/>
  <c r="K8" s="1"/>
  <c r="L14"/>
  <c r="M14"/>
  <c r="M8" s="1"/>
  <c r="M31" s="1"/>
  <c r="M33" s="1"/>
  <c r="M35" s="1"/>
  <c r="N14"/>
  <c r="O14"/>
  <c r="O8" s="1"/>
  <c r="F16"/>
  <c r="G16"/>
  <c r="I16"/>
  <c r="L16"/>
  <c r="O16"/>
  <c r="E18"/>
  <c r="F18"/>
  <c r="G18"/>
  <c r="H18"/>
  <c r="I18"/>
  <c r="J18"/>
  <c r="K18"/>
  <c r="L18"/>
  <c r="M18"/>
  <c r="N18"/>
  <c r="O18"/>
  <c r="G24"/>
  <c r="H24"/>
  <c r="I24"/>
  <c r="L24"/>
  <c r="M24"/>
  <c r="N24"/>
  <c r="O24"/>
  <c r="E25"/>
  <c r="G25"/>
  <c r="H25"/>
  <c r="I25"/>
  <c r="K25"/>
  <c r="L25"/>
  <c r="M25"/>
  <c r="N25"/>
  <c r="O25"/>
  <c r="J34"/>
  <c r="L14" i="6"/>
  <c r="L13"/>
  <c r="L8"/>
  <c r="H14"/>
  <c r="H13"/>
  <c r="H8"/>
  <c r="F16"/>
  <c r="F14"/>
  <c r="F13"/>
  <c r="F8"/>
  <c r="C12"/>
  <c r="I5" i="2"/>
  <c r="K5"/>
  <c r="K20" s="1"/>
  <c r="N5"/>
  <c r="L5"/>
  <c r="L20" s="1"/>
  <c r="O5"/>
  <c r="O20" s="1"/>
  <c r="P5"/>
  <c r="P20" s="1"/>
  <c r="Q5"/>
  <c r="Q20" s="1"/>
  <c r="R5"/>
  <c r="R20" s="1"/>
  <c r="S5"/>
  <c r="S20" s="1"/>
  <c r="T5"/>
  <c r="T20" s="1"/>
  <c r="J5"/>
  <c r="J20" s="1"/>
  <c r="M5"/>
  <c r="M20" s="1"/>
  <c r="D5" i="1"/>
  <c r="H6" i="2"/>
  <c r="B15" i="5"/>
  <c r="B40"/>
  <c r="E15"/>
  <c r="D15"/>
  <c r="C15"/>
  <c r="I19" i="6"/>
  <c r="J19" s="1"/>
  <c r="I18"/>
  <c r="J18" s="1"/>
  <c r="I17"/>
  <c r="J17" s="1"/>
  <c r="I15"/>
  <c r="J15" s="1"/>
  <c r="I12"/>
  <c r="C19"/>
  <c r="C18"/>
  <c r="C17"/>
  <c r="C15"/>
  <c r="C14"/>
  <c r="C13"/>
  <c r="C11"/>
  <c r="C10"/>
  <c r="C9"/>
  <c r="L36" i="7"/>
  <c r="L25"/>
  <c r="L26"/>
  <c r="L27"/>
  <c r="L28"/>
  <c r="L29"/>
  <c r="L30"/>
  <c r="L31"/>
  <c r="L32"/>
  <c r="L33"/>
  <c r="L24"/>
  <c r="L23"/>
  <c r="L22"/>
  <c r="J36"/>
  <c r="J33"/>
  <c r="J30"/>
  <c r="J28"/>
  <c r="J25"/>
  <c r="F33"/>
  <c r="H32"/>
  <c r="F31"/>
  <c r="H30"/>
  <c r="F30"/>
  <c r="B30"/>
  <c r="H29"/>
  <c r="D29"/>
  <c r="D28"/>
  <c r="H27"/>
  <c r="H26"/>
  <c r="F26"/>
  <c r="H25"/>
  <c r="B25"/>
  <c r="B34" s="1"/>
  <c r="F24"/>
  <c r="F34" s="1"/>
  <c r="H23"/>
  <c r="D23"/>
  <c r="D34" s="1"/>
  <c r="H22"/>
  <c r="H34" s="1"/>
  <c r="F16"/>
  <c r="H15"/>
  <c r="F14"/>
  <c r="D14"/>
  <c r="H13"/>
  <c r="F13"/>
  <c r="D13"/>
  <c r="H12"/>
  <c r="B12"/>
  <c r="H11"/>
  <c r="H10"/>
  <c r="F10"/>
  <c r="D10"/>
  <c r="H9"/>
  <c r="F9"/>
  <c r="D9"/>
  <c r="E9" s="1"/>
  <c r="B9"/>
  <c r="H8"/>
  <c r="F8"/>
  <c r="B7"/>
  <c r="B17" s="1"/>
  <c r="H6"/>
  <c r="H17" s="1"/>
  <c r="F6"/>
  <c r="F17" s="1"/>
  <c r="D6"/>
  <c r="D17" s="1"/>
  <c r="J16"/>
  <c r="J13"/>
  <c r="J12"/>
  <c r="J11"/>
  <c r="J8"/>
  <c r="J7"/>
  <c r="I20" i="6" l="1"/>
  <c r="J12"/>
  <c r="N20" i="2"/>
  <c r="L24"/>
  <c r="J24"/>
  <c r="K24"/>
  <c r="O31" i="1"/>
  <c r="O33" s="1"/>
  <c r="O35" s="1"/>
  <c r="E31"/>
  <c r="E33" s="1"/>
  <c r="E35" s="1"/>
  <c r="I21" i="6"/>
  <c r="G24" s="1"/>
  <c r="H5" i="2"/>
  <c r="G27" i="6"/>
  <c r="C34" i="7"/>
  <c r="C30"/>
  <c r="C29"/>
  <c r="C33"/>
  <c r="C32"/>
  <c r="C31"/>
  <c r="C26"/>
  <c r="C23"/>
  <c r="C22"/>
  <c r="C28"/>
  <c r="C27"/>
  <c r="C24"/>
  <c r="E34"/>
  <c r="E33"/>
  <c r="E32"/>
  <c r="E31"/>
  <c r="E29"/>
  <c r="E28"/>
  <c r="E30"/>
  <c r="E27"/>
  <c r="E24"/>
  <c r="E26"/>
  <c r="E25"/>
  <c r="E22"/>
  <c r="G34"/>
  <c r="G33"/>
  <c r="G31"/>
  <c r="G27"/>
  <c r="G26"/>
  <c r="G32"/>
  <c r="G29"/>
  <c r="G28"/>
  <c r="G25"/>
  <c r="G22"/>
  <c r="G23"/>
  <c r="G30"/>
  <c r="E23"/>
  <c r="G24"/>
  <c r="C25"/>
  <c r="G17"/>
  <c r="G16"/>
  <c r="G13"/>
  <c r="G7"/>
  <c r="G15"/>
  <c r="G11"/>
  <c r="G14"/>
  <c r="G12"/>
  <c r="G8"/>
  <c r="G5"/>
  <c r="C17"/>
  <c r="C16"/>
  <c r="C15"/>
  <c r="C11"/>
  <c r="C10"/>
  <c r="C8"/>
  <c r="C6"/>
  <c r="C14"/>
  <c r="C13"/>
  <c r="C12"/>
  <c r="C7"/>
  <c r="C5"/>
  <c r="E17"/>
  <c r="E12"/>
  <c r="E7"/>
  <c r="E5"/>
  <c r="E16"/>
  <c r="E15"/>
  <c r="E14"/>
  <c r="E13"/>
  <c r="E11"/>
  <c r="E8"/>
  <c r="G10"/>
  <c r="C9"/>
  <c r="G9"/>
  <c r="E10"/>
  <c r="E6"/>
  <c r="G6"/>
  <c r="J17" l="1"/>
  <c r="L10"/>
  <c r="L8"/>
  <c r="L9"/>
  <c r="L11"/>
  <c r="L12"/>
  <c r="L13"/>
  <c r="L14"/>
  <c r="L15"/>
  <c r="L16"/>
  <c r="L7"/>
  <c r="D91"/>
  <c r="B91"/>
  <c r="I19" i="4"/>
  <c r="I20" s="1"/>
  <c r="T4"/>
  <c r="U4"/>
  <c r="V6"/>
  <c r="V5"/>
  <c r="H20"/>
  <c r="K18"/>
  <c r="H18"/>
  <c r="H17"/>
  <c r="N16"/>
  <c r="I16"/>
  <c r="H16"/>
  <c r="I15"/>
  <c r="H15"/>
  <c r="I14"/>
  <c r="H14"/>
  <c r="H13"/>
  <c r="H12"/>
  <c r="H11"/>
  <c r="H10"/>
  <c r="I9"/>
  <c r="H9"/>
  <c r="H8"/>
  <c r="I7"/>
  <c r="H7"/>
  <c r="I6"/>
  <c r="H6"/>
  <c r="I5"/>
  <c r="H5"/>
  <c r="H4"/>
  <c r="B92" i="7"/>
  <c r="A90"/>
  <c r="C90"/>
  <c r="B90"/>
  <c r="B118"/>
  <c r="B120"/>
  <c r="A73"/>
  <c r="A74"/>
  <c r="A75"/>
  <c r="A76"/>
  <c r="A77"/>
  <c r="A78"/>
  <c r="A79"/>
  <c r="A80"/>
  <c r="A81"/>
  <c r="A82"/>
  <c r="A83"/>
  <c r="A84"/>
  <c r="A85"/>
  <c r="A86"/>
  <c r="A87"/>
  <c r="A88"/>
  <c r="A72"/>
  <c r="A118"/>
  <c r="C118"/>
  <c r="D118"/>
  <c r="E118"/>
  <c r="F119" s="1"/>
  <c r="F118"/>
  <c r="G118"/>
  <c r="H118"/>
  <c r="J118"/>
  <c r="K118"/>
  <c r="L118"/>
  <c r="M118"/>
  <c r="N118"/>
  <c r="O119" s="1"/>
  <c r="O118"/>
  <c r="O121" s="1"/>
  <c r="D119"/>
  <c r="K119"/>
  <c r="L121"/>
  <c r="T72"/>
  <c r="S72"/>
  <c r="U72"/>
  <c r="V72"/>
  <c r="W72"/>
  <c r="X72"/>
  <c r="Y72"/>
  <c r="Z72"/>
  <c r="AA72"/>
  <c r="AB72"/>
  <c r="T62"/>
  <c r="T59"/>
  <c r="T57"/>
  <c r="S59"/>
  <c r="S57"/>
  <c r="S39"/>
  <c r="S38"/>
  <c r="S36"/>
  <c r="S35"/>
  <c r="S34"/>
  <c r="S33"/>
  <c r="S32"/>
  <c r="S31"/>
  <c r="S30"/>
  <c r="S29"/>
  <c r="S28"/>
  <c r="S27"/>
  <c r="S26"/>
  <c r="S25"/>
  <c r="S24"/>
  <c r="T38"/>
  <c r="T36"/>
  <c r="T35"/>
  <c r="T34"/>
  <c r="T33"/>
  <c r="T32"/>
  <c r="T31"/>
  <c r="T30"/>
  <c r="T29"/>
  <c r="T28"/>
  <c r="T27"/>
  <c r="T26"/>
  <c r="T25"/>
  <c r="T24"/>
  <c r="AG20"/>
  <c r="AD4"/>
  <c r="T4"/>
  <c r="U4"/>
  <c r="V4"/>
  <c r="W4"/>
  <c r="X4"/>
  <c r="Y4"/>
  <c r="Z4"/>
  <c r="AA4"/>
  <c r="AB4"/>
  <c r="AC4"/>
  <c r="S4"/>
  <c r="H42"/>
  <c r="H41" s="1"/>
  <c r="D42"/>
  <c r="D41" s="1"/>
  <c r="E49" i="3"/>
  <c r="D49"/>
  <c r="E46"/>
  <c r="D47"/>
  <c r="E37"/>
  <c r="D37"/>
  <c r="E36"/>
  <c r="E43"/>
  <c r="E35"/>
  <c r="E34"/>
  <c r="D43"/>
  <c r="D36"/>
  <c r="D35"/>
  <c r="D34"/>
  <c r="O47"/>
  <c r="N47"/>
  <c r="G47"/>
  <c r="M47"/>
  <c r="K47"/>
  <c r="I47"/>
  <c r="O49"/>
  <c r="N49"/>
  <c r="M49"/>
  <c r="L49"/>
  <c r="K49"/>
  <c r="H49"/>
  <c r="F49"/>
  <c r="M38"/>
  <c r="M40" s="1"/>
  <c r="J38"/>
  <c r="J40" s="1"/>
  <c r="G38"/>
  <c r="G40" s="1"/>
  <c r="F38"/>
  <c r="E38"/>
  <c r="E40" s="1"/>
  <c r="D38"/>
  <c r="L38"/>
  <c r="L40" s="1"/>
  <c r="O38"/>
  <c r="N38"/>
  <c r="K38"/>
  <c r="K40" s="1"/>
  <c r="H38"/>
  <c r="O40"/>
  <c r="N40"/>
  <c r="N121" i="7" l="1"/>
  <c r="N119"/>
  <c r="L119"/>
  <c r="J119"/>
  <c r="G119"/>
  <c r="E119"/>
  <c r="M119"/>
  <c r="H119"/>
  <c r="B119"/>
  <c r="P35" i="3"/>
  <c r="Q35" s="1"/>
  <c r="J49"/>
  <c r="I49"/>
  <c r="P49"/>
  <c r="I38"/>
  <c r="I40" s="1"/>
  <c r="D40"/>
  <c r="F40"/>
  <c r="H40"/>
  <c r="P43"/>
  <c r="J47"/>
  <c r="L47"/>
  <c r="P36"/>
  <c r="Q36" s="1"/>
  <c r="H25" i="2"/>
  <c r="I26"/>
  <c r="I23"/>
  <c r="L26"/>
  <c r="N26"/>
  <c r="P26"/>
  <c r="R26"/>
  <c r="T26"/>
  <c r="K26"/>
  <c r="M26"/>
  <c r="O26"/>
  <c r="Q26"/>
  <c r="S26"/>
  <c r="J37" i="1"/>
  <c r="N37"/>
  <c r="P38" i="3" l="1"/>
  <c r="P45"/>
  <c r="E41"/>
  <c r="F41" s="1"/>
  <c r="G41" s="1"/>
  <c r="H41" s="1"/>
  <c r="I41" s="1"/>
  <c r="J41" s="1"/>
  <c r="K41" s="1"/>
  <c r="L41" s="1"/>
  <c r="M41" s="1"/>
  <c r="N41" s="1"/>
  <c r="O41" s="1"/>
  <c r="P40"/>
  <c r="H37" i="1"/>
  <c r="M37"/>
  <c r="G37"/>
  <c r="L37"/>
  <c r="I37"/>
  <c r="O37"/>
  <c r="K37"/>
  <c r="F37"/>
  <c r="E37"/>
  <c r="X4" i="4"/>
  <c r="X5"/>
  <c r="X6"/>
  <c r="X7"/>
  <c r="X8"/>
  <c r="X9"/>
  <c r="X10"/>
  <c r="X11"/>
  <c r="X12"/>
  <c r="X13"/>
  <c r="X14"/>
  <c r="X15"/>
  <c r="X16"/>
  <c r="X17"/>
  <c r="X18"/>
  <c r="V12"/>
  <c r="V13"/>
  <c r="V14"/>
  <c r="V15"/>
  <c r="V16"/>
  <c r="V17"/>
  <c r="V18"/>
  <c r="V10"/>
  <c r="V11"/>
  <c r="V9"/>
  <c r="U5"/>
  <c r="U6"/>
  <c r="U7"/>
  <c r="U8"/>
  <c r="U9"/>
  <c r="U10"/>
  <c r="U11"/>
  <c r="U12"/>
  <c r="U13"/>
  <c r="U14"/>
  <c r="U15"/>
  <c r="U16"/>
  <c r="U17"/>
  <c r="U18"/>
  <c r="T5"/>
  <c r="T6"/>
  <c r="T7"/>
  <c r="T8"/>
  <c r="T9"/>
  <c r="T10"/>
  <c r="T11"/>
  <c r="T12"/>
  <c r="T13"/>
  <c r="T14"/>
  <c r="T15"/>
  <c r="T16"/>
  <c r="T17"/>
  <c r="T18"/>
  <c r="R19"/>
  <c r="P19"/>
  <c r="Q19"/>
  <c r="S19"/>
  <c r="O19"/>
  <c r="G26" i="6"/>
  <c r="G28" s="1"/>
  <c r="G29" s="1"/>
  <c r="G25"/>
  <c r="H26" i="5"/>
  <c r="K15"/>
  <c r="J15"/>
  <c r="I15"/>
  <c r="H15"/>
  <c r="AC72" i="7" l="1"/>
  <c r="X19" i="4"/>
  <c r="U19"/>
  <c r="T19"/>
  <c r="N7" i="9"/>
  <c r="M7"/>
  <c r="L7"/>
  <c r="K7"/>
  <c r="J7"/>
  <c r="I7"/>
  <c r="H7"/>
  <c r="G7"/>
  <c r="F7"/>
  <c r="E7"/>
  <c r="O7"/>
  <c r="I8" i="2"/>
  <c r="H7"/>
  <c r="H14"/>
  <c r="H13"/>
  <c r="L17" i="4"/>
  <c r="J37" i="6" l="1"/>
  <c r="K27"/>
  <c r="J31" i="4" l="1"/>
  <c r="I31"/>
  <c r="L5"/>
  <c r="O90" i="7"/>
  <c r="V8" i="4"/>
  <c r="V7"/>
  <c r="V19" s="1"/>
  <c r="D53" i="7" l="1"/>
  <c r="E26" i="3"/>
  <c r="O24"/>
  <c r="O14"/>
  <c r="O20"/>
  <c r="O26" s="1"/>
  <c r="O13"/>
  <c r="O15" s="1"/>
  <c r="O12"/>
  <c r="O11"/>
  <c r="G8" i="6"/>
  <c r="E8"/>
  <c r="L4" i="4"/>
  <c r="J32"/>
  <c r="K32"/>
  <c r="J33"/>
  <c r="K33"/>
  <c r="I33"/>
  <c r="I32"/>
  <c r="I34" s="1"/>
  <c r="K31"/>
  <c r="K34" s="1"/>
  <c r="J34"/>
  <c r="K19"/>
  <c r="K20" s="1"/>
  <c r="L11"/>
  <c r="N11" s="1"/>
  <c r="D26" i="5"/>
  <c r="D28" s="1"/>
  <c r="F25"/>
  <c r="L25"/>
  <c r="C26"/>
  <c r="E26"/>
  <c r="B26"/>
  <c r="E32"/>
  <c r="L13"/>
  <c r="C52" i="7" l="1"/>
  <c r="O17" i="3"/>
  <c r="H18" i="2"/>
  <c r="C31" i="4"/>
  <c r="I46" i="2" l="1"/>
  <c r="D6" i="9" s="1"/>
  <c r="N90" i="7"/>
  <c r="N24" i="3"/>
  <c r="O91" i="7" l="1"/>
  <c r="N20" i="3"/>
  <c r="N26" s="1"/>
  <c r="N14"/>
  <c r="N13"/>
  <c r="N12"/>
  <c r="N11"/>
  <c r="N15" l="1"/>
  <c r="N17" s="1"/>
  <c r="C34" i="1"/>
  <c r="C7"/>
  <c r="C6"/>
  <c r="F24" i="5"/>
  <c r="M90" i="7"/>
  <c r="N91" s="1"/>
  <c r="L12" i="4" l="1"/>
  <c r="N12" s="1"/>
  <c r="L16"/>
  <c r="J23" i="6"/>
  <c r="M20" i="3" l="1"/>
  <c r="M26" s="1"/>
  <c r="M15"/>
  <c r="M17" s="1"/>
  <c r="B29" i="6" l="1"/>
  <c r="H27" i="8"/>
  <c r="AE24" i="7"/>
  <c r="L23" i="3"/>
  <c r="M24" s="1"/>
  <c r="L14"/>
  <c r="L15" s="1"/>
  <c r="L17" s="1"/>
  <c r="L20"/>
  <c r="L26" s="1"/>
  <c r="L24" l="1"/>
  <c r="H29" i="8"/>
  <c r="C5" i="1"/>
  <c r="H19" i="2"/>
  <c r="D33" i="4"/>
  <c r="D32"/>
  <c r="D31"/>
  <c r="D19"/>
  <c r="D20" s="1"/>
  <c r="AE42" i="7"/>
  <c r="G30" i="6" l="1"/>
  <c r="D34" i="4"/>
  <c r="K20" i="3"/>
  <c r="K26" s="1"/>
  <c r="K13"/>
  <c r="K15" s="1"/>
  <c r="K17" s="1"/>
  <c r="L15" i="4" l="1"/>
  <c r="L8"/>
  <c r="N8" s="1"/>
  <c r="L6"/>
  <c r="L7"/>
  <c r="L9"/>
  <c r="L10"/>
  <c r="L13"/>
  <c r="N13" s="1"/>
  <c r="L14"/>
  <c r="L18"/>
  <c r="M17"/>
  <c r="C33"/>
  <c r="H19"/>
  <c r="C18"/>
  <c r="C17"/>
  <c r="C5"/>
  <c r="C6"/>
  <c r="C7"/>
  <c r="C8"/>
  <c r="C9"/>
  <c r="C10"/>
  <c r="C11"/>
  <c r="C12"/>
  <c r="C13"/>
  <c r="C14"/>
  <c r="C15"/>
  <c r="C16"/>
  <c r="C4"/>
  <c r="J23" i="3"/>
  <c r="I23"/>
  <c r="I24" s="1"/>
  <c r="J20"/>
  <c r="J26" s="1"/>
  <c r="G15"/>
  <c r="I14"/>
  <c r="P14" s="1"/>
  <c r="Q14" s="1"/>
  <c r="J15"/>
  <c r="J17" s="1"/>
  <c r="L58" i="7" l="1"/>
  <c r="M18" i="4"/>
  <c r="L33"/>
  <c r="L19"/>
  <c r="L31"/>
  <c r="J24" i="3"/>
  <c r="K24"/>
  <c r="L32" i="4"/>
  <c r="M7"/>
  <c r="J58" i="7"/>
  <c r="J57" s="1"/>
  <c r="J59" s="1"/>
  <c r="M15" i="4"/>
  <c r="M14"/>
  <c r="M12"/>
  <c r="M10"/>
  <c r="M9"/>
  <c r="M6"/>
  <c r="M5"/>
  <c r="M13"/>
  <c r="M11"/>
  <c r="M16"/>
  <c r="M8"/>
  <c r="M4"/>
  <c r="L57" i="7" l="1"/>
  <c r="M19" i="4"/>
  <c r="H24" i="3"/>
  <c r="I20"/>
  <c r="I26" s="1"/>
  <c r="I15"/>
  <c r="C32" i="4"/>
  <c r="I17" i="3" l="1"/>
  <c r="F31" i="4"/>
  <c r="G24" i="3"/>
  <c r="H12"/>
  <c r="H11"/>
  <c r="P11" s="1"/>
  <c r="H20"/>
  <c r="H26" s="1"/>
  <c r="H13"/>
  <c r="P13" s="1"/>
  <c r="Q13" s="1"/>
  <c r="I45" i="2"/>
  <c r="C10" i="1"/>
  <c r="C9"/>
  <c r="C14"/>
  <c r="C13"/>
  <c r="C4"/>
  <c r="AD119" i="7"/>
  <c r="AC119"/>
  <c r="AD126" s="1"/>
  <c r="AB119"/>
  <c r="AA119"/>
  <c r="Z119"/>
  <c r="Y119"/>
  <c r="Z126" s="1"/>
  <c r="X119"/>
  <c r="W119"/>
  <c r="T119"/>
  <c r="S119"/>
  <c r="AE94"/>
  <c r="AD94"/>
  <c r="AC94"/>
  <c r="AB94"/>
  <c r="AA94"/>
  <c r="Z94"/>
  <c r="Y94"/>
  <c r="X94"/>
  <c r="W94"/>
  <c r="V94"/>
  <c r="U94"/>
  <c r="T94"/>
  <c r="S94"/>
  <c r="L90"/>
  <c r="K90"/>
  <c r="J90"/>
  <c r="AD89"/>
  <c r="AC89"/>
  <c r="AB89"/>
  <c r="AA89"/>
  <c r="Z89"/>
  <c r="Y89"/>
  <c r="X89"/>
  <c r="W89"/>
  <c r="T89"/>
  <c r="S89"/>
  <c r="R89"/>
  <c r="Q89"/>
  <c r="R81"/>
  <c r="Q81"/>
  <c r="AE78"/>
  <c r="AD78"/>
  <c r="AC78"/>
  <c r="AB78"/>
  <c r="AA78"/>
  <c r="Z78"/>
  <c r="Y78"/>
  <c r="X78"/>
  <c r="W78"/>
  <c r="V78"/>
  <c r="U78"/>
  <c r="T78"/>
  <c r="S78"/>
  <c r="AE63"/>
  <c r="AE62"/>
  <c r="AE61"/>
  <c r="AD60"/>
  <c r="AC60"/>
  <c r="AB60"/>
  <c r="AA60"/>
  <c r="Z60"/>
  <c r="Y60"/>
  <c r="X60"/>
  <c r="W60"/>
  <c r="V60"/>
  <c r="U60"/>
  <c r="T60"/>
  <c r="S60"/>
  <c r="AE59"/>
  <c r="AE58"/>
  <c r="AE57"/>
  <c r="AD56"/>
  <c r="AD71" s="1"/>
  <c r="AC56"/>
  <c r="AC71" s="1"/>
  <c r="AB56"/>
  <c r="AB71" s="1"/>
  <c r="AB73" s="1"/>
  <c r="AA56"/>
  <c r="AA71" s="1"/>
  <c r="Z56"/>
  <c r="Z71" s="1"/>
  <c r="Z73" s="1"/>
  <c r="Y56"/>
  <c r="Y71" s="1"/>
  <c r="Y73" s="1"/>
  <c r="X56"/>
  <c r="X71" s="1"/>
  <c r="X73" s="1"/>
  <c r="W56"/>
  <c r="W71" s="1"/>
  <c r="W73" s="1"/>
  <c r="V56"/>
  <c r="V71" s="1"/>
  <c r="V73" s="1"/>
  <c r="U56"/>
  <c r="U71" s="1"/>
  <c r="U73" s="1"/>
  <c r="T56"/>
  <c r="T71" s="1"/>
  <c r="T73" s="1"/>
  <c r="S56"/>
  <c r="S71" s="1"/>
  <c r="S73" s="1"/>
  <c r="L52"/>
  <c r="L51"/>
  <c r="L50"/>
  <c r="L49"/>
  <c r="L48"/>
  <c r="L47"/>
  <c r="L46"/>
  <c r="L45"/>
  <c r="L44"/>
  <c r="L42"/>
  <c r="J42"/>
  <c r="F42"/>
  <c r="L41"/>
  <c r="J41"/>
  <c r="F41"/>
  <c r="AD40"/>
  <c r="AD87" s="1"/>
  <c r="AC40"/>
  <c r="AC87" s="1"/>
  <c r="AB40"/>
  <c r="AB87" s="1"/>
  <c r="AA40"/>
  <c r="AA87" s="1"/>
  <c r="Z40"/>
  <c r="Z87" s="1"/>
  <c r="Y40"/>
  <c r="Y87" s="1"/>
  <c r="X40"/>
  <c r="X87" s="1"/>
  <c r="W40"/>
  <c r="W87" s="1"/>
  <c r="T40"/>
  <c r="T87" s="1"/>
  <c r="S40"/>
  <c r="S87" s="1"/>
  <c r="AE39"/>
  <c r="AE38"/>
  <c r="AE37"/>
  <c r="G24" i="8" s="1"/>
  <c r="AE36" i="7"/>
  <c r="AE35"/>
  <c r="AE34"/>
  <c r="V89"/>
  <c r="U89"/>
  <c r="J52"/>
  <c r="V119"/>
  <c r="U119"/>
  <c r="AE31"/>
  <c r="AE30"/>
  <c r="AE29"/>
  <c r="AE28"/>
  <c r="U40"/>
  <c r="AE26"/>
  <c r="AE25"/>
  <c r="V40"/>
  <c r="N22"/>
  <c r="J34"/>
  <c r="O21"/>
  <c r="N21"/>
  <c r="L21"/>
  <c r="J21"/>
  <c r="H21"/>
  <c r="F21"/>
  <c r="D21"/>
  <c r="B21"/>
  <c r="F52"/>
  <c r="N6"/>
  <c r="N5"/>
  <c r="O5" s="1"/>
  <c r="AE4"/>
  <c r="AH4" s="1"/>
  <c r="I37" i="6"/>
  <c r="L35"/>
  <c r="L34"/>
  <c r="E34"/>
  <c r="K38"/>
  <c r="K39" s="1"/>
  <c r="D33"/>
  <c r="C33"/>
  <c r="B33"/>
  <c r="D32"/>
  <c r="C32"/>
  <c r="B32"/>
  <c r="K28"/>
  <c r="J26"/>
  <c r="L26" s="1"/>
  <c r="L25"/>
  <c r="L24"/>
  <c r="E16"/>
  <c r="K15"/>
  <c r="L15" s="1"/>
  <c r="G15"/>
  <c r="H15" s="1"/>
  <c r="E15"/>
  <c r="F15" s="1"/>
  <c r="K14"/>
  <c r="G14"/>
  <c r="E14"/>
  <c r="K13"/>
  <c r="G13"/>
  <c r="E13"/>
  <c r="K12"/>
  <c r="L12" s="1"/>
  <c r="G12"/>
  <c r="H12" s="1"/>
  <c r="E12"/>
  <c r="F12" s="1"/>
  <c r="K11"/>
  <c r="L11" s="1"/>
  <c r="G11"/>
  <c r="H11" s="1"/>
  <c r="E11"/>
  <c r="F11" s="1"/>
  <c r="K10"/>
  <c r="L10" s="1"/>
  <c r="G10"/>
  <c r="H10" s="1"/>
  <c r="E10"/>
  <c r="F10" s="1"/>
  <c r="K8"/>
  <c r="D31"/>
  <c r="B37" i="5"/>
  <c r="C34" s="1"/>
  <c r="E36"/>
  <c r="C36"/>
  <c r="E35"/>
  <c r="C35"/>
  <c r="E34"/>
  <c r="E33"/>
  <c r="C33"/>
  <c r="K26"/>
  <c r="K33" s="1"/>
  <c r="J26"/>
  <c r="J33" s="1"/>
  <c r="I26"/>
  <c r="I33" s="1"/>
  <c r="L24"/>
  <c r="L23"/>
  <c r="F23"/>
  <c r="L22"/>
  <c r="F22"/>
  <c r="L21"/>
  <c r="F21"/>
  <c r="L20"/>
  <c r="F20"/>
  <c r="L19"/>
  <c r="F19"/>
  <c r="F26" s="1"/>
  <c r="J17"/>
  <c r="L14"/>
  <c r="F14"/>
  <c r="F13"/>
  <c r="L12"/>
  <c r="F12"/>
  <c r="L11"/>
  <c r="F11"/>
  <c r="L10"/>
  <c r="F10"/>
  <c r="F32" i="4"/>
  <c r="G32" s="1"/>
  <c r="F33"/>
  <c r="G26" i="3"/>
  <c r="F24"/>
  <c r="E24"/>
  <c r="P24" s="1"/>
  <c r="Q24" s="1"/>
  <c r="F20"/>
  <c r="F26" s="1"/>
  <c r="D20"/>
  <c r="P20" s="1"/>
  <c r="G17"/>
  <c r="F15"/>
  <c r="E15"/>
  <c r="E17" s="1"/>
  <c r="D15"/>
  <c r="F12"/>
  <c r="P12" s="1"/>
  <c r="Q12" s="1"/>
  <c r="J45" i="2"/>
  <c r="K45"/>
  <c r="L45"/>
  <c r="L46" s="1"/>
  <c r="G6" i="9" s="1"/>
  <c r="M45" i="2"/>
  <c r="N45"/>
  <c r="O45"/>
  <c r="P45"/>
  <c r="Q45"/>
  <c r="R45"/>
  <c r="S45"/>
  <c r="T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2"/>
  <c r="H21"/>
  <c r="H16"/>
  <c r="H12"/>
  <c r="H10"/>
  <c r="J3"/>
  <c r="E4" i="9" s="1"/>
  <c r="K3" i="2"/>
  <c r="F4" i="9" s="1"/>
  <c r="L3" i="2"/>
  <c r="G4" i="9" s="1"/>
  <c r="M3" i="2"/>
  <c r="H4" i="9" s="1"/>
  <c r="N3" i="2"/>
  <c r="I4" i="9" s="1"/>
  <c r="O3" i="2"/>
  <c r="J4" i="9" s="1"/>
  <c r="P3" i="2"/>
  <c r="K4" i="9" s="1"/>
  <c r="Q3" i="2"/>
  <c r="L4" i="9" s="1"/>
  <c r="R3" i="2"/>
  <c r="M4" i="9" s="1"/>
  <c r="S3" i="2"/>
  <c r="N4" i="9" s="1"/>
  <c r="T3" i="2"/>
  <c r="O4" i="9" s="1"/>
  <c r="I3" i="2"/>
  <c r="D4" i="9" s="1"/>
  <c r="C15" i="1"/>
  <c r="C16"/>
  <c r="C17"/>
  <c r="C18"/>
  <c r="C19"/>
  <c r="C20"/>
  <c r="C22"/>
  <c r="C23"/>
  <c r="C25"/>
  <c r="C26"/>
  <c r="C27"/>
  <c r="C28"/>
  <c r="C29"/>
  <c r="C30"/>
  <c r="C32"/>
  <c r="C36"/>
  <c r="K34" i="7" l="1"/>
  <c r="G33" i="4"/>
  <c r="M33"/>
  <c r="M32"/>
  <c r="M31"/>
  <c r="G31"/>
  <c r="G34" s="1"/>
  <c r="K22" i="7"/>
  <c r="L91"/>
  <c r="K26"/>
  <c r="N9"/>
  <c r="O9" s="1"/>
  <c r="Q20" i="3"/>
  <c r="P22"/>
  <c r="O22" s="1"/>
  <c r="H20" i="2"/>
  <c r="K32" i="5"/>
  <c r="I32"/>
  <c r="I34" s="1"/>
  <c r="E37"/>
  <c r="K17" s="1"/>
  <c r="H41" s="1"/>
  <c r="N46" i="2"/>
  <c r="I6" i="9" s="1"/>
  <c r="R46" i="2"/>
  <c r="M6" i="9" s="1"/>
  <c r="O46" i="2"/>
  <c r="J6" i="9" s="1"/>
  <c r="K46" i="2"/>
  <c r="F6" i="9" s="1"/>
  <c r="Q46" i="2"/>
  <c r="L6" i="9" s="1"/>
  <c r="P46" i="2"/>
  <c r="K6" i="9" s="1"/>
  <c r="M46" i="2"/>
  <c r="H6" i="9" s="1"/>
  <c r="D17" i="5"/>
  <c r="C40" s="1"/>
  <c r="J32"/>
  <c r="J34" s="1"/>
  <c r="D17" i="3"/>
  <c r="D26"/>
  <c r="P26" s="1"/>
  <c r="Q11"/>
  <c r="M91" i="7"/>
  <c r="K91"/>
  <c r="J91"/>
  <c r="H91"/>
  <c r="AD99"/>
  <c r="T46" i="2"/>
  <c r="O6" i="9" s="1"/>
  <c r="S46" i="2"/>
  <c r="N6" i="9" s="1"/>
  <c r="C41" i="5"/>
  <c r="G41"/>
  <c r="G22" i="8"/>
  <c r="E15" i="4" s="1"/>
  <c r="G23" i="8"/>
  <c r="E16" i="4" s="1"/>
  <c r="G26" i="8"/>
  <c r="E18" i="4" s="1"/>
  <c r="W18" s="1"/>
  <c r="Y18" s="1"/>
  <c r="G25" i="8"/>
  <c r="E17" i="4" s="1"/>
  <c r="W17" s="1"/>
  <c r="Y17" s="1"/>
  <c r="G21" i="8"/>
  <c r="E14" i="4" s="1"/>
  <c r="G18" i="8"/>
  <c r="E11" i="4" s="1"/>
  <c r="G17" i="8"/>
  <c r="E10" i="4" s="1"/>
  <c r="G16" i="8"/>
  <c r="E9" i="4" s="1"/>
  <c r="G15" i="8"/>
  <c r="E8" i="4" s="1"/>
  <c r="G13" i="8"/>
  <c r="E6" i="4" s="1"/>
  <c r="G12" i="8"/>
  <c r="E5" i="4" s="1"/>
  <c r="AA73" i="7"/>
  <c r="AE71"/>
  <c r="J27" i="6"/>
  <c r="J28" s="1"/>
  <c r="K34" i="5"/>
  <c r="Z99" i="7"/>
  <c r="L15" i="5"/>
  <c r="F15"/>
  <c r="C21" i="6"/>
  <c r="L23"/>
  <c r="L27" s="1"/>
  <c r="L28" s="1"/>
  <c r="L26" i="5"/>
  <c r="F17" i="3"/>
  <c r="H15"/>
  <c r="H17" s="1"/>
  <c r="C19" i="4"/>
  <c r="I39" i="6"/>
  <c r="E33"/>
  <c r="E32"/>
  <c r="I27" i="8"/>
  <c r="D8" i="1"/>
  <c r="B36" i="7"/>
  <c r="F45"/>
  <c r="J49"/>
  <c r="N7"/>
  <c r="O7" s="1"/>
  <c r="N30"/>
  <c r="O30" s="1"/>
  <c r="J43"/>
  <c r="V87"/>
  <c r="V120" s="1"/>
  <c r="V41"/>
  <c r="V126"/>
  <c r="V99"/>
  <c r="AE60"/>
  <c r="O6"/>
  <c r="N8"/>
  <c r="N12"/>
  <c r="O12" s="1"/>
  <c r="N16"/>
  <c r="O16" s="1"/>
  <c r="I14"/>
  <c r="K23"/>
  <c r="N23"/>
  <c r="O23" s="1"/>
  <c r="N24"/>
  <c r="O24" s="1"/>
  <c r="N25"/>
  <c r="N26"/>
  <c r="K27"/>
  <c r="K28"/>
  <c r="K29"/>
  <c r="K30"/>
  <c r="K31"/>
  <c r="N32"/>
  <c r="O32" s="1"/>
  <c r="AE32"/>
  <c r="N33"/>
  <c r="O33" s="1"/>
  <c r="AE33"/>
  <c r="F43"/>
  <c r="T120"/>
  <c r="X120"/>
  <c r="Z120"/>
  <c r="AB120"/>
  <c r="AD120"/>
  <c r="U87"/>
  <c r="U90" s="1"/>
  <c r="U41"/>
  <c r="V90"/>
  <c r="AE56"/>
  <c r="I78" i="8" s="1"/>
  <c r="I8" i="7"/>
  <c r="N10"/>
  <c r="O22"/>
  <c r="K24"/>
  <c r="K25"/>
  <c r="AE27"/>
  <c r="N31"/>
  <c r="K32"/>
  <c r="K33"/>
  <c r="T90"/>
  <c r="X90"/>
  <c r="Z90"/>
  <c r="AB90"/>
  <c r="AD90"/>
  <c r="T41"/>
  <c r="X41"/>
  <c r="Z41"/>
  <c r="AB41"/>
  <c r="AD41"/>
  <c r="L43"/>
  <c r="L53" s="1"/>
  <c r="S64"/>
  <c r="S65" s="1"/>
  <c r="U64"/>
  <c r="U65" s="1"/>
  <c r="W64"/>
  <c r="W65" s="1"/>
  <c r="Y64"/>
  <c r="Y65" s="1"/>
  <c r="AA64"/>
  <c r="AA65" s="1"/>
  <c r="AC64"/>
  <c r="AC65" s="1"/>
  <c r="S90"/>
  <c r="W90"/>
  <c r="Y90"/>
  <c r="AA90"/>
  <c r="AC90"/>
  <c r="T99"/>
  <c r="X99"/>
  <c r="AB99"/>
  <c r="S120"/>
  <c r="W120"/>
  <c r="Y120"/>
  <c r="AA120"/>
  <c r="AC120"/>
  <c r="T126"/>
  <c r="X126"/>
  <c r="AB126"/>
  <c r="S41"/>
  <c r="W41"/>
  <c r="Y41"/>
  <c r="AA41"/>
  <c r="AC41"/>
  <c r="F44"/>
  <c r="H53"/>
  <c r="T64"/>
  <c r="T65" s="1"/>
  <c r="V64"/>
  <c r="V65" s="1"/>
  <c r="X64"/>
  <c r="X65" s="1"/>
  <c r="Z64"/>
  <c r="Z65" s="1"/>
  <c r="AB64"/>
  <c r="AB65" s="1"/>
  <c r="AD64"/>
  <c r="AD65" s="1"/>
  <c r="AE119"/>
  <c r="W122" s="1"/>
  <c r="E9" i="6"/>
  <c r="F9" s="1"/>
  <c r="G9"/>
  <c r="H9" s="1"/>
  <c r="K9"/>
  <c r="L9" s="1"/>
  <c r="E17"/>
  <c r="F17" s="1"/>
  <c r="G17"/>
  <c r="H17" s="1"/>
  <c r="K17"/>
  <c r="L17" s="1"/>
  <c r="E18"/>
  <c r="F18" s="1"/>
  <c r="G18"/>
  <c r="H18" s="1"/>
  <c r="K18"/>
  <c r="L18" s="1"/>
  <c r="E19"/>
  <c r="F19" s="1"/>
  <c r="G19"/>
  <c r="H19" s="1"/>
  <c r="K19"/>
  <c r="L19" s="1"/>
  <c r="D21"/>
  <c r="D23"/>
  <c r="C29"/>
  <c r="B30"/>
  <c r="D30"/>
  <c r="C31"/>
  <c r="D29"/>
  <c r="C30"/>
  <c r="B31"/>
  <c r="L33"/>
  <c r="C32" i="5"/>
  <c r="F34" i="4"/>
  <c r="C34"/>
  <c r="F19"/>
  <c r="E18" i="3"/>
  <c r="H45" i="2"/>
  <c r="H23"/>
  <c r="S85" i="7" l="1"/>
  <c r="D31" i="1"/>
  <c r="D33" s="1"/>
  <c r="I22" i="7"/>
  <c r="I23"/>
  <c r="I24"/>
  <c r="I25"/>
  <c r="I26"/>
  <c r="I29"/>
  <c r="I30"/>
  <c r="I31"/>
  <c r="I32"/>
  <c r="I33"/>
  <c r="I27"/>
  <c r="I28"/>
  <c r="J44"/>
  <c r="M34" i="4"/>
  <c r="I13" i="7"/>
  <c r="O31"/>
  <c r="N13"/>
  <c r="O13" s="1"/>
  <c r="J26" i="2"/>
  <c r="H24"/>
  <c r="G6" i="4"/>
  <c r="W6"/>
  <c r="Y6" s="1"/>
  <c r="G9"/>
  <c r="W9"/>
  <c r="Y9" s="1"/>
  <c r="G11"/>
  <c r="W11"/>
  <c r="Y11" s="1"/>
  <c r="G16"/>
  <c r="W16"/>
  <c r="Y16" s="1"/>
  <c r="G5"/>
  <c r="W5"/>
  <c r="Y5" s="1"/>
  <c r="G8"/>
  <c r="W8"/>
  <c r="Y8" s="1"/>
  <c r="G10"/>
  <c r="W10"/>
  <c r="Y10" s="1"/>
  <c r="G14"/>
  <c r="W14"/>
  <c r="Y14" s="1"/>
  <c r="G15"/>
  <c r="W15"/>
  <c r="Y15" s="1"/>
  <c r="D33" i="5"/>
  <c r="F33" s="1"/>
  <c r="D32"/>
  <c r="F32" s="1"/>
  <c r="H40"/>
  <c r="H42" s="1"/>
  <c r="P17" i="3"/>
  <c r="P15"/>
  <c r="C42" i="5"/>
  <c r="H8" i="9"/>
  <c r="G11" i="8"/>
  <c r="J55" i="7"/>
  <c r="E33" i="4"/>
  <c r="H33" s="1"/>
  <c r="G18"/>
  <c r="F18" i="3"/>
  <c r="G18" s="1"/>
  <c r="H18" s="1"/>
  <c r="I18" s="1"/>
  <c r="J18" s="1"/>
  <c r="K18" s="1"/>
  <c r="L18" s="1"/>
  <c r="M18" s="1"/>
  <c r="N18" s="1"/>
  <c r="O18" s="1"/>
  <c r="F8" i="9"/>
  <c r="D22" i="6"/>
  <c r="C20" i="4"/>
  <c r="L37" i="6"/>
  <c r="C43" i="7"/>
  <c r="C44"/>
  <c r="E32" i="4"/>
  <c r="H32" s="1"/>
  <c r="G17"/>
  <c r="G20" i="8"/>
  <c r="G19"/>
  <c r="G14"/>
  <c r="AE40" i="7"/>
  <c r="AE41" s="1"/>
  <c r="D36" i="5"/>
  <c r="F36" s="1"/>
  <c r="D34"/>
  <c r="F34" s="1"/>
  <c r="D35"/>
  <c r="F35" s="1"/>
  <c r="AC122" i="7"/>
  <c r="X122"/>
  <c r="Y122"/>
  <c r="AB122"/>
  <c r="M8" i="9"/>
  <c r="C8" i="1"/>
  <c r="K8" i="9"/>
  <c r="G8"/>
  <c r="J8"/>
  <c r="L8"/>
  <c r="H8" i="2"/>
  <c r="N8" i="9"/>
  <c r="I8"/>
  <c r="O8"/>
  <c r="C31" i="1"/>
  <c r="I52" i="7"/>
  <c r="I51"/>
  <c r="I50"/>
  <c r="I49"/>
  <c r="I48"/>
  <c r="I47"/>
  <c r="I46"/>
  <c r="I45"/>
  <c r="G53"/>
  <c r="I43"/>
  <c r="I42"/>
  <c r="I41"/>
  <c r="J48"/>
  <c r="J47"/>
  <c r="J46"/>
  <c r="F50"/>
  <c r="F47"/>
  <c r="J18"/>
  <c r="K17"/>
  <c r="K16"/>
  <c r="K15"/>
  <c r="K14"/>
  <c r="K11"/>
  <c r="K10"/>
  <c r="K9"/>
  <c r="K7"/>
  <c r="K5"/>
  <c r="F36"/>
  <c r="F18"/>
  <c r="AE122"/>
  <c r="C51"/>
  <c r="C50"/>
  <c r="C49"/>
  <c r="C48"/>
  <c r="C47"/>
  <c r="C46"/>
  <c r="C45"/>
  <c r="C42"/>
  <c r="C41"/>
  <c r="J50"/>
  <c r="F51"/>
  <c r="F46"/>
  <c r="O10"/>
  <c r="AE64"/>
  <c r="I34"/>
  <c r="AE89"/>
  <c r="J51"/>
  <c r="J45"/>
  <c r="H36"/>
  <c r="I17"/>
  <c r="I12"/>
  <c r="I7"/>
  <c r="I5"/>
  <c r="H18"/>
  <c r="I16"/>
  <c r="I15"/>
  <c r="I11"/>
  <c r="I10"/>
  <c r="I9"/>
  <c r="D36"/>
  <c r="D18"/>
  <c r="F49"/>
  <c r="F48"/>
  <c r="AE126"/>
  <c r="U120"/>
  <c r="N29"/>
  <c r="O29" s="1"/>
  <c r="N28"/>
  <c r="O28" s="1"/>
  <c r="N14"/>
  <c r="O14" s="1"/>
  <c r="K8"/>
  <c r="K6"/>
  <c r="I44"/>
  <c r="AD122"/>
  <c r="Z122"/>
  <c r="T122"/>
  <c r="AE99"/>
  <c r="AA122"/>
  <c r="S122"/>
  <c r="K12"/>
  <c r="V122"/>
  <c r="U122"/>
  <c r="L34"/>
  <c r="N27"/>
  <c r="O26"/>
  <c r="N15"/>
  <c r="O15" s="1"/>
  <c r="N11"/>
  <c r="I6"/>
  <c r="L17"/>
  <c r="O25"/>
  <c r="K13"/>
  <c r="O8"/>
  <c r="J21" i="6"/>
  <c r="H21"/>
  <c r="E21"/>
  <c r="L21"/>
  <c r="F21"/>
  <c r="K21"/>
  <c r="G21"/>
  <c r="C37" i="5"/>
  <c r="G40"/>
  <c r="G42" s="1"/>
  <c r="D35" i="1" l="1"/>
  <c r="C33"/>
  <c r="J36" i="6"/>
  <c r="M28" i="7"/>
  <c r="N34"/>
  <c r="M11"/>
  <c r="Y18" s="1"/>
  <c r="L19"/>
  <c r="Y19"/>
  <c r="AE67"/>
  <c r="U85" s="1"/>
  <c r="T85" s="1"/>
  <c r="N17"/>
  <c r="H26" i="2"/>
  <c r="H46" s="1"/>
  <c r="J46"/>
  <c r="E6" i="9" s="1"/>
  <c r="F37" i="5"/>
  <c r="AC73" i="7"/>
  <c r="AE65"/>
  <c r="H35" i="8"/>
  <c r="C35" s="1"/>
  <c r="E4" i="4"/>
  <c r="G4" s="1"/>
  <c r="J11" i="8"/>
  <c r="G27"/>
  <c r="H34" s="1"/>
  <c r="E7" i="4"/>
  <c r="E12"/>
  <c r="E13"/>
  <c r="F53" i="7"/>
  <c r="AF60"/>
  <c r="J53"/>
  <c r="AF24"/>
  <c r="C53"/>
  <c r="AF33"/>
  <c r="AF32"/>
  <c r="AF27"/>
  <c r="S95"/>
  <c r="AA95"/>
  <c r="V95"/>
  <c r="X95"/>
  <c r="AB95"/>
  <c r="Y95"/>
  <c r="U95"/>
  <c r="W95"/>
  <c r="T95"/>
  <c r="Z95"/>
  <c r="AD95"/>
  <c r="AC95"/>
  <c r="V85"/>
  <c r="Y85" s="1"/>
  <c r="AF62"/>
  <c r="AF58"/>
  <c r="AF61"/>
  <c r="AF59"/>
  <c r="AF57"/>
  <c r="AF63"/>
  <c r="M10"/>
  <c r="M31"/>
  <c r="O27"/>
  <c r="O34" s="1"/>
  <c r="I53"/>
  <c r="M17"/>
  <c r="M5"/>
  <c r="L18"/>
  <c r="M6"/>
  <c r="M7"/>
  <c r="M9"/>
  <c r="M16"/>
  <c r="M34"/>
  <c r="M23"/>
  <c r="M22"/>
  <c r="M30"/>
  <c r="M24"/>
  <c r="M33"/>
  <c r="AE87"/>
  <c r="AE120" s="1"/>
  <c r="AF40"/>
  <c r="AF31"/>
  <c r="AF28"/>
  <c r="AF29"/>
  <c r="AF30"/>
  <c r="AF39"/>
  <c r="AF34"/>
  <c r="AF36"/>
  <c r="AF25"/>
  <c r="AF26"/>
  <c r="AF38"/>
  <c r="AF35"/>
  <c r="AF37"/>
  <c r="M25"/>
  <c r="M8"/>
  <c r="M12"/>
  <c r="M13"/>
  <c r="M26"/>
  <c r="M32"/>
  <c r="AF56"/>
  <c r="M15"/>
  <c r="O11"/>
  <c r="O17" s="1"/>
  <c r="M14"/>
  <c r="M27"/>
  <c r="M29"/>
  <c r="D37" i="5"/>
  <c r="E38" s="1"/>
  <c r="AF64" i="7" l="1"/>
  <c r="D37" i="1"/>
  <c r="C35"/>
  <c r="N36" i="7"/>
  <c r="Y7"/>
  <c r="Y6"/>
  <c r="Y5"/>
  <c r="Y15"/>
  <c r="Y8"/>
  <c r="Y10"/>
  <c r="Y9"/>
  <c r="Y11"/>
  <c r="Y14"/>
  <c r="Y12"/>
  <c r="Y110" s="1"/>
  <c r="Y17"/>
  <c r="N18"/>
  <c r="Y13"/>
  <c r="Y81" s="1"/>
  <c r="Y102" s="1"/>
  <c r="Y16"/>
  <c r="Z15"/>
  <c r="Z7"/>
  <c r="Z5"/>
  <c r="Z19"/>
  <c r="Z18"/>
  <c r="Z17"/>
  <c r="Z16"/>
  <c r="Z14"/>
  <c r="Z13"/>
  <c r="Z81" s="1"/>
  <c r="Z12"/>
  <c r="Z11"/>
  <c r="Z10"/>
  <c r="Z9"/>
  <c r="Z8"/>
  <c r="Z6"/>
  <c r="W19"/>
  <c r="W18"/>
  <c r="W17"/>
  <c r="W16"/>
  <c r="W15"/>
  <c r="W14"/>
  <c r="W13"/>
  <c r="W12"/>
  <c r="W11"/>
  <c r="W10"/>
  <c r="W9"/>
  <c r="W8"/>
  <c r="W6"/>
  <c r="W7"/>
  <c r="W5"/>
  <c r="T19"/>
  <c r="T18"/>
  <c r="T17"/>
  <c r="T16"/>
  <c r="T15"/>
  <c r="T14"/>
  <c r="T13"/>
  <c r="T12"/>
  <c r="T11"/>
  <c r="T10"/>
  <c r="T9"/>
  <c r="T8"/>
  <c r="T7"/>
  <c r="T6"/>
  <c r="T5"/>
  <c r="S19"/>
  <c r="S18"/>
  <c r="S17"/>
  <c r="S16"/>
  <c r="S15"/>
  <c r="S14"/>
  <c r="S13"/>
  <c r="S12"/>
  <c r="S11"/>
  <c r="S10"/>
  <c r="S9"/>
  <c r="S8"/>
  <c r="S7"/>
  <c r="S6"/>
  <c r="S5"/>
  <c r="AB15"/>
  <c r="AB7"/>
  <c r="AB5"/>
  <c r="AB19"/>
  <c r="AB18"/>
  <c r="AB17"/>
  <c r="AB16"/>
  <c r="AB14"/>
  <c r="AB13"/>
  <c r="AB81" s="1"/>
  <c r="AB12"/>
  <c r="AB11"/>
  <c r="AB10"/>
  <c r="AB9"/>
  <c r="AB8"/>
  <c r="AB6"/>
  <c r="AC19"/>
  <c r="AC18"/>
  <c r="AC17"/>
  <c r="AC16"/>
  <c r="AC14"/>
  <c r="AC13"/>
  <c r="AC12"/>
  <c r="AC11"/>
  <c r="AC10"/>
  <c r="AC9"/>
  <c r="AC8"/>
  <c r="AC6"/>
  <c r="AC15"/>
  <c r="AC7"/>
  <c r="AC5"/>
  <c r="AA19"/>
  <c r="AA18"/>
  <c r="AA17"/>
  <c r="AA16"/>
  <c r="AA14"/>
  <c r="AA13"/>
  <c r="AA81" s="1"/>
  <c r="AA12"/>
  <c r="AA11"/>
  <c r="AA10"/>
  <c r="AA9"/>
  <c r="AA8"/>
  <c r="AA6"/>
  <c r="AA15"/>
  <c r="AA7"/>
  <c r="AA5"/>
  <c r="V7"/>
  <c r="V5"/>
  <c r="V19"/>
  <c r="V18"/>
  <c r="V17"/>
  <c r="V16"/>
  <c r="V15"/>
  <c r="V14"/>
  <c r="V13"/>
  <c r="V81" s="1"/>
  <c r="V12"/>
  <c r="V11"/>
  <c r="V10"/>
  <c r="V9"/>
  <c r="V8"/>
  <c r="V6"/>
  <c r="AD15"/>
  <c r="AD7"/>
  <c r="AD5"/>
  <c r="AD19"/>
  <c r="AD18"/>
  <c r="AD17"/>
  <c r="AD16"/>
  <c r="AD14"/>
  <c r="AD13"/>
  <c r="AD81" s="1"/>
  <c r="AD12"/>
  <c r="AD11"/>
  <c r="AD10"/>
  <c r="AD9"/>
  <c r="AD8"/>
  <c r="AD6"/>
  <c r="U19"/>
  <c r="U18"/>
  <c r="U17"/>
  <c r="U16"/>
  <c r="U15"/>
  <c r="U14"/>
  <c r="U13"/>
  <c r="U81" s="1"/>
  <c r="U12"/>
  <c r="U11"/>
  <c r="U10"/>
  <c r="U9"/>
  <c r="U8"/>
  <c r="U6"/>
  <c r="U7"/>
  <c r="U5"/>
  <c r="X7"/>
  <c r="X5"/>
  <c r="X19"/>
  <c r="X18"/>
  <c r="X17"/>
  <c r="X16"/>
  <c r="X15"/>
  <c r="X14"/>
  <c r="X13"/>
  <c r="X81" s="1"/>
  <c r="X12"/>
  <c r="X11"/>
  <c r="X10"/>
  <c r="X9"/>
  <c r="X8"/>
  <c r="X6"/>
  <c r="C6" i="9"/>
  <c r="E8"/>
  <c r="G13" i="4"/>
  <c r="W13"/>
  <c r="Y13" s="1"/>
  <c r="G12"/>
  <c r="W12"/>
  <c r="Y12" s="1"/>
  <c r="G7"/>
  <c r="W7"/>
  <c r="Y7" s="1"/>
  <c r="W4"/>
  <c r="F38" i="5"/>
  <c r="C34" i="8"/>
  <c r="K11"/>
  <c r="L19"/>
  <c r="E31" i="4"/>
  <c r="H31" s="1"/>
  <c r="H34" s="1"/>
  <c r="L25" i="8"/>
  <c r="L16"/>
  <c r="L22"/>
  <c r="L11"/>
  <c r="L20"/>
  <c r="L21"/>
  <c r="L12"/>
  <c r="L23"/>
  <c r="L24"/>
  <c r="L13"/>
  <c r="L26"/>
  <c r="L18"/>
  <c r="L15"/>
  <c r="L17"/>
  <c r="L14"/>
  <c r="G29"/>
  <c r="E19" i="4"/>
  <c r="E20" s="1"/>
  <c r="H30" i="6"/>
  <c r="W85" i="7"/>
  <c r="D38" i="5"/>
  <c r="J38" i="6"/>
  <c r="J39" s="1"/>
  <c r="L36"/>
  <c r="L38" s="1"/>
  <c r="L39" s="1"/>
  <c r="O36" i="7"/>
  <c r="O18"/>
  <c r="AC81"/>
  <c r="W81"/>
  <c r="T81"/>
  <c r="Y115"/>
  <c r="AE90"/>
  <c r="W19" i="4" l="1"/>
  <c r="D38" i="1"/>
  <c r="AD72" i="7"/>
  <c r="D7" i="9"/>
  <c r="C37" i="1"/>
  <c r="Y20" i="7"/>
  <c r="G19" i="4"/>
  <c r="G20" s="1"/>
  <c r="W20" i="7"/>
  <c r="W79" s="1"/>
  <c r="W82" s="1"/>
  <c r="AC20"/>
  <c r="AC79" s="1"/>
  <c r="AC82" s="1"/>
  <c r="V20"/>
  <c r="V79" s="1"/>
  <c r="V82" s="1"/>
  <c r="J19" i="8"/>
  <c r="K19" s="1"/>
  <c r="J23"/>
  <c r="K23" s="1"/>
  <c r="J26"/>
  <c r="K26" s="1"/>
  <c r="J14"/>
  <c r="K14" s="1"/>
  <c r="J17"/>
  <c r="K17" s="1"/>
  <c r="J21"/>
  <c r="K21" s="1"/>
  <c r="J25"/>
  <c r="K25" s="1"/>
  <c r="J15"/>
  <c r="K15" s="1"/>
  <c r="J20"/>
  <c r="K20" s="1"/>
  <c r="J24"/>
  <c r="K24" s="1"/>
  <c r="J13"/>
  <c r="K13" s="1"/>
  <c r="J16"/>
  <c r="K16" s="1"/>
  <c r="J18"/>
  <c r="K18" s="1"/>
  <c r="J22"/>
  <c r="K22" s="1"/>
  <c r="Y4" i="4"/>
  <c r="Y19" s="1"/>
  <c r="Y20" s="1"/>
  <c r="E34"/>
  <c r="H35" s="1"/>
  <c r="L27" i="8"/>
  <c r="Z85" i="7"/>
  <c r="AA85" s="1"/>
  <c r="I40" i="6"/>
  <c r="K40"/>
  <c r="J40"/>
  <c r="AD115" i="7"/>
  <c r="AD110"/>
  <c r="Z102"/>
  <c r="V115"/>
  <c r="V110"/>
  <c r="AB102"/>
  <c r="Y79"/>
  <c r="Y82" s="1"/>
  <c r="AE5"/>
  <c r="AH5" s="1"/>
  <c r="S20"/>
  <c r="S115"/>
  <c r="S110"/>
  <c r="AE12"/>
  <c r="AH12" s="1"/>
  <c r="T102"/>
  <c r="W115"/>
  <c r="W110"/>
  <c r="AA102"/>
  <c r="AC115"/>
  <c r="AC110"/>
  <c r="AE16"/>
  <c r="AH16" s="1"/>
  <c r="AE19"/>
  <c r="AH19" s="1"/>
  <c r="AE7"/>
  <c r="AH7" s="1"/>
  <c r="AE10"/>
  <c r="AH10" s="1"/>
  <c r="AE14"/>
  <c r="AH14" s="1"/>
  <c r="AE18"/>
  <c r="AH18" s="1"/>
  <c r="X115"/>
  <c r="X110"/>
  <c r="U102"/>
  <c r="X102"/>
  <c r="U115"/>
  <c r="U110"/>
  <c r="AD102"/>
  <c r="Z115"/>
  <c r="Z110"/>
  <c r="V102"/>
  <c r="AB115"/>
  <c r="AB110"/>
  <c r="S81"/>
  <c r="AE13"/>
  <c r="AH13" s="1"/>
  <c r="T115"/>
  <c r="T110"/>
  <c r="W102"/>
  <c r="AA115"/>
  <c r="AA110"/>
  <c r="AC102"/>
  <c r="X20"/>
  <c r="AD20"/>
  <c r="U20"/>
  <c r="Z20"/>
  <c r="AB20"/>
  <c r="AE8"/>
  <c r="AH8" s="1"/>
  <c r="AE17"/>
  <c r="AH17" s="1"/>
  <c r="AE6"/>
  <c r="AH6" s="1"/>
  <c r="AE9"/>
  <c r="AH9" s="1"/>
  <c r="AE11"/>
  <c r="AH11" s="1"/>
  <c r="AE15"/>
  <c r="AH15" s="1"/>
  <c r="T20"/>
  <c r="AA20"/>
  <c r="AD73" l="1"/>
  <c r="AE72"/>
  <c r="AE73" s="1"/>
  <c r="D8" i="9"/>
  <c r="C7"/>
  <c r="C8" s="1"/>
  <c r="W111" i="7"/>
  <c r="AC111"/>
  <c r="F27" i="8"/>
  <c r="J12"/>
  <c r="T79" i="7"/>
  <c r="T82" s="1"/>
  <c r="Z79"/>
  <c r="Z82" s="1"/>
  <c r="AD79"/>
  <c r="AD82" s="1"/>
  <c r="AE81"/>
  <c r="AE110"/>
  <c r="AE20"/>
  <c r="AA79"/>
  <c r="AA82" s="1"/>
  <c r="AB22"/>
  <c r="AB79"/>
  <c r="AB82" s="1"/>
  <c r="U79"/>
  <c r="U82" s="1"/>
  <c r="V22"/>
  <c r="X79"/>
  <c r="X82" s="1"/>
  <c r="S102"/>
  <c r="S79"/>
  <c r="S82" s="1"/>
  <c r="T22"/>
  <c r="AE115"/>
  <c r="Z22"/>
  <c r="Y111"/>
  <c r="AD22"/>
  <c r="X22"/>
  <c r="V111"/>
  <c r="S111" l="1"/>
  <c r="AB111"/>
  <c r="AA21"/>
  <c r="AH20"/>
  <c r="AF17"/>
  <c r="AF10"/>
  <c r="AF7"/>
  <c r="S21"/>
  <c r="X21"/>
  <c r="AF19"/>
  <c r="AF18"/>
  <c r="AF15"/>
  <c r="Z111"/>
  <c r="AF6"/>
  <c r="AD111"/>
  <c r="U111"/>
  <c r="AA111"/>
  <c r="K12" i="8"/>
  <c r="J27"/>
  <c r="T111" i="7"/>
  <c r="AE79"/>
  <c r="AE111" s="1"/>
  <c r="AF22"/>
  <c r="AE21"/>
  <c r="AF4"/>
  <c r="AE95"/>
  <c r="Y21"/>
  <c r="W21"/>
  <c r="AC21"/>
  <c r="V21"/>
  <c r="AF12"/>
  <c r="AF13"/>
  <c r="AD21"/>
  <c r="T21"/>
  <c r="AE102"/>
  <c r="X111"/>
  <c r="AF9"/>
  <c r="AF16"/>
  <c r="AF14"/>
  <c r="AF8"/>
  <c r="AF11"/>
  <c r="AE22"/>
  <c r="U21"/>
  <c r="AB21"/>
  <c r="AF5"/>
  <c r="Z21"/>
  <c r="U51" l="1"/>
  <c r="U50"/>
  <c r="U49"/>
  <c r="U47"/>
  <c r="U46"/>
  <c r="U45"/>
  <c r="AD51"/>
  <c r="AD50"/>
  <c r="AD49"/>
  <c r="AD47"/>
  <c r="AD46"/>
  <c r="AD45"/>
  <c r="AC51"/>
  <c r="AC50"/>
  <c r="AC49"/>
  <c r="AC47"/>
  <c r="AC46"/>
  <c r="AC45"/>
  <c r="Y51"/>
  <c r="Y50"/>
  <c r="Y49"/>
  <c r="Y47"/>
  <c r="Y46"/>
  <c r="Y45"/>
  <c r="S51"/>
  <c r="S50"/>
  <c r="S49"/>
  <c r="S47"/>
  <c r="S46"/>
  <c r="S45"/>
  <c r="Z51"/>
  <c r="Z50"/>
  <c r="Z49"/>
  <c r="Z47"/>
  <c r="Z46"/>
  <c r="Z45"/>
  <c r="AB51"/>
  <c r="AB50"/>
  <c r="AB49"/>
  <c r="AB47"/>
  <c r="AB46"/>
  <c r="AB45"/>
  <c r="T51"/>
  <c r="T50"/>
  <c r="T49"/>
  <c r="T47"/>
  <c r="T46"/>
  <c r="T45"/>
  <c r="V51"/>
  <c r="V50"/>
  <c r="V49"/>
  <c r="V47"/>
  <c r="V46"/>
  <c r="V45"/>
  <c r="W51"/>
  <c r="W50"/>
  <c r="W49"/>
  <c r="W47"/>
  <c r="W46"/>
  <c r="W45"/>
  <c r="X51"/>
  <c r="X50"/>
  <c r="X49"/>
  <c r="X47"/>
  <c r="X46"/>
  <c r="X45"/>
  <c r="AA51"/>
  <c r="AA50"/>
  <c r="AA49"/>
  <c r="AA47"/>
  <c r="AA46"/>
  <c r="AA45"/>
  <c r="AA44" s="1"/>
  <c r="AE82"/>
  <c r="AF20"/>
  <c r="AA48" l="1"/>
  <c r="AA52" s="1"/>
  <c r="AA53" s="1"/>
  <c r="X48"/>
  <c r="W48"/>
  <c r="V48"/>
  <c r="T48"/>
  <c r="AB48"/>
  <c r="Z48"/>
  <c r="S48"/>
  <c r="Y48"/>
  <c r="AC48"/>
  <c r="AD48"/>
  <c r="U48"/>
  <c r="S44"/>
  <c r="X44"/>
  <c r="X52" s="1"/>
  <c r="X53" s="1"/>
  <c r="AE47"/>
  <c r="AG47" s="1"/>
  <c r="AE49"/>
  <c r="AG49" s="1"/>
  <c r="AE51"/>
  <c r="AG51" s="1"/>
  <c r="U44"/>
  <c r="AE46"/>
  <c r="AG46" s="1"/>
  <c r="Y44"/>
  <c r="AE50"/>
  <c r="AG50" s="1"/>
  <c r="AC44"/>
  <c r="AD44"/>
  <c r="AD52" s="1"/>
  <c r="AD53" s="1"/>
  <c r="AB44"/>
  <c r="AB52" s="1"/>
  <c r="AB53" s="1"/>
  <c r="AE45"/>
  <c r="AG45" s="1"/>
  <c r="W44"/>
  <c r="V44"/>
  <c r="T44"/>
  <c r="Z44"/>
  <c r="Z52" s="1"/>
  <c r="Z53" s="1"/>
  <c r="V52" l="1"/>
  <c r="V53" s="1"/>
  <c r="T52"/>
  <c r="T53" s="1"/>
  <c r="W52"/>
  <c r="W53" s="1"/>
  <c r="Y52"/>
  <c r="Y53" s="1"/>
  <c r="AC52"/>
  <c r="AC53" s="1"/>
  <c r="U52"/>
  <c r="U53" s="1"/>
  <c r="AA54"/>
  <c r="S52"/>
  <c r="S53" s="1"/>
  <c r="X54"/>
  <c r="AE44"/>
  <c r="AG44" s="1"/>
  <c r="AE48"/>
  <c r="AG48" s="1"/>
  <c r="Y54"/>
  <c r="AB54"/>
  <c r="Z54"/>
  <c r="V54"/>
  <c r="T54" l="1"/>
  <c r="W54"/>
  <c r="U54"/>
  <c r="S54"/>
  <c r="AE52"/>
  <c r="AC54"/>
  <c r="AD54"/>
  <c r="AE53" l="1"/>
  <c r="AG53" s="1"/>
  <c r="AE54"/>
  <c r="AG54" s="1"/>
</calcChain>
</file>

<file path=xl/sharedStrings.xml><?xml version="1.0" encoding="utf-8"?>
<sst xmlns="http://schemas.openxmlformats.org/spreadsheetml/2006/main" count="7062" uniqueCount="2907">
  <si>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</si>
  <si>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</si>
  <si>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</si>
  <si>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</si>
  <si>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</si>
  <si>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</si>
  <si>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</si>
  <si>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</si>
  <si>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</si>
  <si>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Receitas do RPPS - Remuneração e Outras Receitas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</si>
  <si>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</si>
  <si>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</si>
  <si>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</si>
  <si>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</si>
  <si>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</si>
  <si>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</si>
  <si>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Outras Contribuições Sociais</t>
  </si>
  <si>
    <t>Outras Contribuições Sociais (1)</t>
  </si>
  <si>
    <t>( - ) Compensação Previdenciárfia à Prefeitura Municipal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</si>
  <si>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</si>
  <si>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</si>
  <si>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</si>
  <si>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</si>
  <si>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</si>
  <si>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</si>
  <si>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</si>
  <si>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</si>
  <si>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</si>
  <si>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Emndas Parlamentares Individuais - COVID-19.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</si>
  <si>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Mendas Parlamentares de Emndas Parlamentares de Bancada - COVID-19.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</si>
  <si>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</si>
  <si>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</si>
  <si>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</si>
  <si>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</si>
  <si>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</si>
  <si>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</si>
  <si>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</si>
  <si>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</si>
  <si>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</si>
  <si>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</si>
  <si>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</si>
  <si>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</si>
  <si>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</si>
  <si>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</si>
  <si>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</si>
  <si>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</si>
  <si>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</si>
  <si>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</si>
  <si>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</si>
  <si>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</si>
  <si>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</si>
  <si>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</si>
  <si>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</si>
  <si>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</si>
  <si>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</si>
  <si>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</si>
  <si>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</si>
  <si>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</si>
  <si>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</si>
  <si>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</si>
  <si>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</si>
  <si>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</si>
  <si>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</si>
  <si>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</si>
  <si>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</si>
  <si>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</si>
  <si>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</si>
  <si>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</si>
  <si>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</si>
  <si>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</si>
  <si>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</si>
  <si>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</si>
  <si>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</si>
  <si>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</si>
  <si>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</si>
  <si>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</si>
  <si>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</si>
  <si>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</si>
  <si>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</si>
  <si>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</si>
  <si>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</si>
  <si>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</si>
  <si>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</si>
  <si>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</si>
  <si>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</si>
  <si>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</si>
  <si>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</si>
  <si>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</si>
  <si>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</si>
  <si>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</si>
  <si>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</si>
  <si>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</si>
  <si>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</si>
  <si>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</si>
  <si>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</si>
  <si>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</si>
  <si>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</si>
  <si>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</si>
  <si>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</si>
  <si>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</si>
  <si>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</si>
  <si>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</si>
  <si>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</si>
  <si>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</si>
  <si>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</si>
  <si>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</si>
  <si>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</si>
  <si>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</si>
  <si>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</si>
  <si>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</si>
  <si>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</si>
  <si>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</si>
  <si>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</si>
  <si>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</si>
  <si>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</si>
  <si>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</si>
  <si>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</si>
  <si>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</si>
  <si>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</si>
  <si>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</si>
  <si>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</si>
  <si>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</si>
  <si>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</si>
  <si>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</si>
  <si>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</si>
  <si>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</si>
  <si>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</si>
  <si>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</si>
  <si>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</si>
  <si>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</si>
  <si>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</si>
  <si>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</si>
  <si>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</si>
  <si>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</si>
  <si>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</si>
  <si>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</si>
  <si>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</si>
  <si>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</si>
  <si>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</si>
  <si>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</si>
  <si>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</si>
  <si>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</si>
  <si>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</si>
  <si>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</si>
  <si>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</si>
  <si>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</si>
  <si>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</si>
  <si>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</si>
  <si>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</si>
  <si>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</si>
  <si>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</si>
  <si>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</si>
  <si>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</si>
  <si>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</si>
  <si>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</si>
  <si>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</si>
  <si>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</si>
  <si>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</si>
  <si>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</si>
  <si>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</si>
  <si>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</si>
  <si>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</si>
  <si>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</si>
  <si>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</si>
  <si>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</si>
  <si>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</si>
  <si>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</si>
  <si>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</si>
  <si>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SubTotais:02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</si>
  <si>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</si>
  <si>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</si>
  <si>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</si>
  <si>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</si>
  <si>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</si>
  <si>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</si>
  <si>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</si>
  <si>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</si>
  <si>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</si>
  <si>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</si>
  <si>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</si>
  <si>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</si>
  <si>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</si>
  <si>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</si>
  <si>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</si>
  <si>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</si>
  <si>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</si>
  <si>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</si>
  <si>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</si>
  <si>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</si>
  <si>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</si>
  <si>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</si>
  <si>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</si>
  <si>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</si>
  <si>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</si>
  <si>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</si>
  <si>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</si>
  <si>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</si>
  <si>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</si>
  <si>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</si>
  <si>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</si>
  <si>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</si>
  <si>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</si>
  <si>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</si>
  <si>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</si>
  <si>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</si>
  <si>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</si>
  <si>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</si>
  <si>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</si>
  <si>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</si>
  <si>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</si>
  <si>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</si>
  <si>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</si>
  <si>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</si>
  <si>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</si>
  <si>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</si>
  <si>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</si>
  <si>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</si>
  <si>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</si>
  <si>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</si>
  <si>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</si>
  <si>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</si>
  <si>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</si>
  <si>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</si>
  <si>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</si>
  <si>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</si>
  <si>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</si>
  <si>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</si>
  <si>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</si>
  <si>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</si>
  <si>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</si>
  <si>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</si>
  <si>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</si>
  <si>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</si>
  <si>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</si>
  <si>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</si>
  <si>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</si>
  <si>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</si>
  <si>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</si>
  <si>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</si>
  <si>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</si>
  <si>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</si>
  <si>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</si>
  <si>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</si>
  <si>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</si>
  <si>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</si>
  <si>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</si>
  <si>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</si>
  <si>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</si>
  <si>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</si>
  <si>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</si>
  <si>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</si>
  <si>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</si>
  <si>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</si>
  <si>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</si>
  <si>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</si>
  <si>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</si>
  <si>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</si>
  <si>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</si>
  <si>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</si>
  <si>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</si>
  <si>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</si>
  <si>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</si>
  <si>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</si>
  <si>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</si>
  <si>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</si>
  <si>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</si>
  <si>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</si>
  <si>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</si>
  <si>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</si>
  <si>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</si>
  <si>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</si>
  <si>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</si>
  <si>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</si>
  <si>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</si>
  <si>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</si>
  <si>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</si>
  <si>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</si>
  <si>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</si>
  <si>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</si>
  <si>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</si>
  <si>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</si>
  <si>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</si>
  <si>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</si>
  <si>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</si>
  <si>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</si>
  <si>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</si>
  <si>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</si>
  <si>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</si>
  <si>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</si>
  <si>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</si>
  <si>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</si>
  <si>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</si>
  <si>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</si>
  <si>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</si>
  <si>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</si>
  <si>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</si>
  <si>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</si>
  <si>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</si>
  <si>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</si>
  <si>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</si>
  <si>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</si>
  <si>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</si>
  <si>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</si>
  <si>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</si>
  <si>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</si>
  <si>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</si>
  <si>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</si>
  <si>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</si>
  <si>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</si>
  <si>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</si>
  <si>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</si>
  <si>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</si>
  <si>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</si>
  <si>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</si>
  <si>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</si>
  <si>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</si>
  <si>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</si>
  <si>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</si>
  <si>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</si>
  <si>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</si>
  <si>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</si>
  <si>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</si>
  <si>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</si>
  <si>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</si>
  <si>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</si>
  <si>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</si>
  <si>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</si>
  <si>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</si>
  <si>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</si>
  <si>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</si>
  <si>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</si>
  <si>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</si>
  <si>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</si>
  <si>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</si>
  <si>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</si>
  <si>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</si>
  <si>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</si>
  <si>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</si>
  <si>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</si>
  <si>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</si>
  <si>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</si>
  <si>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</si>
  <si>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</si>
  <si>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</si>
  <si>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</si>
  <si>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</si>
  <si>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</si>
  <si>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</si>
  <si>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</si>
  <si>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</si>
  <si>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</si>
  <si>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</si>
  <si>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</si>
  <si>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</si>
  <si>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</si>
  <si>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</si>
  <si>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</si>
  <si>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</si>
  <si>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</si>
  <si>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</si>
  <si>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</si>
  <si>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</si>
  <si>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</si>
  <si>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</si>
  <si>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</si>
  <si>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COMPARATIVO DA DESPESA PREVISTA COM A REALIZADA MÊS NO EXERCÍCIO DE 2.020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</si>
  <si>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</si>
  <si>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</si>
  <si>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</si>
  <si>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</si>
  <si>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</si>
  <si>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</si>
  <si>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</si>
  <si>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</si>
  <si>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</si>
  <si>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</si>
  <si>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</si>
  <si>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</si>
  <si>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</si>
  <si>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</si>
  <si>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</si>
  <si>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</si>
  <si>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</si>
  <si>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</si>
  <si>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DESPESA REALIZADO POR BIMESTRE NA EDUCAÇÃO EM 2.021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</si>
  <si>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</si>
  <si>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</si>
  <si>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</si>
  <si>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</si>
  <si>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</si>
  <si>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</si>
  <si>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</si>
  <si>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</si>
  <si>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</si>
  <si>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</si>
  <si>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</si>
  <si>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</si>
  <si>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</si>
  <si>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</si>
  <si>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</si>
  <si>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</si>
  <si>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</si>
  <si>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</si>
  <si>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</si>
  <si>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</si>
  <si>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</si>
  <si>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</si>
  <si>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</si>
  <si>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</si>
  <si>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</si>
  <si>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</si>
  <si>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</si>
  <si>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</si>
  <si>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</si>
  <si>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</si>
  <si>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</si>
  <si>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</si>
  <si>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</si>
  <si>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</si>
  <si>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</si>
  <si>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</si>
  <si>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</si>
  <si>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</si>
  <si>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</si>
  <si>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</si>
  <si>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</si>
  <si>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</si>
  <si>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</si>
  <si>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</si>
  <si>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</si>
  <si>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</si>
  <si>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</si>
  <si>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</si>
  <si>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</si>
  <si>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</si>
  <si>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</si>
  <si>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</si>
  <si>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</si>
  <si>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</si>
  <si>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</si>
  <si>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</si>
  <si>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</si>
  <si>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</si>
  <si>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</si>
  <si>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</si>
  <si>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</si>
  <si>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</si>
  <si>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</si>
  <si>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</si>
  <si>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</si>
  <si>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</si>
  <si>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</si>
  <si>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</si>
  <si>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</si>
  <si>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</si>
  <si>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</si>
  <si>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</si>
  <si>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</si>
  <si>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</si>
  <si>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</si>
  <si>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</si>
  <si>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</si>
  <si>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</si>
  <si>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</si>
  <si>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Contribuição Social para o Financiamento da Seguridade Social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</si>
  <si>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</si>
  <si>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</si>
  <si>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</si>
  <si>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</si>
  <si>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</si>
  <si>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</si>
  <si>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</si>
  <si>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</si>
  <si>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Ativos/Inativos Poder Executivo/Indiretas</t>
  </si>
  <si>
    <t>Ativos/Inativos Poder Legislativo</t>
  </si>
  <si>
    <t>1.1.1.3.03.1.1.01</t>
  </si>
  <si>
    <t>1.1.1.3.03.1.1.02</t>
  </si>
  <si>
    <t>EXECUÇÃO DOS CONSÓRCIOS PÚBLICOS</t>
  </si>
  <si>
    <t>Página: 1/2</t>
  </si>
  <si>
    <t>Página: 2/2</t>
  </si>
  <si>
    <t>9000 - Prefeitura e Fundos:</t>
  </si>
  <si>
    <t>1.Receita Realizada:</t>
  </si>
  <si>
    <t>70,00% para as aplicaçoes mínimas no FUNDEB</t>
  </si>
  <si>
    <t>Mínimo Anual de 70% do FUNDEB na Remuneração do Magistério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</si>
  <si>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</si>
  <si>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</si>
  <si>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</si>
  <si>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</si>
  <si>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</si>
  <si>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</si>
  <si>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</si>
  <si>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</si>
  <si>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</si>
  <si>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</si>
  <si>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</si>
  <si>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</si>
  <si>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</si>
  <si>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</si>
  <si>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</si>
  <si>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</si>
  <si>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</si>
  <si>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</si>
  <si>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</si>
  <si>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</si>
  <si>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MDE - Manutenção e Desenvolvimento Ensino</t>
  </si>
  <si>
    <t>0,00</t>
  </si>
  <si>
    <t>FUNDEB (a partir de 01/01/2007 - Instituído pela EC n° 53/2006)</t>
  </si>
  <si>
    <t>ASPS - Ações de Serviços Públicos de Saúde</t>
  </si>
  <si>
    <t>RPPS (instituído como FUNDO dentro da Administração Direta)</t>
  </si>
  <si>
    <t>COVID-19</t>
  </si>
  <si>
    <t>4,50</t>
  </si>
  <si>
    <t>PROGRAMA NACIONAL DE ALIMENTACAO ESCOLAR PNAE/FNDE.</t>
  </si>
  <si>
    <t>SALARIO EDUCACAO</t>
  </si>
  <si>
    <t>TRANSPORTE ESCOLAR</t>
  </si>
  <si>
    <t>CONVENIO UNIAO FUNDACAO NACIONAL DE DESENVOLVIMENTO DA EDUCACAO - FNDE</t>
  </si>
  <si>
    <t>Recursos do PEATE/RS</t>
  </si>
  <si>
    <t>RECURSOS CREDITO EDUCATIVO FUNCRED</t>
  </si>
  <si>
    <t>CEF-DESENVOLVIMENTO DA AGROPECUÁRIA</t>
  </si>
  <si>
    <t>SERVIÇOS AGROPECUARIOS</t>
  </si>
  <si>
    <t>CONVÊNIO-UNIÃO C/ FUNDO DE ASSISTÊNCIA SOCIAL</t>
  </si>
  <si>
    <t>CONVÊNIO-ESTADO C/ FUNDO DE ASSISTÊNCIA SOCIAL</t>
  </si>
  <si>
    <t>Fundo Municipal da Criança e do Adolescente</t>
  </si>
  <si>
    <t>Programa Habitar Brasil</t>
  </si>
  <si>
    <t>19,98</t>
  </si>
  <si>
    <t>RECURSOS DA INFRA-ESTRUTURA</t>
  </si>
  <si>
    <t>COTA-PARTE DA MULTA DE TRANSITO</t>
  </si>
  <si>
    <t>Recursos destinados a açoes valtadas ao meio ambiente e a infra infraestrutura.</t>
  </si>
  <si>
    <t>Construção, Ampliação, Moderniação e Reforma de Modulos Esportivos</t>
  </si>
  <si>
    <t>Estacionamento Rotativo</t>
  </si>
  <si>
    <t>FUNREBOM</t>
  </si>
  <si>
    <t>CONVENIO COM O ESTADO PARA INFRA-ESTRUTU</t>
  </si>
  <si>
    <t>Exec. de Ações de prev. e preparação p/ emergências e desastres</t>
  </si>
  <si>
    <t>Obras /plano Estadual de Enfrentamento de Desastres Amientais</t>
  </si>
  <si>
    <t>Pavimentação Ruas Ijuí, Dagoberto e Retaxerxes</t>
  </si>
  <si>
    <t>Pavimentação Rua Silva Jardim</t>
  </si>
  <si>
    <t>Pavimentação da Rua do Aterro</t>
  </si>
  <si>
    <t>Pavimentação da Rua Xiru Meireles</t>
  </si>
  <si>
    <t>Pav. Rua Tiradentes</t>
  </si>
  <si>
    <t>GESTÃO DO SUS</t>
  </si>
  <si>
    <t>8,92</t>
  </si>
  <si>
    <t>Outras receitas municipais aplicadas em Saúde</t>
  </si>
  <si>
    <t>Atenção Básica - PIES / Núcleo de Apoio à Atenção Básica - NAAB / Oficinas Terapêuticas / Redução de Danos / Rede Cegonha - exames pré-natais / Tele D</t>
  </si>
  <si>
    <t>INVERNO GAUCHO</t>
  </si>
  <si>
    <t>12,44</t>
  </si>
  <si>
    <t>Farmácia Básica / Plantas Medicinais e Fitoterápicos / Diabetes Mellitus / Fraldas e outros insumos</t>
  </si>
  <si>
    <t>Recursos para Medicamentos de Mellitus</t>
  </si>
  <si>
    <t>PACS</t>
  </si>
  <si>
    <t>49,53</t>
  </si>
  <si>
    <t>PSF / NASF / ESF Quilombola / ESF Indígena / Saúde Bucal / Saúde Bucal Indígena / PACS / ESF Prisional / Residência Médica / Combate ao Racismo Instit</t>
  </si>
  <si>
    <t>PIM - Primeira Infância Melhor</t>
  </si>
  <si>
    <t>SAMU / UPA - Urgências - Remoção PAC</t>
  </si>
  <si>
    <t>Vigilância em Saúde / Laboratório de Entomologia / Dengue / Desastres Ambientais</t>
  </si>
  <si>
    <t>CAPS - Centro de Atenção Psicossocial</t>
  </si>
  <si>
    <t>REGIONALIZAÇÃO - aquisição de ambulância</t>
  </si>
  <si>
    <t>69,73</t>
  </si>
  <si>
    <t>CUCA LEGAL (CAPS)</t>
  </si>
  <si>
    <t>SANEAMENTO BÁSICO</t>
  </si>
  <si>
    <t>33,24</t>
  </si>
  <si>
    <t>Aquisição de Veículos</t>
  </si>
  <si>
    <t>Aquisição de Equipamentos e Material Permanente</t>
  </si>
  <si>
    <t>Construções ou Ampliações</t>
  </si>
  <si>
    <t>Reformas</t>
  </si>
  <si>
    <t>CUSTEIO - Atenção Básica</t>
  </si>
  <si>
    <t>CUSTEIO - Atenção de média e alta complexidade ambulatorial e hospitalar</t>
  </si>
  <si>
    <t>CUSTEIO - Vigilância em Saúde</t>
  </si>
  <si>
    <t xml:space="preserve">CUSTEIO - Assistência Farmacêutica </t>
  </si>
  <si>
    <t>CUSTEIO - Gestão do SUS</t>
  </si>
  <si>
    <t>INVESTIMENTO - Atenção Básica</t>
  </si>
  <si>
    <t>INVESTIMENTO - Atenção Especializada</t>
  </si>
  <si>
    <t>INVESTIMENTO - Vigilância em Saúde</t>
  </si>
  <si>
    <t>INVESTIMENTO - Gestão do SUS</t>
  </si>
  <si>
    <t>CUSTEIO - Outros programas financiados por transferências fundo a fundo</t>
  </si>
  <si>
    <t>INVESTIMENTO - Outras transferências</t>
  </si>
  <si>
    <t>Recurso Federal - CAPS</t>
  </si>
  <si>
    <t>Recursos Extraorçamentários</t>
  </si>
  <si>
    <t>RECURSO-EXTRAORÇAMENTÁRIO - TRANSPORTE ESCOLAR</t>
  </si>
  <si>
    <t>390,63</t>
  </si>
  <si>
    <t>RECURSO EXTRAORÇAMENTÁRIO DO RPPS</t>
  </si>
  <si>
    <t>Pagamentos Orçam. Efetuados</t>
  </si>
  <si>
    <t>Pagamentos de Restos Efetuados</t>
  </si>
  <si>
    <t>Total dos Pagamentos</t>
  </si>
  <si>
    <t>Empenhos de restos a Pagar</t>
  </si>
  <si>
    <t>1. Dotações:</t>
  </si>
  <si>
    <t>VII - RECEITA CORRENTE LÍQUIDA Endividamento) (VIII = V - VI)</t>
  </si>
  <si>
    <t>30,00% para as aplicaçoes maximas no FUNDEB</t>
  </si>
  <si>
    <t>Contas Aplicáveis ao 2º Quadrimestre (1)</t>
  </si>
  <si>
    <t>Contas Aplicáveis ao 3º Quadrimestre e ao 2º Semestre (1)</t>
  </si>
  <si>
    <t>³ 6.3.2.2 - RP PROCESSADOS PAGOS</t>
  </si>
  <si>
    <t>² 6.3.2.1 - RP PROCESSADOS A PAGAR</t>
  </si>
  <si>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6.3.2.9. - RP PROCESSADOS CANCELADOS</t>
    </r>
  </si>
  <si>
    <t>6.3.1.9 - RP NÃO PROCESSADOS CANCELADOS</t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</si>
  <si>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</si>
  <si>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</si>
  <si>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</si>
  <si>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</si>
  <si>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</si>
  <si>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</si>
  <si>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</si>
  <si>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</si>
  <si>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Verificação dos saldos Contábeis com o Relatório "Situacao de Empenhos de Restos a Pagar"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</si>
  <si>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</si>
  <si>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</si>
  <si>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</si>
  <si>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</si>
  <si>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</si>
  <si>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</si>
  <si>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</si>
  <si>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</si>
  <si>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</si>
  <si>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</si>
  <si>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</si>
  <si>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</si>
  <si>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</si>
  <si>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</si>
  <si>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</si>
  <si>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</si>
  <si>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</si>
  <si>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</si>
  <si>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</si>
  <si>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</si>
  <si>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</si>
  <si>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</si>
  <si>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</si>
  <si>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(-) 3.3.91.08</t>
  </si>
  <si>
    <t>Empenhos Orçam. Efetuados</t>
  </si>
  <si>
    <t>Total Empenhado</t>
  </si>
  <si>
    <t>FUNDEF</t>
  </si>
  <si>
    <t>57,84</t>
  </si>
  <si>
    <t>-57,84</t>
  </si>
  <si>
    <t>98.199,00</t>
  </si>
  <si>
    <t>81.343,88</t>
  </si>
  <si>
    <t>Pavimentação da Av. João Manuel de Lima e Silva</t>
  </si>
  <si>
    <t>695.673,71</t>
  </si>
  <si>
    <t>-695.673,71</t>
  </si>
  <si>
    <t>Pav. João Batista Poglia</t>
  </si>
  <si>
    <t>Drenagem Av. Castelo Branco</t>
  </si>
  <si>
    <t>320,03</t>
  </si>
  <si>
    <t>101,44</t>
  </si>
  <si>
    <t>261,87</t>
  </si>
  <si>
    <t>203,76</t>
  </si>
  <si>
    <t>PAB  Fixo / Telessaúde / Acolhimento Infanto Juvenil</t>
  </si>
  <si>
    <t>1.990,00</t>
  </si>
  <si>
    <t>-1.990,00</t>
  </si>
  <si>
    <t>Limite financeiro da Vigilância em Saúde -  Incentivo para ações de prevenção de acidentes e violência / Ações práticas corporais - atividade física</t>
  </si>
  <si>
    <t>467,00</t>
  </si>
  <si>
    <t>-467,00</t>
  </si>
  <si>
    <t>1.170,02</t>
  </si>
  <si>
    <t>-1.170,02</t>
  </si>
  <si>
    <t>Demonstrativos apurados pela Contabilidade da Receita Corrente Realizada e da Despesa Líquidada Orçamentarias.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</si>
  <si>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</si>
  <si>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</si>
  <si>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</si>
  <si>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Despesas Corr. Líquidada</t>
  </si>
  <si>
    <t>Compensação Financeira entre o Regime Geral e os Regimes Próprios de Previdência dos Servidores (312)</t>
  </si>
  <si>
    <t>Remuneração de Depósito Bancários de Recursos Vínculados - Fundo de Assistência à Saúde do Servidor (341)</t>
  </si>
  <si>
    <t>Relatório Resumido da Execução Orçamentária</t>
  </si>
  <si>
    <t>-</t>
  </si>
  <si>
    <t>Cancelados:</t>
  </si>
  <si>
    <t xml:space="preserve">OBS.: </t>
  </si>
  <si>
    <t>No Valor da RCL foi deduzidos os valores das Emendandas Parlamentares do Período.</t>
  </si>
  <si>
    <t>Orçamento Fiscal e da Seguridade Social</t>
  </si>
  <si>
    <t>Prefeitura Municipal de Cacapava do Sul-RS</t>
  </si>
  <si>
    <t>Página 1 de 2</t>
  </si>
  <si>
    <t>RECEITAS CORRENTES (I)</t>
  </si>
  <si>
    <t>Impostos, Taxas e Contribuições de Melhoria</t>
  </si>
  <si>
    <t>ISS</t>
  </si>
  <si>
    <t>Contribuições</t>
  </si>
  <si>
    <t>Receita Patrimonial</t>
  </si>
  <si>
    <t>Outras Receitas Patrimoniais</t>
  </si>
  <si>
    <t>Receita de Serviços</t>
  </si>
  <si>
    <t>Transferências Correntes</t>
  </si>
  <si>
    <t>Cota-Parte do FPM</t>
  </si>
  <si>
    <t>Cota-Parte do ICMS</t>
  </si>
  <si>
    <t>Cota-Parte do IPVA</t>
  </si>
  <si>
    <t>Cota-Parte do ITR</t>
  </si>
  <si>
    <t>Transferências da LC 87/1996</t>
  </si>
  <si>
    <t>Transferências da LC 61/1989</t>
  </si>
  <si>
    <t>Transferências do FUNDEB</t>
  </si>
  <si>
    <t>Outras Transferências Correntes</t>
  </si>
  <si>
    <t>Outras Receitas Correntes</t>
  </si>
  <si>
    <t>4ª - Percentual da Despesa Corrente sobre a Receita a Receita Corrente, exceto a Receita Intra-Orçamentária:</t>
  </si>
  <si>
    <t>Fonte: Demonstrativo da Despesa Orçamentária Empenhada e liquidada ao Mês e a Metodologia a  fonte é o TCE/RS.</t>
  </si>
  <si>
    <t>30%-361 -2.014 Livre</t>
  </si>
  <si>
    <t>Programa PRODESA/MAPA</t>
  </si>
  <si>
    <t>7.703,93</t>
  </si>
  <si>
    <t>AUXÍLIO À CULTURA</t>
  </si>
  <si>
    <t>7.311,60</t>
  </si>
  <si>
    <t>Inversões Financeiras</t>
  </si>
  <si>
    <t>7.Empenhado¹</t>
  </si>
  <si>
    <t>8. Liquidado</t>
  </si>
  <si>
    <t>10. A Pagar²= 7 - 9</t>
  </si>
  <si>
    <t>Fonte da Metodologia TCE/RS. (OBS.: Foi deduzidos os valores das Emendas Parlamentares)</t>
  </si>
  <si>
    <t>com a Educação representa 26,32% e de Nº 10 que lida com a Saúde 21,88%, respectivamente da Despesa Total Líquidada.</t>
  </si>
  <si>
    <t>Execução orçamentária</t>
  </si>
  <si>
    <t>Execução dos Restos a Pagar Processados e não Processados</t>
  </si>
  <si>
    <t>10. A Pagar²= 9 - 10</t>
  </si>
  <si>
    <t>11. Resultado:</t>
  </si>
  <si>
    <t>¹ 5.3.0.0 - INSCRIÇÃO DE RESTOS A PAGAR do exercício anterior</t>
  </si>
  <si>
    <t>Prefeitura Municipal de Cacapava do Sul - RS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</si>
  <si>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</si>
  <si>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</si>
  <si>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</si>
  <si>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</si>
  <si>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</si>
  <si>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</si>
  <si>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</si>
  <si>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</si>
  <si>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</si>
  <si>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</si>
  <si>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</si>
  <si>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</si>
  <si>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</si>
  <si>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</si>
  <si>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</si>
  <si>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</si>
  <si>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</si>
  <si>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</si>
  <si>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</si>
  <si>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</si>
  <si>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</si>
  <si>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</si>
  <si>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</si>
  <si>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Receitas Previdenciárias Realizadas</t>
  </si>
  <si>
    <t>Despesas Previdenciárias Empenhadas</t>
  </si>
  <si>
    <t>Despesas Previdenciárias Liquidadas</t>
  </si>
  <si>
    <t>Resultado Previdenciário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</si>
  <si>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</si>
  <si>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</si>
  <si>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</si>
  <si>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</si>
  <si>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</si>
  <si>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</si>
  <si>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</si>
  <si>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</si>
  <si>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</si>
  <si>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</si>
  <si>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</si>
  <si>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</si>
  <si>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</si>
  <si>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</si>
  <si>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</si>
  <si>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</si>
  <si>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</si>
  <si>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</si>
  <si>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</si>
  <si>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</si>
  <si>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</si>
  <si>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</si>
  <si>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</si>
  <si>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</si>
  <si>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</si>
  <si>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</si>
  <si>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</si>
  <si>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</si>
  <si>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</si>
  <si>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</si>
  <si>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</si>
  <si>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</si>
  <si>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</si>
  <si>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</si>
  <si>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</si>
  <si>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</si>
  <si>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</si>
  <si>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O resultado apurado na tabela acima é sobre a despesa paga, sobre a despesa liquidada o resultado é</t>
  </si>
  <si>
    <t>Demonstrativo dos Restos a Pagar por Poder e Órgão</t>
  </si>
  <si>
    <t>RREO - ANEXO 7 (LRF, art.53, inciso V)</t>
  </si>
  <si>
    <t>R$ 1,00</t>
  </si>
  <si>
    <t>PODER/ÓRGÃO</t>
  </si>
  <si>
    <t>RESTOS A PAGAR NÃO PROCESSADOS</t>
  </si>
  <si>
    <t>Saldo Total</t>
  </si>
  <si>
    <t>Inscritos</t>
  </si>
  <si>
    <t>Pagos</t>
  </si>
  <si>
    <t>Cancelados</t>
  </si>
  <si>
    <t>Liquidados</t>
  </si>
  <si>
    <t>Em Exercícios</t>
  </si>
  <si>
    <t>Em 31 de</t>
  </si>
  <si>
    <t>Anteriores</t>
  </si>
  <si>
    <t>(c)</t>
  </si>
  <si>
    <t>(d)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</si>
  <si>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</si>
  <si>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</si>
  <si>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</si>
  <si>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</si>
  <si>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</si>
  <si>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</si>
  <si>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</si>
  <si>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</si>
  <si>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</si>
  <si>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</si>
  <si>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</si>
  <si>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</si>
  <si>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</si>
  <si>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</si>
  <si>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RELATÓRIO DE GESTÃO FISCAL</t>
  </si>
  <si>
    <t>ORÇAMENTOS FISCAL E DA SEGURIDADE SOCIAL</t>
  </si>
  <si>
    <t>DESPESA COM PESSOAL</t>
  </si>
  <si>
    <t>Pensões</t>
  </si>
  <si>
    <t>VALOR</t>
  </si>
  <si>
    <t>% SOBRE A RCL AJUSTADA</t>
  </si>
  <si>
    <t>3.1.X.X.91</t>
  </si>
  <si>
    <t>INSTRUÇÃO NORMATIVA nº 18/2021 - TCE/RS.</t>
  </si>
  <si>
    <t>Sentenças Judiciais</t>
  </si>
  <si>
    <t>105.438,31</t>
  </si>
  <si>
    <t>13.981,08</t>
  </si>
  <si>
    <t>1.175,71</t>
  </si>
  <si>
    <t>52.142,09</t>
  </si>
  <si>
    <t>164,88</t>
  </si>
  <si>
    <t>196.526,39</t>
  </si>
  <si>
    <t>147,55</t>
  </si>
  <si>
    <t>43.500,69</t>
  </si>
  <si>
    <t>143.250,00</t>
  </si>
  <si>
    <t>203.513,54</t>
  </si>
  <si>
    <t>101.756,75</t>
  </si>
  <si>
    <t>Emenda Parlamentar - Investimento Público</t>
  </si>
  <si>
    <t>102.402,37</t>
  </si>
  <si>
    <t>510,57</t>
  </si>
  <si>
    <t>132.444,80</t>
  </si>
  <si>
    <t>3.309,38</t>
  </si>
  <si>
    <t>506,95</t>
  </si>
  <si>
    <t>51.604,53</t>
  </si>
  <si>
    <t>2.427,89</t>
  </si>
  <si>
    <t>7.294,84</t>
  </si>
  <si>
    <t>14.005,63</t>
  </si>
  <si>
    <t>311,81</t>
  </si>
  <si>
    <t>92.042,33</t>
  </si>
  <si>
    <t>17.781,10</t>
  </si>
  <si>
    <t>136,39</t>
  </si>
  <si>
    <t>432.726,35</t>
  </si>
  <si>
    <t>313.240,15</t>
  </si>
  <si>
    <t>69.461,37</t>
  </si>
  <si>
    <t>63.288,26</t>
  </si>
  <si>
    <t>85.937,78</t>
  </si>
  <si>
    <t>143.175,21</t>
  </si>
  <si>
    <t>1.803,59</t>
  </si>
  <si>
    <t>11.566,61</t>
  </si>
  <si>
    <t>222.837,41</t>
  </si>
  <si>
    <t>15.744,22</t>
  </si>
  <si>
    <t>61.068,87</t>
  </si>
  <si>
    <t>97.004,35</t>
  </si>
  <si>
    <t>56.450,81</t>
  </si>
  <si>
    <t>Página 1 de 3</t>
  </si>
  <si>
    <t>Balanço Orçamentário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</si>
  <si>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</si>
  <si>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</si>
  <si>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</si>
  <si>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</si>
  <si>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</si>
  <si>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</si>
  <si>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</si>
  <si>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</si>
  <si>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</si>
  <si>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4,00</t>
  </si>
  <si>
    <t>80.000,00</t>
  </si>
  <si>
    <t>Demais Receitas Correntes</t>
  </si>
  <si>
    <t>Amortização de Empréstimos</t>
  </si>
  <si>
    <t>Transferências de Capital</t>
  </si>
  <si>
    <t>Outras Receitas de Capital</t>
  </si>
  <si>
    <t>SUBTOTAL DAS RECEITAS (III) = (I + II)</t>
  </si>
  <si>
    <t>Página 2 de 3</t>
  </si>
  <si>
    <t>TOTAL DAS RECEITAS (V) = (III + IV)</t>
  </si>
  <si>
    <t>TOTAL COM DÉFICIT (VII) = (V + VI)</t>
  </si>
  <si>
    <t>SALDOS DE EXERCÍCIOS ANTERIORES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</si>
  <si>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</si>
  <si>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</si>
  <si>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</si>
  <si>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</si>
  <si>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</si>
  <si>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</si>
  <si>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</si>
  <si>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</si>
  <si>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</si>
  <si>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</si>
  <si>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</si>
  <si>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</si>
  <si>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RESERVA DE CONTINGÊNCIA</t>
  </si>
  <si>
    <t>DESPESAS (INTRAORÇAMENTÁRIAS) (IX)</t>
  </si>
  <si>
    <t>SUBTOTAL DAS DESPESAS (X) = (VIII + IX)</t>
  </si>
  <si>
    <t>AMORTIZAÇÃO DA DÍV. / REFINANCIAMENTO (XI)</t>
  </si>
  <si>
    <t>TOTAL DAS DESPESAS (XII) = (X + XI)</t>
  </si>
  <si>
    <t>SUPERÁVIT (XIII)</t>
  </si>
  <si>
    <t>TOTAL COM SUPERÁVIT (XIV) = (XII + XIII)</t>
  </si>
  <si>
    <t>RESERVA DO RPPS</t>
  </si>
  <si>
    <t>Página 3 de 3</t>
  </si>
  <si>
    <t>RECEITAS INTRAORÇAMENTÁRIAS</t>
  </si>
  <si>
    <t>DESPESAS INTRAORÇAMENTÁRIAS</t>
  </si>
  <si>
    <t>2,00</t>
  </si>
  <si>
    <t>1 O déficit será apurado pela diferença entre a receita realizada e a despesa liquidada nos cinco primeiros bimestres e a despesa empenhada no último bimestre.</t>
  </si>
  <si>
    <t>Página 1 de 5</t>
  </si>
  <si>
    <t>RELATÓRIO RESUMIDO DA EXECUÇÃO ORÇAMENTÁRIA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</si>
  <si>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</si>
  <si>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</si>
  <si>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</si>
  <si>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</si>
  <si>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</si>
  <si>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</si>
  <si>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</si>
  <si>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</si>
  <si>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 de Contribuições dos Segurados</t>
  </si>
  <si>
    <t>Ativo</t>
  </si>
  <si>
    <t>Inativo</t>
  </si>
  <si>
    <t>Pensionista</t>
  </si>
  <si>
    <t>Receita de Contribuições Patronais</t>
  </si>
  <si>
    <t>Receitas Imobiliárias</t>
  </si>
  <si>
    <t>Receitas de Valores Mobiliários</t>
  </si>
  <si>
    <t>Compensação Financeira entre os regimes</t>
  </si>
  <si>
    <t>Aportes Periódicos para Amortização de Déficit Atuarial do RPPS (II)¹</t>
  </si>
  <si>
    <t>RECEITAS DE CAPITAL (III)</t>
  </si>
  <si>
    <t>Alienação de Bens, Direitos e Ativos</t>
  </si>
  <si>
    <t>TOTAL DAS RECEITAS DO FUNDO EM CAPITALIZAÇÃO - (IV) = (I+III-II)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</si>
  <si>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</si>
  <si>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</si>
  <si>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</si>
  <si>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</si>
  <si>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</si>
  <si>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</si>
  <si>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</si>
  <si>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</si>
  <si>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</si>
  <si>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</si>
  <si>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</si>
  <si>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</si>
  <si>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</si>
  <si>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Página 2 de 5</t>
  </si>
  <si>
    <t>RECURSOS RPPS ARRECADADOS EM EXERCÍCIOS ANTERIORES</t>
  </si>
  <si>
    <t>PREVISÃO ORÇAMENTÁRIA</t>
  </si>
  <si>
    <t>RESERVA ORÇAMENTÁRIA DO RPPS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</si>
  <si>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</si>
  <si>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</si>
  <si>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</si>
  <si>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</si>
  <si>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</si>
  <si>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</si>
  <si>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</si>
  <si>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</si>
  <si>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</si>
  <si>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</si>
  <si>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</si>
  <si>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</si>
  <si>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</si>
  <si>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</si>
  <si>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</si>
  <si>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</si>
  <si>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</si>
  <si>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</si>
  <si>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</si>
  <si>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</si>
  <si>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</si>
  <si>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</si>
  <si>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</si>
  <si>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</si>
  <si>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</si>
  <si>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ADMINISTRAÇÃO DO REGIME PRÓPRIO DE PREVIDÊNICA DOS SERVIDORES - RPPS</t>
  </si>
  <si>
    <t>RECEITAS DA ADMINISTRAÇÃO - RPPS</t>
  </si>
  <si>
    <t>TOTAL DAS RECEITAS DA ADMINISTRAÇÃO RPPS (XII)</t>
  </si>
  <si>
    <t>DESPESAS DA ADMINISTRAÇÃO - RPPS</t>
  </si>
  <si>
    <t>DOTAÇÃO 
ATUALIZADA
(c)</t>
  </si>
  <si>
    <t>Despesas Correntes (XIII)</t>
  </si>
  <si>
    <t>Pessoal e Encargos Sociais</t>
  </si>
  <si>
    <t>Demais Despesas Correntes</t>
  </si>
  <si>
    <t>Despesas de Capital (XIV)</t>
  </si>
  <si>
    <t>TOTAL DAS DESPESAS DA ADMINISTRAÇÃO RPPS (XV) = (XIII + XIV)</t>
  </si>
  <si>
    <t>RESULTADO DA ADMINISTRAÇÃO RPPS (XVI) = (XII – XV)²</t>
  </si>
  <si>
    <t>Página 5 de 5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</si>
  <si>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</si>
  <si>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</si>
  <si>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</si>
  <si>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</si>
  <si>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</si>
  <si>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 PREVIDENCIARIAS (BENEFÍCIOS MANTIDOS PELO TESOURO)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</si>
  <si>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</si>
  <si>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</si>
  <si>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</si>
  <si>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Resultados Primário e Nominal</t>
  </si>
  <si>
    <t>RREO - ANEXO VI(LRF, art. 53, inciso III)</t>
  </si>
  <si>
    <t>ACIMA DA LINHA</t>
  </si>
  <si>
    <t>RECEITAS PRIMÁRIAS</t>
  </si>
  <si>
    <t>RECEITAS CORRENTES(I)</t>
  </si>
  <si>
    <t>Outros Impostos, Taxas, e Contribuições de Melhoria</t>
  </si>
  <si>
    <t>Aplicações Financeiras (II)</t>
  </si>
  <si>
    <t>Outras Receitas Financeiras (III)</t>
  </si>
  <si>
    <t>Receitas Correntes Restantes</t>
  </si>
  <si>
    <t>RECEITAS PRIMÁRIAS CORRENTES (IV) = (I - II - III)</t>
  </si>
  <si>
    <t>RECEITAS DE CAPITAL (V)</t>
  </si>
  <si>
    <t>Operações de Crédito (VI)</t>
  </si>
  <si>
    <t>Amortização de Empréstimos (VII)</t>
  </si>
  <si>
    <t>Alienação de Bens</t>
  </si>
  <si>
    <t>Receitas de Alienação de Investimentos Temporários (VIII)</t>
  </si>
  <si>
    <t>Receitas de Alienação de Investimentos Permanentes (IX)</t>
  </si>
  <si>
    <t>Outras Alienações de Bens</t>
  </si>
  <si>
    <t>Convênios</t>
  </si>
  <si>
    <t>Outras Transferências de Capital</t>
  </si>
  <si>
    <t>Outras Receitas de Capital Não Primárias (X)</t>
  </si>
  <si>
    <t>Outras Receitas de Capital Primárias</t>
  </si>
  <si>
    <t>RECEITAS PRIMÁRIAS DE CAPITAL (XI) = (V - VI - VII - VIII - IX - X)</t>
  </si>
  <si>
    <t>RECEITA PRIMÁRIA TOTAL (XII) = (IV + XI)</t>
  </si>
  <si>
    <t>DESPESAS PRIMÁRIAS</t>
  </si>
  <si>
    <t>Restos a Pagar Processados Pagos</t>
  </si>
  <si>
    <t>Restos a Pagar não Processados</t>
  </si>
  <si>
    <t>Pagos (c)</t>
  </si>
  <si>
    <t>DESPESAS CORRENTES (XIII)</t>
  </si>
  <si>
    <t>Juros e Encargos da Dívida (XIV)</t>
  </si>
  <si>
    <t>Outras Despesas Correntes</t>
  </si>
  <si>
    <t>DESPESAS PRIMÁRIAS CORRENTES (XV) = (XIII - XIV)</t>
  </si>
  <si>
    <t>DESPESAS DE CAPITAL (XVI)</t>
  </si>
  <si>
    <t>Concessão de Empréstimos e Financiamentos (XVII)</t>
  </si>
  <si>
    <t>101,00</t>
  </si>
  <si>
    <t>Aquisição de Título de Capital já Integralizado (XVIII)</t>
  </si>
  <si>
    <t>Aquisição de Título de Crédito (XIX)</t>
  </si>
  <si>
    <t>Demais Inversões Financeiras</t>
  </si>
  <si>
    <t>Amortização da Dívida (XX)</t>
  </si>
  <si>
    <t>DESPESAS PRIMÁRIAS DE CAPITAL (XXI) = (XVI - XVII - XVIII - XIX - XX)</t>
  </si>
  <si>
    <t>Página 2 de 2</t>
  </si>
  <si>
    <t>RESERVA DE CONTINGÊNCIA (XXII)</t>
  </si>
  <si>
    <t>DESPESA PRIMÁRIA TOTAL (XXIII) = (XV + XXI + XXII)</t>
  </si>
  <si>
    <t>RESULTADO PRIMÁRIO - Acima da Linha (XXIV) = [XIIa - (XXIIIa +XXIIIb + 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</si>
  <si>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</si>
  <si>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</si>
  <si>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</si>
  <si>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</si>
  <si>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</si>
  <si>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(XXV)</t>
  </si>
  <si>
    <t>Juros, Encargos e Variações Monetárias Passivos (XXVI)</t>
  </si>
  <si>
    <t>RESULTADO NOMINAL - Acima da Linha (XXVII) =  XXIV + (XXV - XXVI)</t>
  </si>
  <si>
    <t>META FISCAL PARA O RESULTADO NOMINAL</t>
  </si>
  <si>
    <t>ABAIXO DA LINHA</t>
  </si>
  <si>
    <t>CÁLCULO DO RESULTADO NOMINAL</t>
  </si>
  <si>
    <t>SALDO</t>
  </si>
  <si>
    <t>DÍVIDA CONSOLIDADA (XXVIII)</t>
  </si>
  <si>
    <t>938.163,67</t>
  </si>
  <si>
    <t>DEDUÇÕES (XXIX)</t>
  </si>
  <si>
    <t>632.454,62</t>
  </si>
  <si>
    <t>Disponibilidade de Caixa</t>
  </si>
  <si>
    <t>Disponibilidade de Caixa Bruta</t>
  </si>
  <si>
    <t>20.648.054,22</t>
  </si>
  <si>
    <t>(-) Restos a Pagar Processados (XXX)</t>
  </si>
  <si>
    <t>Demais Haveres Financeiros</t>
  </si>
  <si>
    <t>DÍVIDA CONSOLIDADA LÍQUIDA (XXXI) = (XXVIII - XXIX)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</si>
  <si>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</si>
  <si>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</si>
  <si>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</si>
  <si>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</si>
  <si>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</si>
  <si>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</si>
  <si>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</si>
  <si>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</si>
  <si>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</si>
  <si>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</si>
  <si>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RESULTADO PRIMÁRIO - Abaixo da Linha (XL) = XXXIX - (XXV - XXVI)</t>
  </si>
  <si>
    <t>INFORMAÇÕES ADICIONAIS</t>
  </si>
  <si>
    <t>SALDO DE EXERCÍCIOS ANTERIORES</t>
  </si>
  <si>
    <t>Recursos Arrecadados em Exercícios Anteriores - RPPS</t>
  </si>
  <si>
    <t>Superávit Financeiro Utilizado para Abertura e Reabertura de Créditos Adicionais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</si>
  <si>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</si>
  <si>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</si>
  <si>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</si>
  <si>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</si>
  <si>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</si>
  <si>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</si>
  <si>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</si>
  <si>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Multas, Juros de Mora, Divida Ativa e Outros Encargos do IPTU</t>
  </si>
  <si>
    <t>Receita Resultante do Imposto sobre Transmissão Inter Vivos - ITBI</t>
  </si>
  <si>
    <t>Multas, Juros de Mora, Dívida Ativa e Outros Encargos do ITBI</t>
  </si>
  <si>
    <t>Receita Resultante do Imposto sobre Serviços de Qualquer Natureza - ISS</t>
  </si>
  <si>
    <t>Multas, Juros de Mora, Dívida Ativa e Outros Encargos do ISS</t>
  </si>
  <si>
    <t>Receita Resultante do Imposto sobre a Renda e Proventos de Qualquer Natureza Retido na Fonte – IRRF</t>
  </si>
  <si>
    <t>RECEITA DE TRANSFERÊNCIAS CONSTITUCIONAIS E LEGAIS (II)</t>
  </si>
  <si>
    <t>Cota-Parte FPM</t>
  </si>
  <si>
    <t>Cota-Parte ITR</t>
  </si>
  <si>
    <t>Cota-Parte IPVA</t>
  </si>
  <si>
    <t>Cota-Parte ICMS</t>
  </si>
  <si>
    <t>Cota-Parte IPI-Exportação</t>
  </si>
  <si>
    <t>Compensações Financeiras Provenientes de Impostos e Transferências Constitucionais</t>
  </si>
  <si>
    <t>Desoneração ICMS - LC 87/1996</t>
  </si>
  <si>
    <t>Outras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</si>
  <si>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</si>
  <si>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</si>
  <si>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</si>
  <si>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</si>
  <si>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</si>
  <si>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</si>
  <si>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</si>
  <si>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</si>
  <si>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</si>
  <si>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</si>
  <si>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</si>
  <si>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100,00</t>
  </si>
  <si>
    <t>Despesas Correntes</t>
  </si>
  <si>
    <t>Despesas de Capital</t>
  </si>
  <si>
    <t>ASSISTÊNCIA HOSPITALAR E AMBULATORIAL  (V)</t>
  </si>
  <si>
    <t>SUPORTE PROFILÁTICO E TERAPÊUTICO  (VI)</t>
  </si>
  <si>
    <t>VIGILÂNCIA SANITÁRIA  (VII)</t>
  </si>
  <si>
    <t>1,00</t>
  </si>
  <si>
    <t>VIGILÂNCIA EPIDEMIOLÓGICA (VIII)</t>
  </si>
  <si>
    <t>ALIMENTAÇÃO E NUTRIÇÃO (IX)</t>
  </si>
  <si>
    <t>OUTRAS SUBFUNÇÕES (X)</t>
  </si>
  <si>
    <t>TOTAL (XI) = (IV + V + VI + VII + VIII + IX + X)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</si>
  <si>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</si>
  <si>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</si>
  <si>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</si>
  <si>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</si>
  <si>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</si>
  <si>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</si>
  <si>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</si>
  <si>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</si>
  <si>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</si>
  <si>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</si>
  <si>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</si>
  <si>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</si>
  <si>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</si>
  <si>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</si>
  <si>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</si>
  <si>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</si>
  <si>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</si>
  <si>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</si>
  <si>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</si>
  <si>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</si>
  <si>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</si>
  <si>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</si>
  <si>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2020</t>
  </si>
  <si>
    <t>Diferença de limite não cumprido em Exercícios Anteriores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</si>
  <si>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</si>
  <si>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</si>
  <si>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</si>
  <si>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</si>
  <si>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</si>
  <si>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</si>
  <si>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</si>
  <si>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</si>
  <si>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</si>
  <si>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</si>
  <si>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</si>
  <si>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</si>
  <si>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</si>
  <si>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2021</t>
  </si>
  <si>
    <t>Empenhos de 2020</t>
  </si>
  <si>
    <t>Empenhos de 2019</t>
  </si>
  <si>
    <t>Empenhos de 2018</t>
  </si>
  <si>
    <t>Empenhos de 2017</t>
  </si>
  <si>
    <t>Empenhos de 2016</t>
  </si>
  <si>
    <t>Empenhos de 2015</t>
  </si>
  <si>
    <t>Empenhos de 2014</t>
  </si>
  <si>
    <t>Empenhos de 2013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</si>
  <si>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</si>
  <si>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</si>
  <si>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</si>
  <si>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</si>
  <si>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</si>
  <si>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</si>
  <si>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</si>
  <si>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</si>
  <si>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</si>
  <si>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</si>
  <si>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exercícios anteriores a serem compensados (XXVI)</t>
  </si>
  <si>
    <t>TOTAL DE RESTOS A PAGAR CANCELADOS OU PRESCRITOS A COMPENSAR (XXVII)</t>
  </si>
  <si>
    <t>(204.746,19)</t>
  </si>
  <si>
    <t>RECEITAS ADICIONAIS PARA O FINANCIAMENTO DA SAÚDE NÃO COMPUTADAS NO CÁLCULO DO MÍNIMO</t>
  </si>
  <si>
    <t>RECEITAS DE TRANSFERÊNCIAS PARA A SAÚDE  (XXVIII)</t>
  </si>
  <si>
    <t>Proveniente da União</t>
  </si>
  <si>
    <t>Proveniente dos Estados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</si>
  <si>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</si>
  <si>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</si>
  <si>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</si>
  <si>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</si>
  <si>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</si>
  <si>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</si>
  <si>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</si>
  <si>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ASSISTÊNCIA HOSPITALAR E AMBULATORIAL (XXXIII)</t>
  </si>
  <si>
    <t>6.510,43</t>
  </si>
  <si>
    <t>66.479,46</t>
  </si>
  <si>
    <t>SUPORTE PROFILÁTICO E TERAPÊUTICO (XXXIV)</t>
  </si>
  <si>
    <t>VIGILÂNCIA SANITÁRIA (XXXV)</t>
  </si>
  <si>
    <t>25,00</t>
  </si>
  <si>
    <t>VIGILÂNCIA EPIDEMIOLÓGICA (XXXVI)</t>
  </si>
  <si>
    <t>600,00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</si>
  <si>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</si>
  <si>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</si>
  <si>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</si>
  <si>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DESPESAS TOTAIS COM SAÚDE EXECUTADAS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</si>
  <si>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</si>
  <si>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</si>
  <si>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</si>
  <si>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</si>
  <si>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</si>
  <si>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</si>
  <si>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TOTAL DAS DESPESAS COM SAÚDE (XLVII) = (XI + XXXIX)</t>
  </si>
  <si>
    <t>(-) Despesas executadas com recursos provenientes das transferências de recursos de outros entes³</t>
  </si>
  <si>
    <t>TOTAL DAS DESPESAS EXECUTADAS COM RECURSOS PRÓPRIOS (XLVIII)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</si>
  <si>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</si>
  <si>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</si>
  <si>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</si>
  <si>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³Essas despesas são consideradas executadas pelo ente transferidor.</t>
  </si>
  <si>
    <t>(c)=(a-b)</t>
  </si>
  <si>
    <t>30% - 2245 MDE</t>
  </si>
  <si>
    <t>Ens. Espec 2.032</t>
  </si>
  <si>
    <t>Livre-2.248</t>
  </si>
  <si>
    <t>2.019MDE30%Gabinet</t>
  </si>
  <si>
    <t>(-) 9419 Demais Variações Monetárias Negativas</t>
  </si>
  <si>
    <t>08/09/2021 Arrecadacao da Receita Ref correcao contribuicoes repassadas ao RPPS compensando os juros pelo atraso ao FAPS pela Camara de Vereadores emp extra 119/2021 Correcao SELIC contribuicao patronal contido R$ 160,40</t>
  </si>
  <si>
    <t>Dot. Atualizada</t>
  </si>
  <si>
    <t>Reserva de Contin.</t>
  </si>
  <si>
    <t>A liquidar:</t>
  </si>
  <si>
    <t>Despesas Intraorçamentárias</t>
  </si>
  <si>
    <t>Remuneração dos Recurso do Regime Próprio de Previdências Social - RPPS (1)</t>
  </si>
  <si>
    <t>Receitas Diretamente Arrecadadas pelo Fundo de Assistência à Saúde dos Servidores (198)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</si>
  <si>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8</t>
    </r>
  </si>
  <si>
    <t>Fundo em Capitalização (PLANO PREVIDENCIÁRIO)</t>
  </si>
  <si>
    <t>Despesas Previdenciárias Pagas</t>
  </si>
  <si>
    <t>Fundo em Repartição (PLANO FINANCEIRO)</t>
  </si>
  <si>
    <t>Bimestre</t>
  </si>
  <si>
    <t>Total das Despesas Consideradas para o Limite / RCL (%)</t>
  </si>
  <si>
    <t>Ano: 2022</t>
  </si>
  <si>
    <t>Anos:</t>
  </si>
  <si>
    <t>Suplementar:</t>
  </si>
  <si>
    <t>ANEXO II DO CRONOGRAMA DE DESEMBOLSO PARA 2022</t>
  </si>
  <si>
    <t>ANEXO III - CRONOGRAMA DE REEMBOLSO E DESEMBOLSO AO MÊS PARA 2022</t>
  </si>
  <si>
    <t>CRONOGRAMA DE DESEMBOLSO POR ORGÃO PARA O EXERCÍCIO DE 2022</t>
  </si>
  <si>
    <t>EXERCÍCIO DE 2022</t>
  </si>
  <si>
    <t>RECEITA/2022</t>
  </si>
  <si>
    <t>DESPESA/2022</t>
  </si>
  <si>
    <t>EXERCICIO DE 2022</t>
  </si>
  <si>
    <t>3ª - O déficit é provocado pelo despêndio maior que o previsto para o periodo no Orçamento e Regumentado no Decreto Executivo  nº 4865, de 03 Fevereiro de 2022.</t>
  </si>
  <si>
    <t>DESPESAS ORÇAMENTÁRIAS, EXCETO AS DESPESAS INTRAORÇAMENTÁRIAS</t>
  </si>
  <si>
    <t xml:space="preserve"> 6.3.1.4 - RP NÃO PROCESSADOS PAGOS (3099)</t>
  </si>
  <si>
    <t>2.032 30% Ens Esp.</t>
  </si>
  <si>
    <t>Empenhos Restos em 31/12/2021</t>
  </si>
  <si>
    <t>7.665.003,08</t>
  </si>
  <si>
    <t>13.359.414,75</t>
  </si>
  <si>
    <t>18.946,10</t>
  </si>
  <si>
    <t>4.958.504,05</t>
  </si>
  <si>
    <t>1.604.648,06</t>
  </si>
  <si>
    <t>1.086.790,02</t>
  </si>
  <si>
    <t>430.232,87</t>
  </si>
  <si>
    <t>5.770.172,40</t>
  </si>
  <si>
    <t>40.962.798,23</t>
  </si>
  <si>
    <t>44.620,01</t>
  </si>
  <si>
    <t>1.412.415,94</t>
  </si>
  <si>
    <t>31.906,39</t>
  </si>
  <si>
    <t>259.261,06</t>
  </si>
  <si>
    <t>20.099,78</t>
  </si>
  <si>
    <t>1.260.117,14</t>
  </si>
  <si>
    <t>544.140,11</t>
  </si>
  <si>
    <t>265.688,32</t>
  </si>
  <si>
    <t>4.658,99</t>
  </si>
  <si>
    <t>20.800,00</t>
  </si>
  <si>
    <t>5.286,70</t>
  </si>
  <si>
    <t>380.189,47</t>
  </si>
  <si>
    <t>57.138,95</t>
  </si>
  <si>
    <t>75.682,35</t>
  </si>
  <si>
    <t>1.068,14</t>
  </si>
  <si>
    <t>156,19</t>
  </si>
  <si>
    <t>1.224,33</t>
  </si>
  <si>
    <t>73,89</t>
  </si>
  <si>
    <t>2.980,00</t>
  </si>
  <si>
    <t>41.867,13</t>
  </si>
  <si>
    <t>286.460,46</t>
  </si>
  <si>
    <t>872.150,84</t>
  </si>
  <si>
    <t>1.158.611,30</t>
  </si>
  <si>
    <t>28,83</t>
  </si>
  <si>
    <t>0,02</t>
  </si>
  <si>
    <t>28,85</t>
  </si>
  <si>
    <t>5.025,19</t>
  </si>
  <si>
    <t>1.029.371,00</t>
  </si>
  <si>
    <t>36.283,16</t>
  </si>
  <si>
    <t>9.374,47</t>
  </si>
  <si>
    <t>-7.311,60</t>
  </si>
  <si>
    <t>201.656,08</t>
  </si>
  <si>
    <t>140.964,41</t>
  </si>
  <si>
    <t>52.694,07</t>
  </si>
  <si>
    <t>10.400,00</t>
  </si>
  <si>
    <t>2.573,62</t>
  </si>
  <si>
    <t>260,48</t>
  </si>
  <si>
    <t>2.150,00</t>
  </si>
  <si>
    <t>7.609,93</t>
  </si>
  <si>
    <t>574,89</t>
  </si>
  <si>
    <t>1.054.909,38</t>
  </si>
  <si>
    <t>214.684,59</t>
  </si>
  <si>
    <t>44.945,33</t>
  </si>
  <si>
    <t>38.517,45</t>
  </si>
  <si>
    <t>36.800,65</t>
  </si>
  <si>
    <t>114.958,10</t>
  </si>
  <si>
    <t>1.743,40</t>
  </si>
  <si>
    <t>392,80</t>
  </si>
  <si>
    <t>787.329,99</t>
  </si>
  <si>
    <t>282.916,66</t>
  </si>
  <si>
    <t>14.175,24</t>
  </si>
  <si>
    <t>23.964,31</t>
  </si>
  <si>
    <t>6.697,06</t>
  </si>
  <si>
    <t>1.014.219,93</t>
  </si>
  <si>
    <t>822.088,43</t>
  </si>
  <si>
    <t>62.432.940,88</t>
  </si>
  <si>
    <t>28.481.864,46</t>
  </si>
  <si>
    <t>-1.932,65</t>
  </si>
  <si>
    <t>1.468,70</t>
  </si>
  <si>
    <t>2.085,00</t>
  </si>
  <si>
    <t>5.888,57</t>
  </si>
  <si>
    <t>18.520,00</t>
  </si>
  <si>
    <t>516.833,75</t>
  </si>
  <si>
    <t>1.096,22</t>
  </si>
  <si>
    <t>27.925,49</t>
  </si>
  <si>
    <t>264.938,32</t>
  </si>
  <si>
    <t>4.076,70</t>
  </si>
  <si>
    <t>152,59</t>
  </si>
  <si>
    <t>90.345,88</t>
  </si>
  <si>
    <t>4.470,14</t>
  </si>
  <si>
    <t>34.962,75</t>
  </si>
  <si>
    <t>Orçamento Fiscal e da Seguridade Socials</t>
  </si>
  <si>
    <t>RECEITAS (EXCETO INTRA-ORÇAMENTÁRIAS) (I)</t>
  </si>
  <si>
    <t>148.475.673,85</t>
  </si>
  <si>
    <t>141.631.504,86</t>
  </si>
  <si>
    <t>18.205.576,49</t>
  </si>
  <si>
    <t>14.575.490,45</t>
  </si>
  <si>
    <t>1.587.992,34</t>
  </si>
  <si>
    <t>2.042.093,70</t>
  </si>
  <si>
    <t>0,04</t>
  </si>
  <si>
    <t>2.042.093,66</t>
  </si>
  <si>
    <t>8.138.213,42</t>
  </si>
  <si>
    <t>6.974.325,00</t>
  </si>
  <si>
    <t>14,40</t>
  </si>
  <si>
    <t>1.163.888,42</t>
  </si>
  <si>
    <t>5.094.630,65</t>
  </si>
  <si>
    <t>24.672,38</t>
  </si>
  <si>
    <t>5.069.958,27</t>
  </si>
  <si>
    <t>138.999,83</t>
  </si>
  <si>
    <t>552.523,71</t>
  </si>
  <si>
    <t>107.251.746,38</t>
  </si>
  <si>
    <t>35.150.723,78</t>
  </si>
  <si>
    <t>38.353.393,79</t>
  </si>
  <si>
    <t>5.933.174,00</t>
  </si>
  <si>
    <t>27.814.454,81</t>
  </si>
  <si>
    <t>2.249.814,38</t>
  </si>
  <si>
    <t>56.796,74</t>
  </si>
  <si>
    <t>35,92</t>
  </si>
  <si>
    <t>(35,92)</t>
  </si>
  <si>
    <t>2.193.017,64</t>
  </si>
  <si>
    <t>6.844.168,99</t>
  </si>
  <si>
    <t>5.000.000,00</t>
  </si>
  <si>
    <t>6.081,85</t>
  </si>
  <si>
    <t>175,90</t>
  </si>
  <si>
    <t>2,89</t>
  </si>
  <si>
    <t>5.905,95</t>
  </si>
  <si>
    <t>1.828.578,44</t>
  </si>
  <si>
    <t>9.508,70</t>
  </si>
  <si>
    <t>RECEITAS (INTRA-ORÇAMENTÁRIAS) (II)</t>
  </si>
  <si>
    <t>31.731.831,03</t>
  </si>
  <si>
    <t>180.207.504,88</t>
  </si>
  <si>
    <t>DÉFICIT (VI)</t>
  </si>
  <si>
    <t>134.785.727,71</t>
  </si>
  <si>
    <t>124.519.989,17</t>
  </si>
  <si>
    <t>90.210.130,70</t>
  </si>
  <si>
    <t>608.240,00</t>
  </si>
  <si>
    <t>33.701.618,47</t>
  </si>
  <si>
    <t>10.265.028,69</t>
  </si>
  <si>
    <t>10.263.193,69</t>
  </si>
  <si>
    <t>1.552,00</t>
  </si>
  <si>
    <t>31.912.416,76</t>
  </si>
  <si>
    <t>166.698.144,47</t>
  </si>
  <si>
    <t>13.509.360,41</t>
  </si>
  <si>
    <t>12.154.868,64</t>
  </si>
  <si>
    <t>19.576.962,39</t>
  </si>
  <si>
    <t>31.912.114,76</t>
  </si>
  <si>
    <t>29.268.591,32</t>
  </si>
  <si>
    <t>2.643.222,44</t>
  </si>
  <si>
    <t>41.221.646,10</t>
  </si>
  <si>
    <t>5.282.264,93</t>
  </si>
  <si>
    <t>3.989.813,88</t>
  </si>
  <si>
    <t>1.218.037,33</t>
  </si>
  <si>
    <t>74.413,72</t>
  </si>
  <si>
    <t>10.236.920,75</t>
  </si>
  <si>
    <t>8.225.365,62</t>
  </si>
  <si>
    <t>1.902.266,18</t>
  </si>
  <si>
    <t>109.288,95</t>
  </si>
  <si>
    <t>4.862.926,13</t>
  </si>
  <si>
    <t>20.839.534,29</t>
  </si>
  <si>
    <t>1.259.763,58</t>
  </si>
  <si>
    <t>2.808,32</t>
  </si>
  <si>
    <t>21.644.683,71</t>
  </si>
  <si>
    <t>BENS E DIREITOS DO RPPS (FUNDO EM REPARTIÇÃO)</t>
  </si>
  <si>
    <t>330.387,37</t>
  </si>
  <si>
    <t>66.520,00</t>
  </si>
  <si>
    <t>66.510,00</t>
  </si>
  <si>
    <t>13.478,00</t>
  </si>
  <si>
    <t>79.998,00</t>
  </si>
  <si>
    <t>250.389,37</t>
  </si>
  <si>
    <t>BENS E DIREITOS - ADMINISTRAÇÃO DO RPPS</t>
  </si>
  <si>
    <t>Até o Bimestre/2022</t>
  </si>
  <si>
    <t>3.467.839,35</t>
  </si>
  <si>
    <t>5.814.310,60</t>
  </si>
  <si>
    <t>1.378.438,67</t>
  </si>
  <si>
    <t>3.914.901,83</t>
  </si>
  <si>
    <t>3.630.086,04</t>
  </si>
  <si>
    <t>30.597.437,09</t>
  </si>
  <si>
    <t>3.122.275,09</t>
  </si>
  <si>
    <t>951.759,41</t>
  </si>
  <si>
    <t>448.945,94</t>
  </si>
  <si>
    <t>2.941.337,92</t>
  </si>
  <si>
    <t>6.928,52</t>
  </si>
  <si>
    <t>2.934.409,40</t>
  </si>
  <si>
    <t>1.517.574,00</t>
  </si>
  <si>
    <t>311.004,44</t>
  </si>
  <si>
    <t>1.838.087,14</t>
  </si>
  <si>
    <t>297.064,66</t>
  </si>
  <si>
    <t>283,00</t>
  </si>
  <si>
    <t>182,00</t>
  </si>
  <si>
    <t>49.517,46</t>
  </si>
  <si>
    <t>709,85</t>
  </si>
  <si>
    <t>Em 31/Dez/2021</t>
  </si>
  <si>
    <t>(-) Depósitos Restituíveis e Valores Vinculados</t>
  </si>
  <si>
    <t>1.220.411,29</t>
  </si>
  <si>
    <t>2.720.609,35</t>
  </si>
  <si>
    <t>747.230,00</t>
  </si>
  <si>
    <t>1.356.054,97</t>
  </si>
  <si>
    <t>22.383,70</t>
  </si>
  <si>
    <t>5.691.399,04</t>
  </si>
  <si>
    <t>122.911,56</t>
  </si>
  <si>
    <t>72.196.043,57</t>
  </si>
  <si>
    <t>28.295.521,66</t>
  </si>
  <si>
    <t>1.189.699,26</t>
  </si>
  <si>
    <t>3.902.843,86</t>
  </si>
  <si>
    <t>38.246.796,36</t>
  </si>
  <si>
    <t>561.182,43</t>
  </si>
  <si>
    <t>86.771.534,02</t>
  </si>
  <si>
    <t>877.910,16</t>
  </si>
  <si>
    <t>817.503,96</t>
  </si>
  <si>
    <t>60.406,20</t>
  </si>
  <si>
    <t>8.452.837,11</t>
  </si>
  <si>
    <t>8.452.833,11</t>
  </si>
  <si>
    <t>418.222,25</t>
  </si>
  <si>
    <t>163.539,59</t>
  </si>
  <si>
    <t>163.538,59</t>
  </si>
  <si>
    <t>543.655,25</t>
  </si>
  <si>
    <t>11.085.153,51</t>
  </si>
  <si>
    <t>11.029.762,81</t>
  </si>
  <si>
    <t>55.390,70</t>
  </si>
  <si>
    <t>21.541.317,87</t>
  </si>
  <si>
    <t>Diferença de limite não cumprido em 2021</t>
  </si>
  <si>
    <t>Empenhos de 2022</t>
  </si>
  <si>
    <t>Restos a pagar cancelados ou prescritos em 2021 a serem compensados (XXIV)</t>
  </si>
  <si>
    <t>Restos a pagar cancelados ou prescritos em 2020 a serem compensados (XXV)</t>
  </si>
  <si>
    <t>8.240,97</t>
  </si>
  <si>
    <t>(196.505,22)</t>
  </si>
  <si>
    <t>311.006,44</t>
  </si>
  <si>
    <t>5.322.965,75</t>
  </si>
  <si>
    <t>5.197.660,72</t>
  </si>
  <si>
    <t>125.305,03</t>
  </si>
  <si>
    <t>225.300,03</t>
  </si>
  <si>
    <t>1.492.323,80</t>
  </si>
  <si>
    <t>1.491.203,32</t>
  </si>
  <si>
    <t>1.120,48</t>
  </si>
  <si>
    <t>483.073,77</t>
  </si>
  <si>
    <t>422.773,77</t>
  </si>
  <si>
    <t>60.300,00</t>
  </si>
  <si>
    <t>142.519,77</t>
  </si>
  <si>
    <t>1.296,00</t>
  </si>
  <si>
    <t>72.702,00</t>
  </si>
  <si>
    <t>69.817,77</t>
  </si>
  <si>
    <t>318.199,99</t>
  </si>
  <si>
    <t>318.036,79</t>
  </si>
  <si>
    <t>163,20</t>
  </si>
  <si>
    <t>224.255,20</t>
  </si>
  <si>
    <t>1.157,76</t>
  </si>
  <si>
    <t>223.097,44</t>
  </si>
  <si>
    <t>7.983.338,28</t>
  </si>
  <si>
    <t>6.200.875,91</t>
  </si>
  <si>
    <t>9.945.160,91</t>
  </si>
  <si>
    <t>901.296,02</t>
  </si>
  <si>
    <t>306.059,36</t>
  </si>
  <si>
    <t>861.855,24</t>
  </si>
  <si>
    <t>13,31</t>
  </si>
  <si>
    <t>11.309.408,71</t>
  </si>
  <si>
    <t>29.524.656,15</t>
  </si>
  <si>
    <t>7.161.525,02</t>
  </si>
  <si>
    <t>22.363.131,13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</si>
  <si>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</si>
  <si>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</si>
  <si>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</si>
  <si>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</si>
  <si>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</si>
  <si>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</si>
  <si>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</si>
  <si>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</si>
  <si>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</si>
  <si>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</si>
  <si>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2.1- Cota-Parte FPM</t>
  </si>
  <si>
    <t>2.1.1- Parcela referente à CF, art. 159, I, alínea b</t>
  </si>
  <si>
    <t>2.1.2- Parcela referente à CF, art. 159, I, alíneas d e e</t>
  </si>
  <si>
    <t>2.508.150,67</t>
  </si>
  <si>
    <t>2.2- Cota-Parte ICMS</t>
  </si>
  <si>
    <t>2.3- Cota-Parte IPI-Exportação</t>
  </si>
  <si>
    <t>2.4- Cota-Parte ITR</t>
  </si>
  <si>
    <t>2.5- Cota-Parte IPVA</t>
  </si>
  <si>
    <t>2.6- Cota-Parte IOF-Ouro</t>
  </si>
  <si>
    <t>2.7- Compensações Financeiras Provenientes de Impostos e Transferências Constitucionais</t>
  </si>
  <si>
    <t>3- TOTAL DA RECEITA RESULTANTE DE IMPOSTOS (1 + 2)</t>
  </si>
  <si>
    <t>4- TOTAL DESTINADO AO FUNDEB - 20% DE ((2.1.1) + (2.2) + (2.3) + (2.4) + (2.5))</t>
  </si>
  <si>
    <t>5- VALOR MÍNIMO A SER APLICADO EM MDE ALÉM DO VALOR DESTINADO AO FUNDEB - 5% DE ((2.1.1) + (2.2) + (2.3) + (2.4) + (2.5)) + 25% DE ((1.1) + (1.2) + (1.3) + (1.4) + (2.1.2)+ (2.6)+ (2.7))</t>
  </si>
  <si>
    <t>RECEITAS RECEBIDAS DO FUNDEB NO EXERCÍCIO</t>
  </si>
  <si>
    <t>6- RECEITAS RECEBIDAS DO FUNDEB</t>
  </si>
  <si>
    <t>27.841.633,60</t>
  </si>
  <si>
    <t>6.1- FUNDEB - Impostos e Transferências de Impostos</t>
  </si>
  <si>
    <t>6.1.1- Principal</t>
  </si>
  <si>
    <t>6.1.2- Rendimentos de Aplicação Financeira</t>
  </si>
  <si>
    <t>27.178,79</t>
  </si>
  <si>
    <t>6.2- FUNDEB - Complementação da União - VAAF</t>
  </si>
  <si>
    <t>6.2.1- Principal</t>
  </si>
  <si>
    <t>6.2.2- Rendimentos de Aplicação Financeira</t>
  </si>
  <si>
    <t>6.3- FUNDEB - Complementação da União - VAAT</t>
  </si>
  <si>
    <t>6.3.1- Principal</t>
  </si>
  <si>
    <t>6.3.2- Rendimentos de Aplicação Financeira</t>
  </si>
  <si>
    <t>7- RESULTADO LÍQUIDO DAS TRANSFERÊNCIAS DO FUNDEB (6.1.1 – 4)¹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</si>
  <si>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</si>
  <si>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</si>
  <si>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</si>
  <si>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</si>
  <si>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</si>
  <si>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Área de Atuação)⁶</t>
  </si>
  <si>
    <t>INSCRITAS EM RESTOS A
PAGAR NÃO PROCESSADOS
(g)</t>
  </si>
  <si>
    <t>10- PROFISSIONAIS DA EDUCAÇÃO BÁSICA</t>
  </si>
  <si>
    <t>10.1- Educação Infantil</t>
  </si>
  <si>
    <t>10.1.1- Creche</t>
  </si>
  <si>
    <t>10.1.2- Pré-escola</t>
  </si>
  <si>
    <t>10.2- Ensino Fundamental</t>
  </si>
  <si>
    <t>11- OUTRAS DESPESAS</t>
  </si>
  <si>
    <t>11.1- Educação Infantil</t>
  </si>
  <si>
    <t>11.1.1- Creche</t>
  </si>
  <si>
    <t>11.1.2- Pré-escola</t>
  </si>
  <si>
    <t>11.2- Ensino Fundamental</t>
  </si>
  <si>
    <t>12- TOTAL DAS DESPESAS COM RECURSOS DO FUNDEB (10 + 11)</t>
  </si>
  <si>
    <t>INDICADORES DO FUNDEB</t>
  </si>
  <si>
    <t>DESPESAS CUSTEADAS COM RECEITAS DO FUNDEB RECEBIDAS NO EXERCÍCIO</t>
  </si>
  <si>
    <t>INSCRITAS EM RESTOS
A PAGAR 
NÃO PROCESSADOS
(g)</t>
  </si>
  <si>
    <t>INSCRITAS EM RESTOS A
PAGAR NÃO PROCESSADOS
(SEM DISPONIBILIDADE DE CAIXA)⁷
(h)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</si>
  <si>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</si>
  <si>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</si>
  <si>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</si>
  <si>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</si>
  <si>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</si>
  <si>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</si>
  <si>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Federal²</t>
  </si>
  <si>
    <t>VALOR EXIGIDO
(i)</t>
  </si>
  <si>
    <t>VALOR APLICADO
(j)</t>
  </si>
  <si>
    <t>VALOR CONSIDERADO
APÓS DEDUÇÕES
(k)</t>
  </si>
  <si>
    <t>% APLICADO
(l)</t>
  </si>
  <si>
    <t>19- Mínimo de 70% do FUNDEB na Remuneração dos Profissionais da Educação Básica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</si>
  <si>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</si>
  <si>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</si>
  <si>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Superávit)³</t>
  </si>
  <si>
    <t>VALOR MAXIMO PERMITIDO
(m)</t>
  </si>
  <si>
    <t>VALOR NÃO APLICADO
(n)</t>
  </si>
  <si>
    <t>VALOR NÃO APLICADO APÓS 
AJUSTE
(o)</t>
  </si>
  <si>
    <t>% NÃO APLICADO
(p)</t>
  </si>
  <si>
    <t>22- Total da Receita Recebida e não Aplicada no Exercício</t>
  </si>
  <si>
    <t>INDICADOR - Art.25, § 3º - Lei nº 14.113, de 2020 - (Aplicação do Superávit de Exercício Anterior)³</t>
  </si>
  <si>
    <t>VALOR DE SUPERÁVIT
PERMITIDO NO EXERCÍCIO 
ANTERIOR
(q)</t>
  </si>
  <si>
    <t>VALOR NÃO
APLICADO NO 
EXERCÍCIO ANTERIOR
(r)</t>
  </si>
  <si>
    <t>VALOR DE SUPERÁVIT 
APLICADO ATÉ O 
PRIMEIRO 
QUADRIMESTRE
(s)</t>
  </si>
  <si>
    <t>VALOR APLICADO 
ATÉ O PRIMEIRO 
QUADRIMESTRE 
QUE INTEGRARÁ O 
LIMITE CONSTITUCIONAL 
(t)</t>
  </si>
  <si>
    <t>VALOR APLICADO 
APÓS O PRIMEIRO 
QUADRIMESTRE
(u)</t>
  </si>
  <si>
    <t>VALOR 
NÃO APLICADO
(v) = (r) - (s) - (u)</t>
  </si>
  <si>
    <t>23- Total das Despesas do FUNDEB com Profissionais da Educação Básica</t>
  </si>
  <si>
    <t>23.1- Total das Despesas custeadas com FUNDEB - Impostos e Transferências de Impostos</t>
  </si>
  <si>
    <t>23.2- Total das Despesas custeadas com FUNDEB - Complementação da União - VAAF</t>
  </si>
  <si>
    <t>DESPESAS COM MANUTENÇÃO E DESENVOLVIMENTO DO ENSINO – MDE – CUSTEADAS COM RECEITA DE IMPOSTOS (EXCETO FUNDEB)</t>
  </si>
  <si>
    <t>DESPESAS COM AÇÕES TÍPICAS DE MDE - RECEITAS DE IMPOSTOS - EXCETO FUNDEB         
(Por Área de Atuação)⁶</t>
  </si>
  <si>
    <t>24- EDUCAÇÃO INFANTIL</t>
  </si>
  <si>
    <t>24.1- Creche</t>
  </si>
  <si>
    <t>24.2- Pré-escola</t>
  </si>
  <si>
    <t>1.765.419,86</t>
  </si>
  <si>
    <t>25- ENSINO FUNDAMENTAL</t>
  </si>
  <si>
    <t>26- TOTAL DAS DESPESAS COM AÇÕES TÍPICAS DE MDE (24 + 25)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</si>
  <si>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</si>
  <si>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</si>
  <si>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</si>
  <si>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IMPOSTOS⁴ = (L14h)</t>
  </si>
  <si>
    <t>30 (-) RESTOS A PAGAR NÃO PROCESSADOS INSCRITOS NO EXERCÍCIO SEM DISPONIBILIDADE FINANCEIRA DE RECURSOS DE IMPOSTOS⁴ ᵉ ⁷</t>
  </si>
  <si>
    <t>31 (-) CANCELAMENTO, NO EXERCÍCIO, DE RESTOS A PAGAR INSCRITOS COM DISPONIBILIDADE FINANCEIRA DE RECURSOS DE IMPOSTOS VINCULADOS AO ENSINO</t>
  </si>
  <si>
    <t>32- TOTAL DAS DESPESAS PARA FINS DE LIMITE  (27 – (28 + 29 + 30 + 31))</t>
  </si>
  <si>
    <t>APURAÇÃO DO LIMITE MÍNIMO CONSTITUCIONAL² ᵉ ⁵</t>
  </si>
  <si>
    <t>VALOR EXIGIDO
(x)</t>
  </si>
  <si>
    <t>VALOR APLICADO
(w)</t>
  </si>
  <si>
    <t>% APLICADO
(y)</t>
  </si>
  <si>
    <t>33- APLICAÇÃO EM MDE SOBRE A RECEITA RESULTANTE DE IMPOSTOS</t>
  </si>
  <si>
    <t>RESTOS A PAGAR INSCRITOS EM EXERCÍCIOS ANTERIORES COM DISPONIBILIDADE FINANCEIRA
DE RECURSOS DE IMPOSTOS E DO FUNDEB⁸</t>
  </si>
  <si>
    <t>SALDO INICIAL
(z)</t>
  </si>
  <si>
    <t>RP LIQUIDADOS
(aa)</t>
  </si>
  <si>
    <t>RP PAGOS
(ab)</t>
  </si>
  <si>
    <t>RP CANCELADOS
(ac)</t>
  </si>
  <si>
    <t>SALDO FINAL
(ad) = (z) - (ab) - (ac)</t>
  </si>
  <si>
    <t>34- RESTOS A PAGAR DE DESPESAS COM MDE</t>
  </si>
  <si>
    <t>6.045.351,91</t>
  </si>
  <si>
    <t>34.1 - Executadas com Recursos de Impostos e Transferências de Impostos</t>
  </si>
  <si>
    <t>34.2 - Executadas com Recursos do FUNDEB - Impostos</t>
  </si>
  <si>
    <t>1.086.847,86</t>
  </si>
  <si>
    <t>760.336,74</t>
  </si>
  <si>
    <t>570.014,11</t>
  </si>
  <si>
    <t>34.3 - Executadas com Recursos do FUNDEB - Complementação da União (VAAT + VAAF)</t>
  </si>
  <si>
    <t>OUTRAS INFORMAÇÕES PARA CONTROLE</t>
  </si>
  <si>
    <t>RECEITAS ADICIONAIS PARA FINANCIAMENTO DO ENSINO</t>
  </si>
  <si>
    <t>35- RECEITA DE TRANSFERÊNCIAS DO FNDE (INCLUINDO RENDIMENTOS DE APLICAÇÃO FINANCEIRA)</t>
  </si>
  <si>
    <t>2.857.450,45</t>
  </si>
  <si>
    <t>35.1- Salário-Educação</t>
  </si>
  <si>
    <t>1.885.106,21</t>
  </si>
  <si>
    <t>35.2- PDDE</t>
  </si>
  <si>
    <t>35.3- PNAE</t>
  </si>
  <si>
    <t>708.428,80</t>
  </si>
  <si>
    <t>35.4- PNATE</t>
  </si>
  <si>
    <t>248.820,16</t>
  </si>
  <si>
    <t>35.5- Outras Transferências do FNDE</t>
  </si>
  <si>
    <t>15.095,28</t>
  </si>
  <si>
    <t>36- RECEITA DE TRANSFERÊNCIAS DE CONVÊNIOS</t>
  </si>
  <si>
    <t>2.169.051,47</t>
  </si>
  <si>
    <t>37- RECEITA DE ROYALTIES DESTINADOS À EDUCAÇÃO</t>
  </si>
  <si>
    <t>38- RECEITA DE OPERAÇÕES DE CRÉDITO VINCULADAS À EDUCAÇÃO</t>
  </si>
  <si>
    <t>39- OUTRAS RECEITAS PARA FINANCIAMENTO DO ENSINO</t>
  </si>
  <si>
    <t>130,77</t>
  </si>
  <si>
    <t>40- TOTAL DAS RECEITAS ADICIONAIS PARA FINANCIAMENTO DO ENSINO = (35 + 36 + 37 +38 + 39)</t>
  </si>
  <si>
    <t>5.026.632,69</t>
  </si>
  <si>
    <t>DESPESAS CUSTEADAS COM RECEITAS ADICIONAIS PARA FINANCIAMENTO DO ENSINO         
(Por Área de Atuação)⁶</t>
  </si>
  <si>
    <t>41- EDUCAÇÃO INFANTIL</t>
  </si>
  <si>
    <t>41.1- Creche</t>
  </si>
  <si>
    <t>41.2- Pré-escola</t>
  </si>
  <si>
    <t>1.794,00</t>
  </si>
  <si>
    <t>42- ENSINO FUNDAMENTAL</t>
  </si>
  <si>
    <t>43- ENSINO MÉDIO</t>
  </si>
  <si>
    <t>1.400.080,00</t>
  </si>
  <si>
    <t>44- ENSINO SUPERIOR</t>
  </si>
  <si>
    <t>45- ENSINO PROFISSIONAL NÃO INTEGRADO AO ENSINO REGULAR</t>
  </si>
  <si>
    <t>46- TOTAL DAS DESPESAS CUSTEADAS COM RECEITAS ADICIONAIS PARA FINANCIAMENTO DO ENSINO (41+42+43+44+45)</t>
  </si>
  <si>
    <t>TOTAL GERAL DAS DESPESAS COM EDUCAÇÃO</t>
  </si>
  <si>
    <t>47- TOTAL GERAL DAS DESPESAS COM EDUCAÇÃO (12 + 26 + 46)</t>
  </si>
  <si>
    <t>47.1- Despesas Correntes</t>
  </si>
  <si>
    <t>47.1.1- Pessoal Ativo</t>
  </si>
  <si>
    <t>47.1.2- Pessoal Inativo</t>
  </si>
  <si>
    <t>47.1.3-Transferências às instituições comunitárias, confessionais ou filantrópicas sem fins lucrativos</t>
  </si>
  <si>
    <t>47.1.4- Outras Despesas Correntes</t>
  </si>
  <si>
    <t>47.2- Despesas de Capital</t>
  </si>
  <si>
    <t>47.2.1- Transferências às instituições comunitárias, confessionais ou filantrópicas sem fins lucrativos</t>
  </si>
  <si>
    <t>47.2.2- Outras Despesas de Capital</t>
  </si>
  <si>
    <t>CONTROLE DA DISPONIBILIDADE FINANCEIRA E CONCILIAÇÃO BANCÁRIA</t>
  </si>
  <si>
    <t>FUNDEB
(ae)</t>
  </si>
  <si>
    <t>SALÁRIO EDUCAÇÃO
(af)</t>
  </si>
  <si>
    <t>48- DISPONIBILIDADE FINANCEIRA EM 31 DE DEZEMBRO DE  2021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</si>
  <si>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</si>
  <si>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</si>
  <si>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</si>
  <si>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(RETENÇÕES E OUTROS VALORES EXTRAORÇAMENTÁRIOS)</t>
  </si>
  <si>
    <t>53- (-) AJUSTES NEGATIVOS (OUTROS VALORES EXTRAORÇAMENTÁRIOS)</t>
  </si>
  <si>
    <t>54- (=) SALDO FINANCEIRO CONCILIADO (Saldo Bancário)</t>
  </si>
  <si>
    <t>1 SE RESULTADO LÍQUIDO DA TRANSFERÊNCIA (7) &gt; 0 = ACRÉSCIMO RESULTANTE DAS TRANSFERÊNCIAS DO FUNDEB, SE RESULTADO LÍQUIDO DA TRANSFERÊNCIA (7) &lt; 0 = DECRÉSCIMO RESULTANTE DAS TRANSFERÊNCIAS DO FUNDEB.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deve ser considerado na apuração dos indicadores e limites.
8 Controle da execução de restos a pagar considerados no cumprimento do limite mínimo dos exercícios anteriores.</t>
  </si>
  <si>
    <t>dezembro de 2021</t>
  </si>
  <si>
    <t>Relatório Resumido de Execução Orçamentária</t>
  </si>
  <si>
    <t>Demonstrativo da Execução das Despesas por Função/Subfunção</t>
  </si>
  <si>
    <t>RREO - ANEXO 2 (LRF, Art. 52, inciso II, alínea 'c')</t>
  </si>
  <si>
    <t>FUNÇÃO/SUBFUNÇÃO</t>
  </si>
  <si>
    <t>Dotação</t>
  </si>
  <si>
    <t xml:space="preserve">Saldo </t>
  </si>
  <si>
    <t>Inicial</t>
  </si>
  <si>
    <t>Atualizada</t>
  </si>
  <si>
    <t xml:space="preserve"> </t>
  </si>
  <si>
    <t>(b/total b)</t>
  </si>
  <si>
    <t>(d/Total d)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</si>
  <si>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</si>
  <si>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</si>
  <si>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</si>
  <si>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</si>
  <si>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</si>
  <si>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</si>
  <si>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</si>
  <si>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</si>
  <si>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</si>
  <si>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</si>
  <si>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</si>
  <si>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</si>
  <si>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</si>
  <si>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</si>
  <si>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</si>
  <si>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</si>
  <si>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</si>
  <si>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</si>
  <si>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</si>
  <si>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</si>
  <si>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</si>
  <si>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</si>
  <si>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</si>
  <si>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</si>
  <si>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</si>
  <si>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</si>
  <si>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</si>
  <si>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</si>
  <si>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</si>
  <si>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</si>
  <si>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</si>
  <si>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</si>
  <si>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</si>
  <si>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</si>
  <si>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</si>
  <si>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</si>
  <si>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</si>
  <si>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</si>
  <si>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</si>
  <si>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</si>
  <si>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</si>
  <si>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</si>
  <si>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</si>
  <si>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</si>
  <si>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Educação Básica</t>
  </si>
  <si>
    <t>Cultura</t>
  </si>
  <si>
    <t>Patrimônio Histórico, Artístico e Arqueológico</t>
  </si>
  <si>
    <t>Difusão Cultural</t>
  </si>
  <si>
    <t>Direitos da Cidadania</t>
  </si>
  <si>
    <t>Direitos Individuais, Coletivos e Difusos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</si>
  <si>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</si>
  <si>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</si>
  <si>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</si>
  <si>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</si>
  <si>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</si>
  <si>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</si>
  <si>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</si>
  <si>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</si>
  <si>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</si>
  <si>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</si>
  <si>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</si>
  <si>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</si>
  <si>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</si>
  <si>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</si>
  <si>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</si>
  <si>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</si>
  <si>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</si>
  <si>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</si>
  <si>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</si>
  <si>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</si>
  <si>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</si>
  <si>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</si>
  <si>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</si>
  <si>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</si>
  <si>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</si>
  <si>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</si>
  <si>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</si>
  <si>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</si>
  <si>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</si>
  <si>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</si>
  <si>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</si>
  <si>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</si>
  <si>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</si>
  <si>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>1º de Janeiro a 30 de Abril de 2022</t>
  </si>
  <si>
    <t>Janeiro a Abril 2022/Bimestre Março-Abril</t>
  </si>
  <si>
    <t>PREFEITURA MUNICIPAL DE CACAPAVA DO SUL - RS  -  PODER EXECUTIVO</t>
  </si>
  <si>
    <t>DEMONSTRATIVO SIMPLIFICADO DO RELATÓRIO DE GESTÃO FISCAL</t>
  </si>
  <si>
    <t>1º QUADRIMESTRE DE 2022</t>
  </si>
  <si>
    <t>LRF, Art. 48 - Anexo 6</t>
  </si>
  <si>
    <t>RECEITA CORRENTE LÍQUIDA</t>
  </si>
  <si>
    <t>VALOR ATÉ O QUADRIMESTRE/SEMESTRE</t>
  </si>
  <si>
    <t>Receita Corrente líquida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</si>
  <si>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</si>
  <si>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</si>
  <si>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</si>
  <si>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</si>
  <si>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</si>
  <si>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QUADRIMESTRE DE REFERÊNCIA</t>
  </si>
  <si>
    <t>(19.985.370,72)</t>
  </si>
  <si>
    <t>(15,89)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</si>
  <si>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</si>
  <si>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</si>
  <si>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</si>
  <si>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</si>
  <si>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</si>
  <si>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</si>
  <si>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</si>
  <si>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</si>
  <si>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</si>
  <si>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Período:Janeiro a Abril</t>
  </si>
  <si>
    <t>POSIÇÃO DAS OBRIGAÇÕES REALIZADAS ATÉ ABRIL DE 2022.</t>
  </si>
  <si>
    <t>Restos a Pagar de exercícios anteriores pagos no período de Janeiro a Abril de 2022, totalizou:</t>
  </si>
  <si>
    <t>Fonte: Relatório Consolidado da "Situacao de Empenhos de Restos a Pagar por Orgãos -  Posicão até Abril/22"</t>
  </si>
  <si>
    <t>6.3.2.9.0 RP PROCESSADOS CANCELADOS (3111) R$ 18.354,52</t>
  </si>
  <si>
    <t>EVOLUÇÃO DOS SALDOS DOS RESTOS A PAGAR PROCESSADOS E NÃO PROCESSADOS DO PERÍODO:</t>
  </si>
  <si>
    <t>Dedução a Menor para o FUNDEB no ICMS em R$ 23.804,38</t>
  </si>
  <si>
    <t>O saldo dos Restos a Pagar em 30 de Abr/22 ficou em</t>
  </si>
  <si>
    <t>Disponibilidade Financeira do Recurso Vinculado - Abril de 2022</t>
  </si>
  <si>
    <t>19.413.429,14</t>
  </si>
  <si>
    <t>1.579.397,12</t>
  </si>
  <si>
    <t>28.657.829,34</t>
  </si>
  <si>
    <t>17.950.997,09</t>
  </si>
  <si>
    <t>31.310.411,84</t>
  </si>
  <si>
    <t>-4.231.979,62</t>
  </si>
  <si>
    <t>2.597.907,88</t>
  </si>
  <si>
    <t>2.616.853,98</t>
  </si>
  <si>
    <t>1.272.018,50</t>
  </si>
  <si>
    <t>6.230.522,55</t>
  </si>
  <si>
    <t>-3.613.668,57</t>
  </si>
  <si>
    <t>9.857.149,89</t>
  </si>
  <si>
    <t>11.461.797,95</t>
  </si>
  <si>
    <t>11.591.636,66</t>
  </si>
  <si>
    <t>12.678.426,68</t>
  </si>
  <si>
    <t>-1.216.628,73</t>
  </si>
  <si>
    <t>4.504.174,92</t>
  </si>
  <si>
    <t>4.934.407,79</t>
  </si>
  <si>
    <t>8.027.817,92</t>
  </si>
  <si>
    <t>13.797.990,32</t>
  </si>
  <si>
    <t>-8.863.582,53</t>
  </si>
  <si>
    <t>12.449.529,82</t>
  </si>
  <si>
    <t>53.412.328,05</t>
  </si>
  <si>
    <t>8.796.740,01</t>
  </si>
  <si>
    <t>8.841.360,02</t>
  </si>
  <si>
    <t>44.570.968,03</t>
  </si>
  <si>
    <t>90.780,03</t>
  </si>
  <si>
    <t>196.218,34</t>
  </si>
  <si>
    <t>43.839,54</t>
  </si>
  <si>
    <t>152.378,80</t>
  </si>
  <si>
    <t>736.031,00</t>
  </si>
  <si>
    <t>2.148.446,94</t>
  </si>
  <si>
    <t>354.818,13</t>
  </si>
  <si>
    <t>386.724,52</t>
  </si>
  <si>
    <t>1.761.722,42</t>
  </si>
  <si>
    <t>31.094,93</t>
  </si>
  <si>
    <t>290.355,99</t>
  </si>
  <si>
    <t>276.298,88</t>
  </si>
  <si>
    <t>296.398,66</t>
  </si>
  <si>
    <t>-6.042,67</t>
  </si>
  <si>
    <t>34.003,89</t>
  </si>
  <si>
    <t>1.294.121,03</t>
  </si>
  <si>
    <t>188.990,47</t>
  </si>
  <si>
    <t>1.105.130,56</t>
  </si>
  <si>
    <t>584.995,37</t>
  </si>
  <si>
    <t>1.129.135,48</t>
  </si>
  <si>
    <t>708.957,11</t>
  </si>
  <si>
    <t>974.645,43</t>
  </si>
  <si>
    <t>154.490,05</t>
  </si>
  <si>
    <t>361,01</t>
  </si>
  <si>
    <t>14.342,09</t>
  </si>
  <si>
    <t>42,44</t>
  </si>
  <si>
    <t>1.218,15</t>
  </si>
  <si>
    <t>21.906,72</t>
  </si>
  <si>
    <t>26.565,71</t>
  </si>
  <si>
    <t>26.020,66</t>
  </si>
  <si>
    <t>31.307,36</t>
  </si>
  <si>
    <t>-4.741,65</t>
  </si>
  <si>
    <t>141.221,21</t>
  </si>
  <si>
    <t>521.410,68</t>
  </si>
  <si>
    <t>194.656,86</t>
  </si>
  <si>
    <t>251.795,81</t>
  </si>
  <si>
    <t>269.614,87</t>
  </si>
  <si>
    <t>11.763,19</t>
  </si>
  <si>
    <t>63.905,28</t>
  </si>
  <si>
    <t>-34.293,72</t>
  </si>
  <si>
    <t>8.373,85</t>
  </si>
  <si>
    <t>84.056,20</t>
  </si>
  <si>
    <t>82.831,87</t>
  </si>
  <si>
    <t>4,10</t>
  </si>
  <si>
    <t>168,98</t>
  </si>
  <si>
    <t>7.902,01</t>
  </si>
  <si>
    <t>7.975,90</t>
  </si>
  <si>
    <t>4.995,90</t>
  </si>
  <si>
    <t>245.976,30</t>
  </si>
  <si>
    <t>287.843,43</t>
  </si>
  <si>
    <t>-870.767,87</t>
  </si>
  <si>
    <t>419.174,85</t>
  </si>
  <si>
    <t>615.701,24</t>
  </si>
  <si>
    <t>1.494,73</t>
  </si>
  <si>
    <t>64.782,99</t>
  </si>
  <si>
    <t>25.761,47</t>
  </si>
  <si>
    <t>30.786,66</t>
  </si>
  <si>
    <t>33.996,33</t>
  </si>
  <si>
    <t>18.434,28</t>
  </si>
  <si>
    <t>18.581,83</t>
  </si>
  <si>
    <t>18.000,00</t>
  </si>
  <si>
    <t>581,83</t>
  </si>
  <si>
    <t>1.698.498,54</t>
  </si>
  <si>
    <t>2.727.869,54</t>
  </si>
  <si>
    <t>2.299.174,75</t>
  </si>
  <si>
    <t>2.335.457,91</t>
  </si>
  <si>
    <t>392.411,63</t>
  </si>
  <si>
    <t>Convênio na área de Cultura eTurismo</t>
  </si>
  <si>
    <t>203.123,37</t>
  </si>
  <si>
    <t>1.569,98</t>
  </si>
  <si>
    <t>45.070,67</t>
  </si>
  <si>
    <t>-36.273,21</t>
  </si>
  <si>
    <t>249,48</t>
  </si>
  <si>
    <t>9.623,95</t>
  </si>
  <si>
    <t>580,30</t>
  </si>
  <si>
    <t>143.830,30</t>
  </si>
  <si>
    <t>6.794,76</t>
  </si>
  <si>
    <t>909,17</t>
  </si>
  <si>
    <t>119.344,97</t>
  </si>
  <si>
    <t>205.282,75</t>
  </si>
  <si>
    <t>3.626,67</t>
  </si>
  <si>
    <t>419,38</t>
  </si>
  <si>
    <t>143.594,59</t>
  </si>
  <si>
    <t>2.630,18</t>
  </si>
  <si>
    <t>52.764,68</t>
  </si>
  <si>
    <t>54.568,27</t>
  </si>
  <si>
    <t>1.874,20</t>
  </si>
  <si>
    <t>5.053,24</t>
  </si>
  <si>
    <t>208.566,78</t>
  </si>
  <si>
    <t>2.526,63</t>
  </si>
  <si>
    <t>104.283,38</t>
  </si>
  <si>
    <t>44,33</t>
  </si>
  <si>
    <t>11.610,94</t>
  </si>
  <si>
    <t>1.210,94</t>
  </si>
  <si>
    <t>2.543,07</t>
  </si>
  <si>
    <t>104.945,44</t>
  </si>
  <si>
    <t>25.821,33</t>
  </si>
  <si>
    <t>28.394,95</t>
  </si>
  <si>
    <t>28.134,47</t>
  </si>
  <si>
    <t>111.552,09</t>
  </si>
  <si>
    <t>544.278,44</t>
  </si>
  <si>
    <t>434.469,53</t>
  </si>
  <si>
    <t>434.789,56</t>
  </si>
  <si>
    <t>109.488,88</t>
  </si>
  <si>
    <t>305.595,14</t>
  </si>
  <si>
    <t>528.432,55</t>
  </si>
  <si>
    <t>63.001,08</t>
  </si>
  <si>
    <t>65.151,08</t>
  </si>
  <si>
    <t>463.281,47</t>
  </si>
  <si>
    <t>15,12</t>
  </si>
  <si>
    <t>525,69</t>
  </si>
  <si>
    <t>126.787,64</t>
  </si>
  <si>
    <t>440.027,79</t>
  </si>
  <si>
    <t>263.416,72</t>
  </si>
  <si>
    <t>263.518,16</t>
  </si>
  <si>
    <t>176.509,63</t>
  </si>
  <si>
    <t>3.931,02</t>
  </si>
  <si>
    <t>136.375,82</t>
  </si>
  <si>
    <t>40.995,97</t>
  </si>
  <si>
    <t>56.740,19</t>
  </si>
  <si>
    <t>54.482,67</t>
  </si>
  <si>
    <t>62.092,60</t>
  </si>
  <si>
    <t>-5.352,41</t>
  </si>
  <si>
    <t>98,21</t>
  </si>
  <si>
    <t>3.407,59</t>
  </si>
  <si>
    <t>48.207,61</t>
  </si>
  <si>
    <t>109.276,48</t>
  </si>
  <si>
    <t>109.315,65</t>
  </si>
  <si>
    <t>109.890,54</t>
  </si>
  <si>
    <t>-614,06</t>
  </si>
  <si>
    <t>15,05</t>
  </si>
  <si>
    <t>522,00</t>
  </si>
  <si>
    <t>260,13</t>
  </si>
  <si>
    <t>1.531,64</t>
  </si>
  <si>
    <t>53.136,17</t>
  </si>
  <si>
    <t>72,07</t>
  </si>
  <si>
    <t>2.499,96</t>
  </si>
  <si>
    <t>216,51</t>
  </si>
  <si>
    <t>7.511,35</t>
  </si>
  <si>
    <t>7.307,59</t>
  </si>
  <si>
    <t>1.582,05</t>
  </si>
  <si>
    <t>71.043,42</t>
  </si>
  <si>
    <t>4.563,96</t>
  </si>
  <si>
    <t>Custeio (medicamentos, exames e/ou consultas especializadas)</t>
  </si>
  <si>
    <t>50.000,00</t>
  </si>
  <si>
    <t>1.339.201,97</t>
  </si>
  <si>
    <t>2.394.111,35</t>
  </si>
  <si>
    <t>1.802.883,76</t>
  </si>
  <si>
    <t>2.017.568,35</t>
  </si>
  <si>
    <t>376.543,00</t>
  </si>
  <si>
    <t>313.457,03</t>
  </si>
  <si>
    <t>358.402,36</t>
  </si>
  <si>
    <t>243.536,11</t>
  </si>
  <si>
    <t>282.053,56</t>
  </si>
  <si>
    <t>76.348,80</t>
  </si>
  <si>
    <t>48.370,75</t>
  </si>
  <si>
    <t>145.375,10</t>
  </si>
  <si>
    <t>36.731,56</t>
  </si>
  <si>
    <t>73.532,21</t>
  </si>
  <si>
    <t>71.842,89</t>
  </si>
  <si>
    <t>82.062,96</t>
  </si>
  <si>
    <t>197.021,06</t>
  </si>
  <si>
    <t>115.350,98</t>
  </si>
  <si>
    <t>117.094,38</t>
  </si>
  <si>
    <t>79.926,68</t>
  </si>
  <si>
    <t>13.463,30</t>
  </si>
  <si>
    <t>69.914,11</t>
  </si>
  <si>
    <t>69.521,31</t>
  </si>
  <si>
    <t>14.765,15</t>
  </si>
  <si>
    <t>802.095,14</t>
  </si>
  <si>
    <t>101.482,00</t>
  </si>
  <si>
    <t>384.398,66</t>
  </si>
  <si>
    <t>417.696,48</t>
  </si>
  <si>
    <t>4,33</t>
  </si>
  <si>
    <t>14.179,57</t>
  </si>
  <si>
    <t>173,94</t>
  </si>
  <si>
    <t>44,84</t>
  </si>
  <si>
    <t>356,65</t>
  </si>
  <si>
    <t>2.285,79</t>
  </si>
  <si>
    <t>94.328,12</t>
  </si>
  <si>
    <t>264,33</t>
  </si>
  <si>
    <t>24.228,64</t>
  </si>
  <si>
    <t>16.129,99</t>
  </si>
  <si>
    <t>22.827,05</t>
  </si>
  <si>
    <t>1.401,59</t>
  </si>
  <si>
    <t>454,25</t>
  </si>
  <si>
    <t>18.235,35</t>
  </si>
  <si>
    <t>55.793.265,70</t>
  </si>
  <si>
    <t>119.805.603,70</t>
  </si>
  <si>
    <t>55.310.851,46</t>
  </si>
  <si>
    <t>83.792.715,92</t>
  </si>
  <si>
    <t>34.433.490,66</t>
  </si>
  <si>
    <t>14.517.243,54</t>
  </si>
  <si>
    <t>111.769,38</t>
  </si>
  <si>
    <t>14.629.012,92</t>
  </si>
  <si>
    <t>12.449.419,30</t>
  </si>
  <si>
    <t>1.120.465,28</t>
  </si>
  <si>
    <t>421.920,69</t>
  </si>
  <si>
    <t>1.542.385,97</t>
  </si>
  <si>
    <t>1.074.468,01</t>
  </si>
  <si>
    <t>-129.838,71</t>
  </si>
  <si>
    <t>7.431.248,75</t>
  </si>
  <si>
    <t>7.429.316,10</t>
  </si>
  <si>
    <t>-2.494.908,31</t>
  </si>
  <si>
    <t>8.789.012,89</t>
  </si>
  <si>
    <t>9.800,00</t>
  </si>
  <si>
    <t>8.798.812,89</t>
  </si>
  <si>
    <t>44.613.515,16</t>
  </si>
  <si>
    <t>206.422,48</t>
  </si>
  <si>
    <t>1.942.024,46</t>
  </si>
  <si>
    <t>192.639,18</t>
  </si>
  <si>
    <t>97.716,81</t>
  </si>
  <si>
    <t>393.737,44</t>
  </si>
  <si>
    <t>735.398,04</t>
  </si>
  <si>
    <t>27.489,36</t>
  </si>
  <si>
    <t>-923,65</t>
  </si>
  <si>
    <t>75.190,16</t>
  </si>
  <si>
    <t>77.275,16</t>
  </si>
  <si>
    <t>444.135,52</t>
  </si>
  <si>
    <t>610,36</t>
  </si>
  <si>
    <t>83.445,84</t>
  </si>
  <si>
    <t>105.346,11</t>
  </si>
  <si>
    <t>182.497,32</t>
  </si>
  <si>
    <t>14.992,01</t>
  </si>
  <si>
    <t>49.790,98</t>
  </si>
  <si>
    <t>927.876,36</t>
  </si>
  <si>
    <t>1.799.993,18</t>
  </si>
  <si>
    <t>73.229,71</t>
  </si>
  <si>
    <t>132.053,04</t>
  </si>
  <si>
    <t>109.808,91</t>
  </si>
  <si>
    <t>62.261,08</t>
  </si>
  <si>
    <t>466.171,47</t>
  </si>
  <si>
    <t>176.611,07</t>
  </si>
  <si>
    <t>50.559,67</t>
  </si>
  <si>
    <t>57.070,10</t>
  </si>
  <si>
    <t>-329,91</t>
  </si>
  <si>
    <t>105.136,41</t>
  </si>
  <si>
    <t>4.140,07</t>
  </si>
  <si>
    <t>57.445,64</t>
  </si>
  <si>
    <t>13.597,78</t>
  </si>
  <si>
    <t>1.102.305,38</t>
  </si>
  <si>
    <t>1.108.193,95</t>
  </si>
  <si>
    <t>1.285.917,40</t>
  </si>
  <si>
    <t>212.785,03</t>
  </si>
  <si>
    <t>145.617,33</t>
  </si>
  <si>
    <t>26.329,89</t>
  </si>
  <si>
    <t>26.354,89</t>
  </si>
  <si>
    <t>119.020,21</t>
  </si>
  <si>
    <t>106.741,23</t>
  </si>
  <si>
    <t>90.279,83</t>
  </si>
  <si>
    <t>45.860,00</t>
  </si>
  <si>
    <t>64.380,00</t>
  </si>
  <si>
    <t>737.715,14</t>
  </si>
  <si>
    <t>16.729,99</t>
  </si>
  <si>
    <t>7.498,65</t>
  </si>
  <si>
    <t>48.032.222,04</t>
  </si>
  <si>
    <t>707.330,47</t>
  </si>
  <si>
    <t>48.739.552,51</t>
  </si>
  <si>
    <t>69.486.654,07</t>
  </si>
  <si>
    <t>12.597.613,04</t>
  </si>
  <si>
    <t>2.492.452,22</t>
  </si>
  <si>
    <t>15.090.065,26</t>
  </si>
  <si>
    <t>11.988.366,96</t>
  </si>
  <si>
    <t>960.787,51</t>
  </si>
  <si>
    <t>1.142.285,48</t>
  </si>
  <si>
    <t>2.103.072,99</t>
  </si>
  <si>
    <t>513.780,99</t>
  </si>
  <si>
    <t>10.252.158,36</t>
  </si>
  <si>
    <t>10.768.992,11</t>
  </si>
  <si>
    <t>692.805,84</t>
  </si>
  <si>
    <t>6.269.095,29</t>
  </si>
  <si>
    <t>1.024.572,22</t>
  </si>
  <si>
    <t>7.293.667,51</t>
  </si>
  <si>
    <t>-2.359.259,72</t>
  </si>
  <si>
    <t>8.783.251,12</t>
  </si>
  <si>
    <t>8.784.347,34</t>
  </si>
  <si>
    <t>44.627.980,71</t>
  </si>
  <si>
    <t>178.033,94</t>
  </si>
  <si>
    <t>205.959,43</t>
  </si>
  <si>
    <t>1.942.487,51</t>
  </si>
  <si>
    <t>212.738,96</t>
  </si>
  <si>
    <t>77.617,03</t>
  </si>
  <si>
    <t>658.675,76</t>
  </si>
  <si>
    <t>470.459,72</t>
  </si>
  <si>
    <t>24.876,70</t>
  </si>
  <si>
    <t>1.689,01</t>
  </si>
  <si>
    <t>55.055,77</t>
  </si>
  <si>
    <t>53.445,66</t>
  </si>
  <si>
    <t>108.501,43</t>
  </si>
  <si>
    <t>412.909,25</t>
  </si>
  <si>
    <t>457,77</t>
  </si>
  <si>
    <t>48.740,46</t>
  </si>
  <si>
    <t>139.086,34</t>
  </si>
  <si>
    <t>148.757,09</t>
  </si>
  <si>
    <t>10.152,60</t>
  </si>
  <si>
    <t>14.622,74</t>
  </si>
  <si>
    <t>50.160,25</t>
  </si>
  <si>
    <t>897.892,81</t>
  </si>
  <si>
    <t>934.175,97</t>
  </si>
  <si>
    <t>1.793.693,57</t>
  </si>
  <si>
    <t>71.886,17</t>
  </si>
  <si>
    <t>133.396,58</t>
  </si>
  <si>
    <t>432.201,68</t>
  </si>
  <si>
    <t>112.076,76</t>
  </si>
  <si>
    <t>9.021,08</t>
  </si>
  <si>
    <t>519.411,47</t>
  </si>
  <si>
    <t>47.926,23</t>
  </si>
  <si>
    <t>55.536,16</t>
  </si>
  <si>
    <t>1.204,03</t>
  </si>
  <si>
    <t>98.478,54</t>
  </si>
  <si>
    <t>99.053,43</t>
  </si>
  <si>
    <t>10.223,05</t>
  </si>
  <si>
    <t>1.005.170,76</t>
  </si>
  <si>
    <t>200.458,43</t>
  </si>
  <si>
    <t>1.205.629,19</t>
  </si>
  <si>
    <t>1.188.482,16</t>
  </si>
  <si>
    <t>204.329,32</t>
  </si>
  <si>
    <t>239.292,07</t>
  </si>
  <si>
    <t>119.110,29</t>
  </si>
  <si>
    <t>15.454,56</t>
  </si>
  <si>
    <t>36.420,65</t>
  </si>
  <si>
    <t>51.875,21</t>
  </si>
  <si>
    <t>93.499,89</t>
  </si>
  <si>
    <t>106.098,48</t>
  </si>
  <si>
    <t>107.841,88</t>
  </si>
  <si>
    <t>89.179,18</t>
  </si>
  <si>
    <t>837,50</t>
  </si>
  <si>
    <t>260.916,66</t>
  </si>
  <si>
    <t>261.754,16</t>
  </si>
  <si>
    <t>540.340,98</t>
  </si>
  <si>
    <t>3.635,00</t>
  </si>
  <si>
    <t>19.764,99</t>
  </si>
  <si>
    <t>4.463,65</t>
  </si>
  <si>
    <t>43.048.470,62</t>
  </si>
  <si>
    <t>6.520.001,17</t>
  </si>
  <si>
    <t>49.568.471,79</t>
  </si>
  <si>
    <t>68.657.734,79</t>
  </si>
  <si>
    <t>149.021.186,91</t>
  </si>
  <si>
    <t>23.438.179,79</t>
  </si>
  <si>
    <t>15,73</t>
  </si>
  <si>
    <t>45.719.759,25</t>
  </si>
  <si>
    <t>30,68</t>
  </si>
  <si>
    <t>103.301.427,66</t>
  </si>
  <si>
    <t>RECEITAS CORRENTES</t>
  </si>
  <si>
    <t>142.177.017,92</t>
  </si>
  <si>
    <t>22.631.532,78</t>
  </si>
  <si>
    <t>15,92</t>
  </si>
  <si>
    <t>44.894.679,04</t>
  </si>
  <si>
    <t>31,58</t>
  </si>
  <si>
    <t>97.282.338,88</t>
  </si>
  <si>
    <t>IMPOSTOS, TAXAS E CONTRIBUIÇÕES DE MELHORIA</t>
  </si>
  <si>
    <t>2.670.231,98</t>
  </si>
  <si>
    <t>14,67</t>
  </si>
  <si>
    <t>5.853.561,70</t>
  </si>
  <si>
    <t>32,15</t>
  </si>
  <si>
    <t>12.352.014,79</t>
  </si>
  <si>
    <t>Impostos</t>
  </si>
  <si>
    <t>2.435.695,61</t>
  </si>
  <si>
    <t>16,71</t>
  </si>
  <si>
    <t>5.479.317,66</t>
  </si>
  <si>
    <t>37,59</t>
  </si>
  <si>
    <t>9.096.172,79</t>
  </si>
  <si>
    <t>Taxas</t>
  </si>
  <si>
    <t>234.536,37</t>
  </si>
  <si>
    <t>14,77</t>
  </si>
  <si>
    <t>374.244,00</t>
  </si>
  <si>
    <t>23,57</t>
  </si>
  <si>
    <t>1.213.748,34</t>
  </si>
  <si>
    <t>Contribuição de Melhoria</t>
  </si>
  <si>
    <t>CONTRIBUIÇÕES</t>
  </si>
  <si>
    <t>1.609.488,35</t>
  </si>
  <si>
    <t>19,78</t>
  </si>
  <si>
    <t>2.827.330,82</t>
  </si>
  <si>
    <t>34,74</t>
  </si>
  <si>
    <t>5.310.882,60</t>
  </si>
  <si>
    <t>Contribuições Sociais</t>
  </si>
  <si>
    <t>1.368.160,87</t>
  </si>
  <si>
    <t>19,62</t>
  </si>
  <si>
    <t>2.372.256,62</t>
  </si>
  <si>
    <t>34,01</t>
  </si>
  <si>
    <t>4.602.068,38</t>
  </si>
  <si>
    <t>Contribuição para o Custeio do Serviço de Iluminação Pública</t>
  </si>
  <si>
    <t>241.327,48</t>
  </si>
  <si>
    <t>20,73</t>
  </si>
  <si>
    <t>455.074,20</t>
  </si>
  <si>
    <t>39,10</t>
  </si>
  <si>
    <t>708.814,22</t>
  </si>
  <si>
    <t>RECEITA PATRIMONIAL</t>
  </si>
  <si>
    <t>1.186.328,59</t>
  </si>
  <si>
    <t>23,29</t>
  </si>
  <si>
    <t>1.568.044,48</t>
  </si>
  <si>
    <t>30,78</t>
  </si>
  <si>
    <t>3.526.586,17</t>
  </si>
  <si>
    <t>Exploração do Patrimônio Imobiliário do Estado</t>
  </si>
  <si>
    <t>5.918,83</t>
  </si>
  <si>
    <t>23,99</t>
  </si>
  <si>
    <t>11.172,47</t>
  </si>
  <si>
    <t>45,28</t>
  </si>
  <si>
    <t>13.499,91</t>
  </si>
  <si>
    <t>Valores Mobiliários</t>
  </si>
  <si>
    <t>1.180.409,76</t>
  </si>
  <si>
    <t>23,28</t>
  </si>
  <si>
    <t>1.556.872,01</t>
  </si>
  <si>
    <t>30,71</t>
  </si>
  <si>
    <t>3.513.086,26</t>
  </si>
  <si>
    <t>RECEITA AGROPECUÁRIA</t>
  </si>
  <si>
    <t>14.443,84</t>
  </si>
  <si>
    <t>10,39</t>
  </si>
  <si>
    <t>23.585,94</t>
  </si>
  <si>
    <t>16,97</t>
  </si>
  <si>
    <t>115.413,89</t>
  </si>
  <si>
    <t>RECEITA DE SERVIÇOS</t>
  </si>
  <si>
    <t>66.735,72</t>
  </si>
  <si>
    <t>12,08</t>
  </si>
  <si>
    <t>145.328,10</t>
  </si>
  <si>
    <t>26,30</t>
  </si>
  <si>
    <t>407.195,61</t>
  </si>
  <si>
    <t>Serviços e Atividades referentes à Saúde</t>
  </si>
  <si>
    <t>TRANSFERÊNCIAS CORRENTES</t>
  </si>
  <si>
    <t>107.797.259,44</t>
  </si>
  <si>
    <t>16.683.256,80</t>
  </si>
  <si>
    <t>15,48</t>
  </si>
  <si>
    <t>33.694.418,94</t>
  </si>
  <si>
    <t>31,26</t>
  </si>
  <si>
    <t>74.102.840,50</t>
  </si>
  <si>
    <t>Transferências da União e de suas Entidades</t>
  </si>
  <si>
    <t>35.696.236,84</t>
  </si>
  <si>
    <t>5.845.261,84</t>
  </si>
  <si>
    <t>16,38</t>
  </si>
  <si>
    <t>12.399.838,57</t>
  </si>
  <si>
    <t>23.296.398,27</t>
  </si>
  <si>
    <t>Transferências dos Estados e do Distrito Federal e de suas Entidades</t>
  </si>
  <si>
    <t>6.127.622,06</t>
  </si>
  <si>
    <t>15,98</t>
  </si>
  <si>
    <t>11.488.603,21</t>
  </si>
  <si>
    <t>29,95</t>
  </si>
  <si>
    <t>26.864.790,58</t>
  </si>
  <si>
    <t>Transferências dos Municípios e de suas Entidades</t>
  </si>
  <si>
    <t>3.086,15</t>
  </si>
  <si>
    <t>0,05</t>
  </si>
  <si>
    <t>9.258,45</t>
  </si>
  <si>
    <t>0,16</t>
  </si>
  <si>
    <t>5.923.915,55</t>
  </si>
  <si>
    <t>Transferências de Outras Instituições Públicas</t>
  </si>
  <si>
    <t>4.707.286,75</t>
  </si>
  <si>
    <t>16,92</t>
  </si>
  <si>
    <t>9.796.718,71</t>
  </si>
  <si>
    <t>35,22</t>
  </si>
  <si>
    <t>18.017.736,10</t>
  </si>
  <si>
    <t>OUTRAS RECEITAS CORRENTES</t>
  </si>
  <si>
    <t>401.047,50</t>
  </si>
  <si>
    <t>17,83</t>
  </si>
  <si>
    <t>782.409,06</t>
  </si>
  <si>
    <t>34,78</t>
  </si>
  <si>
    <t>1.467.405,32</t>
  </si>
  <si>
    <t>Multas Administrativas, Contratuais e Judiciais</t>
  </si>
  <si>
    <t>15.287,28</t>
  </si>
  <si>
    <t>21.413,45</t>
  </si>
  <si>
    <t>(21.413,45)</t>
  </si>
  <si>
    <t>Indenizações, Restituições e Ressarcimentos</t>
  </si>
  <si>
    <t>49.342,78</t>
  </si>
  <si>
    <t>86,88</t>
  </si>
  <si>
    <t>70.394,86</t>
  </si>
  <si>
    <t>123,94</t>
  </si>
  <si>
    <t>(13.598,12)</t>
  </si>
  <si>
    <t>Multas e Juros de Mora das Receitas de Capital</t>
  </si>
  <si>
    <t>336.417,44</t>
  </si>
  <si>
    <t>15,34</t>
  </si>
  <si>
    <t>690.564,83</t>
  </si>
  <si>
    <t>31,49</t>
  </si>
  <si>
    <t>1.502.452,81</t>
  </si>
  <si>
    <t>RECEITAS DE CAPITAL</t>
  </si>
  <si>
    <t>806.647,01</t>
  </si>
  <si>
    <t>11,79</t>
  </si>
  <si>
    <t>825.080,21</t>
  </si>
  <si>
    <t>12,06</t>
  </si>
  <si>
    <t>6.019.088,78</t>
  </si>
  <si>
    <t>Operações de Crédito - Mercado Interno</t>
  </si>
  <si>
    <t>AMORTIZAÇÕES DE EMPRÉSTIMOS</t>
  </si>
  <si>
    <t>TRANSFERÊNCIAS DE CAPITAL</t>
  </si>
  <si>
    <t>783.426,68</t>
  </si>
  <si>
    <t>42,84</t>
  </si>
  <si>
    <t>1.045.151,76</t>
  </si>
  <si>
    <t>170.251,39</t>
  </si>
  <si>
    <t>9,31</t>
  </si>
  <si>
    <t>1.658.327,05</t>
  </si>
  <si>
    <t>613.175,29</t>
  </si>
  <si>
    <t>(613.175,29)</t>
  </si>
  <si>
    <t>OUTRAS RECEITAS DE CAPITAL</t>
  </si>
  <si>
    <t>23.220,33</t>
  </si>
  <si>
    <t>244,20</t>
  </si>
  <si>
    <t>41.477,63</t>
  </si>
  <si>
    <t>436,21</t>
  </si>
  <si>
    <t>(31.968,93)</t>
  </si>
  <si>
    <t>Demais Receitas de Capital</t>
  </si>
  <si>
    <t>5.908.528,43</t>
  </si>
  <si>
    <t>18,62</t>
  </si>
  <si>
    <t>10.073.506,45</t>
  </si>
  <si>
    <t>31,75</t>
  </si>
  <si>
    <t>21.658.324,58</t>
  </si>
  <si>
    <t>180.753.017,94</t>
  </si>
  <si>
    <t>29.346.708,22</t>
  </si>
  <si>
    <t>16,24</t>
  </si>
  <si>
    <t>30,87</t>
  </si>
  <si>
    <t>124.959.752,24</t>
  </si>
  <si>
    <t>16,28</t>
  </si>
  <si>
    <t>30,96</t>
  </si>
  <si>
    <t>FONTE: GOVBR - Responsabilidade Fiscal, SECRETARIA DE MUNICÍPIO DA FAZENDA, 18/Mai/2022, 14h e 23m.</t>
  </si>
  <si>
    <t>2.238.985,54</t>
  </si>
  <si>
    <t>Superávit Financeiro Utilizado para Créditos Adicionais</t>
  </si>
  <si>
    <t>138.166.136,71</t>
  </si>
  <si>
    <t>19.903.943,92</t>
  </si>
  <si>
    <t>44.896.808,42</t>
  </si>
  <si>
    <t>93.269.328,29</t>
  </si>
  <si>
    <t>20.537.031,61</t>
  </si>
  <si>
    <t>37.618.179,00</t>
  </si>
  <si>
    <t>100.547.957,71</t>
  </si>
  <si>
    <t>35.322.546,58</t>
  </si>
  <si>
    <t>DESPESAS CORRENTES</t>
  </si>
  <si>
    <t>126.259.090,46</t>
  </si>
  <si>
    <t>19.630.520,17</t>
  </si>
  <si>
    <t>44.542.903,92</t>
  </si>
  <si>
    <t>81.716.186,54</t>
  </si>
  <si>
    <t>20.322.065,25</t>
  </si>
  <si>
    <t>37.341.437,49</t>
  </si>
  <si>
    <t>88.917.652,97</t>
  </si>
  <si>
    <t>35.108.336,93</t>
  </si>
  <si>
    <t>PESSOAL E ENCARGOS SOCIAIS</t>
  </si>
  <si>
    <t>90.072.963,85</t>
  </si>
  <si>
    <t>14.770.117,97</t>
  </si>
  <si>
    <t>27.912.670,78</t>
  </si>
  <si>
    <t>62.160.293,07</t>
  </si>
  <si>
    <t>14.671.525,97</t>
  </si>
  <si>
    <t>27.800.818,38</t>
  </si>
  <si>
    <t>62.272.145,47</t>
  </si>
  <si>
    <t>27.365.910,05</t>
  </si>
  <si>
    <t>JUROS E ENCARGOS DA DÍVIDA</t>
  </si>
  <si>
    <t>631.898,73</t>
  </si>
  <si>
    <t>10.160,72</t>
  </si>
  <si>
    <t>621.738,01</t>
  </si>
  <si>
    <t>OUTRAS DESPESAS CORRENTES</t>
  </si>
  <si>
    <t>35.554.227,88</t>
  </si>
  <si>
    <t>4.850.241,48</t>
  </si>
  <si>
    <t>16.620.072,42</t>
  </si>
  <si>
    <t>18.934.155,46</t>
  </si>
  <si>
    <t>5.640.378,56</t>
  </si>
  <si>
    <t>9.530.458,39</t>
  </si>
  <si>
    <t>26.023.769,49</t>
  </si>
  <si>
    <t>7.732.266,16</t>
  </si>
  <si>
    <t>DESPESAS DE CAPITAL</t>
  </si>
  <si>
    <t>11.906.336,40</t>
  </si>
  <si>
    <t>273.423,75</t>
  </si>
  <si>
    <t>353.904,50</t>
  </si>
  <si>
    <t>11.552.431,90</t>
  </si>
  <si>
    <t>214.966,36</t>
  </si>
  <si>
    <t>276.741,51</t>
  </si>
  <si>
    <t>11.629.594,89</t>
  </si>
  <si>
    <t>214.209,65</t>
  </si>
  <si>
    <t>INVESTIMENTOS</t>
  </si>
  <si>
    <t>11.904.801,40</t>
  </si>
  <si>
    <t>11.550.896,90</t>
  </si>
  <si>
    <t>11.628.059,89</t>
  </si>
  <si>
    <t>INVERSÕES FINANCEIRAS</t>
  </si>
  <si>
    <t>AMORTIZAÇÃO DA DÍVIDA</t>
  </si>
  <si>
    <t>1.252,00</t>
  </si>
  <si>
    <t>32.059.530,91</t>
  </si>
  <si>
    <t>5.520.418,62</t>
  </si>
  <si>
    <t>10.414.043,04</t>
  </si>
  <si>
    <t>21.645.487,87</t>
  </si>
  <si>
    <t>7.725.924,04</t>
  </si>
  <si>
    <t>170.225.667,62</t>
  </si>
  <si>
    <t>25.424.362,54</t>
  </si>
  <si>
    <t>114.914.816,16</t>
  </si>
  <si>
    <t>26.057.450,23</t>
  </si>
  <si>
    <t>122.193.445,58</t>
  </si>
  <si>
    <t>Amortização da Dívida Interna</t>
  </si>
  <si>
    <t>Amortização da Dívida Externa</t>
  </si>
  <si>
    <t>482.414,24</t>
  </si>
  <si>
    <t>7.761.043,66</t>
  </si>
  <si>
    <t>12.744.795,08</t>
  </si>
  <si>
    <t>2.261.623,68</t>
  </si>
  <si>
    <t>18,61</t>
  </si>
  <si>
    <t>4.070.863,20</t>
  </si>
  <si>
    <t>33,49</t>
  </si>
  <si>
    <t>8.084.005,44</t>
  </si>
  <si>
    <t>3.646.904,75</t>
  </si>
  <si>
    <t>18,63</t>
  </si>
  <si>
    <t>6.002.643,25</t>
  </si>
  <si>
    <t>30,66</t>
  </si>
  <si>
    <t>13.574.319,14</t>
  </si>
  <si>
    <t>32.059.528,91</t>
  </si>
  <si>
    <t>21.645.485,87</t>
  </si>
  <si>
    <t>29.054.197,67</t>
  </si>
  <si>
    <t>5.170.020,04</t>
  </si>
  <si>
    <t>9.779.423,54</t>
  </si>
  <si>
    <t>19.274.774,13</t>
  </si>
  <si>
    <t>7.266.384,69</t>
  </si>
  <si>
    <t>3.005.330,24</t>
  </si>
  <si>
    <t>350.398,58</t>
  </si>
  <si>
    <t>634.619,50</t>
  </si>
  <si>
    <t>2.370.710,74</t>
  </si>
  <si>
    <t>459.539,35</t>
  </si>
  <si>
    <t>12.377.915,44</t>
  </si>
  <si>
    <t>1.787.578,19</t>
  </si>
  <si>
    <t>1.339.503,50</t>
  </si>
  <si>
    <t>419.492,57</t>
  </si>
  <si>
    <t>28.582,12</t>
  </si>
  <si>
    <t>3.425.550,40</t>
  </si>
  <si>
    <t>2.784.061,00</t>
  </si>
  <si>
    <t>599.975,84</t>
  </si>
  <si>
    <t>41.513,56</t>
  </si>
  <si>
    <t>985.634,24</t>
  </si>
  <si>
    <t>6.179.152,61</t>
  </si>
  <si>
    <t>176.509,36</t>
  </si>
  <si>
    <t>6.375.272,19</t>
  </si>
  <si>
    <t>27.962.673,06</t>
  </si>
  <si>
    <t>8.781.306,57</t>
  </si>
  <si>
    <t>8.779.411,62</t>
  </si>
  <si>
    <t>24.743.733,58</t>
  </si>
  <si>
    <t>7.760.961,68</t>
  </si>
  <si>
    <t>7.759.108,97</t>
  </si>
  <si>
    <t>3.218.939,48</t>
  </si>
  <si>
    <t>1.020.344,89</t>
  </si>
  <si>
    <t>1.020.302,65</t>
  </si>
  <si>
    <t>27.962.674,06</t>
  </si>
  <si>
    <t>(6.317.990,35)</t>
  </si>
  <si>
    <t>(2.406.034,38)</t>
  </si>
  <si>
    <t>(2.404.139,43)</t>
  </si>
  <si>
    <t>FONTE: GOVBR - Responsabilidade Fiscal, SECRETARIA DE MUNICÍPIO DA FAZENDA, 18/Mai/2022, 14h e 31m.</t>
  </si>
  <si>
    <t>(71.614,38)</t>
  </si>
  <si>
    <t>23.145.806,53</t>
  </si>
  <si>
    <t>8.486.443,03</t>
  </si>
  <si>
    <t>21.188.124,90</t>
  </si>
  <si>
    <t>71.614,38</t>
  </si>
  <si>
    <t>15.433,44</t>
  </si>
  <si>
    <t>7.706,32</t>
  </si>
  <si>
    <t>3.839,50</t>
  </si>
  <si>
    <t>56.180,94</t>
  </si>
  <si>
    <t>63.908,06</t>
  </si>
  <si>
    <t>67.774,88</t>
  </si>
  <si>
    <t>294.120,90</t>
  </si>
  <si>
    <t>Janeiro a Abril 2022/Meses Janeiro-Abril</t>
  </si>
  <si>
    <t>1.245.394,88</t>
  </si>
  <si>
    <t>35,91</t>
  </si>
  <si>
    <t>1.040.689,39</t>
  </si>
  <si>
    <t>38,25</t>
  </si>
  <si>
    <t>204.705,49</t>
  </si>
  <si>
    <t>27,40</t>
  </si>
  <si>
    <t>610.492,70</t>
  </si>
  <si>
    <t>44,29</t>
  </si>
  <si>
    <t>45,02</t>
  </si>
  <si>
    <t>2.042.769,48</t>
  </si>
  <si>
    <t>35,13</t>
  </si>
  <si>
    <t>2.001.841,12</t>
  </si>
  <si>
    <t>35,17</t>
  </si>
  <si>
    <t>40.928,36</t>
  </si>
  <si>
    <t>33,30</t>
  </si>
  <si>
    <t>1.580.660,60</t>
  </si>
  <si>
    <t>40,38</t>
  </si>
  <si>
    <t>72.652.467,13</t>
  </si>
  <si>
    <t>24.564.173,07</t>
  </si>
  <si>
    <t>33,81</t>
  </si>
  <si>
    <t>28.751.945,22</t>
  </si>
  <si>
    <t>11.737.201,39</t>
  </si>
  <si>
    <t>40,82</t>
  </si>
  <si>
    <t>47.163,19</t>
  </si>
  <si>
    <t>3,96</t>
  </si>
  <si>
    <t>1.954.104,20</t>
  </si>
  <si>
    <t>50,07</t>
  </si>
  <si>
    <t>10.695.811,21</t>
  </si>
  <si>
    <t>27,97</t>
  </si>
  <si>
    <t>129.893,08</t>
  </si>
  <si>
    <t>23,15</t>
  </si>
  <si>
    <t>87.227.957,58</t>
  </si>
  <si>
    <t>30.043.490,73</t>
  </si>
  <si>
    <t>34,44</t>
  </si>
  <si>
    <t>876.610,16</t>
  </si>
  <si>
    <t>126.253,82</t>
  </si>
  <si>
    <t>116.667,02</t>
  </si>
  <si>
    <t>102.791,55</t>
  </si>
  <si>
    <t>11,73</t>
  </si>
  <si>
    <t>816.203,96</t>
  </si>
  <si>
    <t>15,47</t>
  </si>
  <si>
    <t>14,29</t>
  </si>
  <si>
    <t>12,59</t>
  </si>
  <si>
    <t>8.436.679,95</t>
  </si>
  <si>
    <t>3.397.150,45</t>
  </si>
  <si>
    <t>40,27</t>
  </si>
  <si>
    <t>3.029.992,45</t>
  </si>
  <si>
    <t>2.846.641,47</t>
  </si>
  <si>
    <t>33,74</t>
  </si>
  <si>
    <t>8.436.675,95</t>
  </si>
  <si>
    <t>150.354,53</t>
  </si>
  <si>
    <t>35,95</t>
  </si>
  <si>
    <t>110.949,63</t>
  </si>
  <si>
    <t>26,53</t>
  </si>
  <si>
    <t>54.706,27</t>
  </si>
  <si>
    <t>33,45</t>
  </si>
  <si>
    <t>53.975,88</t>
  </si>
  <si>
    <t>33,00</t>
  </si>
  <si>
    <t>FONTE: GOVBR - Responsabilidade Fiscal, SECRETARIA DE MUNICÍPIO DA FAZENDA, 18/Mai/2022, 14h e 33m.</t>
  </si>
  <si>
    <t>186.706,14</t>
  </si>
  <si>
    <t>34,34</t>
  </si>
  <si>
    <t>180.537,08</t>
  </si>
  <si>
    <t>33,21</t>
  </si>
  <si>
    <t>11.102.610,67</t>
  </si>
  <si>
    <t>3.784.322,89</t>
  </si>
  <si>
    <t>34,08</t>
  </si>
  <si>
    <t>3.564.498,52</t>
  </si>
  <si>
    <t>32,11</t>
  </si>
  <si>
    <t>2.974.199,68</t>
  </si>
  <si>
    <t>26,79</t>
  </si>
  <si>
    <t>11.047.219,97</t>
  </si>
  <si>
    <t>3.779.402,89</t>
  </si>
  <si>
    <t>34,21</t>
  </si>
  <si>
    <t>3.559.578,52</t>
  </si>
  <si>
    <t>32,22</t>
  </si>
  <si>
    <t>26,92</t>
  </si>
  <si>
    <t>4.920,00</t>
  </si>
  <si>
    <t>8,88</t>
  </si>
  <si>
    <t>7.699.494,10</t>
  </si>
  <si>
    <t>35,74</t>
  </si>
  <si>
    <t>7.102.924,93</t>
  </si>
  <si>
    <t>32,97</t>
  </si>
  <si>
    <t>29,10</t>
  </si>
  <si>
    <t>4.506.523,61</t>
  </si>
  <si>
    <t>2.596.401,32</t>
  </si>
  <si>
    <t>1.762.571,68</t>
  </si>
  <si>
    <t>23,64</t>
  </si>
  <si>
    <t>400.095,94</t>
  </si>
  <si>
    <t>768.822,79</t>
  </si>
  <si>
    <t>192,16</t>
  </si>
  <si>
    <t>400.093,94</t>
  </si>
  <si>
    <t>483.134,06</t>
  </si>
  <si>
    <t>120,76</t>
  </si>
  <si>
    <t>285.688,73</t>
  </si>
  <si>
    <t>14.284.436,50</t>
  </si>
  <si>
    <t>45.135,39</t>
  </si>
  <si>
    <t>813.958,18</t>
  </si>
  <si>
    <t>203,44</t>
  </si>
  <si>
    <t>6.002.951,75</t>
  </si>
  <si>
    <t>2.527.575,09</t>
  </si>
  <si>
    <t>42,11</t>
  </si>
  <si>
    <t>1.781.205,23</t>
  </si>
  <si>
    <t>29,67</t>
  </si>
  <si>
    <t>1.636.694,71</t>
  </si>
  <si>
    <t>27,26</t>
  </si>
  <si>
    <t>5.777.651,72</t>
  </si>
  <si>
    <t>2.426.093,09</t>
  </si>
  <si>
    <t>41,99</t>
  </si>
  <si>
    <t>1.735.345,23</t>
  </si>
  <si>
    <t>30,04</t>
  </si>
  <si>
    <t>1.635.857,21</t>
  </si>
  <si>
    <t>28,31</t>
  </si>
  <si>
    <t>45,04</t>
  </si>
  <si>
    <t>20,36</t>
  </si>
  <si>
    <t>0,37</t>
  </si>
  <si>
    <t>1.592.492,07</t>
  </si>
  <si>
    <t>736.465,80</t>
  </si>
  <si>
    <t>46,25</t>
  </si>
  <si>
    <t>697.612,48</t>
  </si>
  <si>
    <t>43,81</t>
  </si>
  <si>
    <t>351.627,19</t>
  </si>
  <si>
    <t>22,08</t>
  </si>
  <si>
    <t>1.591.371,59</t>
  </si>
  <si>
    <t>46,28</t>
  </si>
  <si>
    <t>43,84</t>
  </si>
  <si>
    <t>22,10</t>
  </si>
  <si>
    <t>201.090,97</t>
  </si>
  <si>
    <t>41,63</t>
  </si>
  <si>
    <t>181.910,70</t>
  </si>
  <si>
    <t>37,66</t>
  </si>
  <si>
    <t>128.027,95</t>
  </si>
  <si>
    <t>26,50</t>
  </si>
  <si>
    <t>47,56</t>
  </si>
  <si>
    <t>43,03</t>
  </si>
  <si>
    <t>30,28</t>
  </si>
  <si>
    <t>172.519,77</t>
  </si>
  <si>
    <t>0,75</t>
  </si>
  <si>
    <t>102.702,00</t>
  </si>
  <si>
    <t>1,26</t>
  </si>
  <si>
    <t>334.470,99</t>
  </si>
  <si>
    <t>102.696,01</t>
  </si>
  <si>
    <t>30,70</t>
  </si>
  <si>
    <t>93.590,34</t>
  </si>
  <si>
    <t>27,98</t>
  </si>
  <si>
    <t>82.715,01</t>
  </si>
  <si>
    <t>24,73</t>
  </si>
  <si>
    <t>334.307,79</t>
  </si>
  <si>
    <t>30,72</t>
  </si>
  <si>
    <t>28,00</t>
  </si>
  <si>
    <t>24,74</t>
  </si>
  <si>
    <t>8.809.763,55</t>
  </si>
  <si>
    <t>3.569.123,87</t>
  </si>
  <si>
    <t>40,51</t>
  </si>
  <si>
    <t>2.754.318,75</t>
  </si>
  <si>
    <t>2.199.064,86</t>
  </si>
  <si>
    <t>24,96</t>
  </si>
  <si>
    <t>6.879.561,91</t>
  </si>
  <si>
    <t>2.653.828,91</t>
  </si>
  <si>
    <t>38,58</t>
  </si>
  <si>
    <t>1.897.872,25</t>
  </si>
  <si>
    <t>27,59</t>
  </si>
  <si>
    <t>1.739.486,26</t>
  </si>
  <si>
    <t>25,28</t>
  </si>
  <si>
    <t>10.029.172,02</t>
  </si>
  <si>
    <t>4.133.616,25</t>
  </si>
  <si>
    <t>41,22</t>
  </si>
  <si>
    <t>3.727.604,93</t>
  </si>
  <si>
    <t>37,17</t>
  </si>
  <si>
    <t>3.198.268,66</t>
  </si>
  <si>
    <t>31,89</t>
  </si>
  <si>
    <t>351.445,50</t>
  </si>
  <si>
    <t>38,99</t>
  </si>
  <si>
    <t>332.265,23</t>
  </si>
  <si>
    <t>36,87</t>
  </si>
  <si>
    <t>238.977,58</t>
  </si>
  <si>
    <t>26,51</t>
  </si>
  <si>
    <t>336.059,36</t>
  </si>
  <si>
    <t>56.002,27</t>
  </si>
  <si>
    <t>16,66</t>
  </si>
  <si>
    <t>16,06</t>
  </si>
  <si>
    <t>878.126,24</t>
  </si>
  <si>
    <t>289.402,15</t>
  </si>
  <si>
    <t>32,96</t>
  </si>
  <si>
    <t>280.296,48</t>
  </si>
  <si>
    <t>31,92</t>
  </si>
  <si>
    <t>263.252,09</t>
  </si>
  <si>
    <t>29,98</t>
  </si>
  <si>
    <t>11.326.865,87</t>
  </si>
  <si>
    <t>33,41</t>
  </si>
  <si>
    <t>31,47</t>
  </si>
  <si>
    <t>26,26</t>
  </si>
  <si>
    <t>30.351.081,42</t>
  </si>
  <si>
    <t>11.268.617,97</t>
  </si>
  <si>
    <t>37,13</t>
  </si>
  <si>
    <t>9.857.243,68</t>
  </si>
  <si>
    <t>32,48</t>
  </si>
  <si>
    <t>8.468.160,15</t>
  </si>
  <si>
    <t>27,90</t>
  </si>
  <si>
    <t>7.957.950,29</t>
  </si>
  <si>
    <t>3.240.800,05</t>
  </si>
  <si>
    <t>40,72</t>
  </si>
  <si>
    <t>2.425.994,93</t>
  </si>
  <si>
    <t>30,49</t>
  </si>
  <si>
    <t>27,63</t>
  </si>
  <si>
    <t>22.393.131,13</t>
  </si>
  <si>
    <t>35,85</t>
  </si>
  <si>
    <t>33,19</t>
  </si>
  <si>
    <t>374.244,04</t>
  </si>
  <si>
    <t>25.600.991,56</t>
  </si>
  <si>
    <t>9.389.761,20</t>
  </si>
  <si>
    <t>8.532.844,54</t>
  </si>
  <si>
    <t>1.563.283,32</t>
  </si>
  <si>
    <t>37.730,57</t>
  </si>
  <si>
    <t>103.914,45</t>
  </si>
  <si>
    <t>19.261.395,54</t>
  </si>
  <si>
    <t>4.270.166,15</t>
  </si>
  <si>
    <t>951.323,10</t>
  </si>
  <si>
    <t>2.460,04</t>
  </si>
  <si>
    <t>948.863,06</t>
  </si>
  <si>
    <t>137.100.131,13</t>
  </si>
  <si>
    <t>43.335.346,99</t>
  </si>
  <si>
    <t>824.904,31</t>
  </si>
  <si>
    <t>138.938.218,27</t>
  </si>
  <si>
    <t>44.160.251,30</t>
  </si>
  <si>
    <t>3.184.092,75</t>
  </si>
  <si>
    <t>128.899,08</t>
  </si>
  <si>
    <t>100.017,08</t>
  </si>
  <si>
    <t>559.923,58</t>
  </si>
  <si>
    <t>2.624.169,17</t>
  </si>
  <si>
    <t>125.627.191,73</t>
  </si>
  <si>
    <t>44.532.743,20</t>
  </si>
  <si>
    <t>37.331.276,77</t>
  </si>
  <si>
    <t>35.098.176,21</t>
  </si>
  <si>
    <t>596.785,91</t>
  </si>
  <si>
    <t>591.244,27</t>
  </si>
  <si>
    <t>547.268,45</t>
  </si>
  <si>
    <t>541.726,81</t>
  </si>
  <si>
    <t>11.904.983,40</t>
  </si>
  <si>
    <t>FONTE: GOVBR - Responsabilidade Fiscal, SECRETARIA DE MUNICÍPIO DA FAZENDA, 18/Mai/2022, 14h e 36m.</t>
  </si>
  <si>
    <t>137.532.884,98</t>
  </si>
  <si>
    <t>44.886.647,70</t>
  </si>
  <si>
    <t>37.608.018,28</t>
  </si>
  <si>
    <t>35.312.385,86</t>
  </si>
  <si>
    <t>3.481.157,41</t>
  </si>
  <si>
    <t>676.167,53</t>
  </si>
  <si>
    <t>641.743,89</t>
  </si>
  <si>
    <t>4.724.964,14</t>
  </si>
  <si>
    <t>625.580,39</t>
  </si>
  <si>
    <t>5.340.383,81</t>
  </si>
  <si>
    <t>Até o 2º Bimestre</t>
  </si>
  <si>
    <t>1.133.247,92</t>
  </si>
  <si>
    <t>18.733.392,03</t>
  </si>
  <si>
    <t>21.118.618,64</t>
  </si>
  <si>
    <t>18.100.937,41</t>
  </si>
  <si>
    <t>20.474.563,23</t>
  </si>
  <si>
    <t>23.546.471,28</t>
  </si>
  <si>
    <t>1.326.705,52</t>
  </si>
  <si>
    <t>2.030.935,46</t>
  </si>
  <si>
    <t>1.040.972,59</t>
  </si>
  <si>
    <t>644.055,41</t>
  </si>
  <si>
    <t>-17.795.228,36</t>
  </si>
  <si>
    <t>-19.985.370,72</t>
  </si>
  <si>
    <t>2.190.142,36</t>
  </si>
  <si>
    <t>-704.229,94</t>
  </si>
  <si>
    <t>2.894.372,30</t>
  </si>
  <si>
    <t>2.278.952,63</t>
  </si>
  <si>
    <t>75.160.617,80</t>
  </si>
  <si>
    <t>31.260.095,89</t>
  </si>
  <si>
    <t>89.736.108,25</t>
  </si>
  <si>
    <t>14.530.493,43</t>
  </si>
  <si>
    <t>4.912.834,61</t>
  </si>
  <si>
    <t>7.903.533,64</t>
  </si>
  <si>
    <t>2.598.038,07</t>
  </si>
  <si>
    <t>60.431,18</t>
  </si>
  <si>
    <t>FONTE: GOVBR - Responsabilidade Fiscal, SECRETARIA DE MUNICÍPIO DA FAZENDA, 18/Mai/2022, 14h e 38m.</t>
  </si>
  <si>
    <t>13.283.961,38</t>
  </si>
  <si>
    <t>4.883.884,10</t>
  </si>
  <si>
    <t>23.633.651,50</t>
  </si>
  <si>
    <t>8.079.658,78</t>
  </si>
  <si>
    <t>7.197.460,95</t>
  </si>
  <si>
    <t>5.616.881,65</t>
  </si>
  <si>
    <t>1.567.935,11</t>
  </si>
  <si>
    <t>1.423.846,33</t>
  </si>
  <si>
    <t>2.502.352,34</t>
  </si>
  <si>
    <t>707.111,04</t>
  </si>
  <si>
    <t>643.487,55</t>
  </si>
  <si>
    <t>3.114.529,31</t>
  </si>
  <si>
    <t>860.824,07</t>
  </si>
  <si>
    <t>780.358,78</t>
  </si>
  <si>
    <t>18.016.769,85</t>
  </si>
  <si>
    <t>6.511.723,67</t>
  </si>
  <si>
    <t>5.773.614,62</t>
  </si>
  <si>
    <t>3.130.337,08</t>
  </si>
  <si>
    <t>3.000.404,00</t>
  </si>
  <si>
    <t>2.679.917,93</t>
  </si>
  <si>
    <t>1.310.233,05</t>
  </si>
  <si>
    <t>1.272.284,14</t>
  </si>
  <si>
    <t>1.133.683,18</t>
  </si>
  <si>
    <t>461.704,28</t>
  </si>
  <si>
    <t>436.156,46</t>
  </si>
  <si>
    <t>389.827,68</t>
  </si>
  <si>
    <t>848.528,77</t>
  </si>
  <si>
    <t>836.127,68</t>
  </si>
  <si>
    <t>743.855,50</t>
  </si>
  <si>
    <t>1.820.104,03</t>
  </si>
  <si>
    <t>1.728.119,86</t>
  </si>
  <si>
    <t>1.546.234,75</t>
  </si>
  <si>
    <t>26.763.988,58</t>
  </si>
  <si>
    <t>11.080.062,78</t>
  </si>
  <si>
    <t>9.877.378,88</t>
  </si>
  <si>
    <t>6.900.004,92</t>
  </si>
  <si>
    <t>985.714,99</t>
  </si>
  <si>
    <t>(1.734.486,77)</t>
  </si>
  <si>
    <t>4.261.479,64</t>
  </si>
  <si>
    <t>275.322,28</t>
  </si>
  <si>
    <t>261.900,61</t>
  </si>
  <si>
    <t>185.755,61</t>
  </si>
  <si>
    <t>2.496.059,78</t>
  </si>
  <si>
    <t>156.492,43</t>
  </si>
  <si>
    <t>143.070,76</t>
  </si>
  <si>
    <t>127.290,91</t>
  </si>
  <si>
    <t>118.829,85</t>
  </si>
  <si>
    <t>58.464,70</t>
  </si>
  <si>
    <t>9.216.606,70</t>
  </si>
  <si>
    <t>996.696,22</t>
  </si>
  <si>
    <t>858.564,67</t>
  </si>
  <si>
    <t>775.031,90</t>
  </si>
  <si>
    <t>13.478.086,34</t>
  </si>
  <si>
    <t>12.712.101,94</t>
  </si>
  <si>
    <t>15.215,34</t>
  </si>
  <si>
    <t>7.813.002,50</t>
  </si>
  <si>
    <t>7.510.872,68</t>
  </si>
  <si>
    <t>4.901.082,92</t>
  </si>
  <si>
    <t>1.278.523,06</t>
  </si>
  <si>
    <t>4.751.613,51</t>
  </si>
  <si>
    <t>4.140.746,18</t>
  </si>
  <si>
    <t>761.689,31</t>
  </si>
  <si>
    <t>4.181.599,40</t>
  </si>
  <si>
    <t>891.909,85</t>
  </si>
  <si>
    <t>1.477.266,23</t>
  </si>
  <si>
    <t>721.482,74</t>
  </si>
  <si>
    <t>129.306,19</t>
  </si>
  <si>
    <t>119.853,29</t>
  </si>
  <si>
    <t>600.842,74</t>
  </si>
  <si>
    <t>123.613,69</t>
  </si>
  <si>
    <t>118.059,29</t>
  </si>
  <si>
    <t>120.640,00</t>
  </si>
  <si>
    <t>5.692,50</t>
  </si>
  <si>
    <t>4.329.341,49</t>
  </si>
  <si>
    <t>954.568,11</t>
  </si>
  <si>
    <t>678.350,09</t>
  </si>
  <si>
    <t>642.250,64</t>
  </si>
  <si>
    <t>6.450.904,23</t>
  </si>
  <si>
    <t>1.792.831,41</t>
  </si>
  <si>
    <t>1.191.940,82</t>
  </si>
  <si>
    <t>1.155.841,37</t>
  </si>
  <si>
    <t>48.288.482,17</t>
  </si>
  <si>
    <t>14.656.486,57</t>
  </si>
  <si>
    <t>13.904.042,76</t>
  </si>
  <si>
    <t>12.368.787,24</t>
  </si>
  <si>
    <t>47.280.241,10</t>
  </si>
  <si>
    <t>14.437.709,31</t>
  </si>
  <si>
    <t>13.701.567,49</t>
  </si>
  <si>
    <t>12.167.611,87</t>
  </si>
  <si>
    <t>38.281.088,00</t>
  </si>
  <si>
    <t>11.876.576,39</t>
  </si>
  <si>
    <t>10.576.188,54</t>
  </si>
  <si>
    <t>8.919.153,10</t>
  </si>
  <si>
    <t>2.561.132,92</t>
  </si>
  <si>
    <t>1.824.991,10</t>
  </si>
  <si>
    <t>1.591.423,33</t>
  </si>
  <si>
    <t>1.008.241,07</t>
  </si>
  <si>
    <t>218.777,26</t>
  </si>
  <si>
    <t>202.475,27</t>
  </si>
  <si>
    <t>201.175,37</t>
  </si>
  <si>
    <t>PREFEITURA MUNICIPAL DE CACAPAVA DO SUL - RS</t>
  </si>
  <si>
    <t>DEMONSTRATIVO DA DÍVIDA CONSOLIDADA LÍQUIDA</t>
  </si>
  <si>
    <t>JANEIRO A ABRIL DE 2022</t>
  </si>
  <si>
    <t>RGF - ANEXO 2 (LRF, art.55, inciso I, alínea "b")</t>
  </si>
  <si>
    <t>SALDO DO</t>
  </si>
  <si>
    <t>SALDO DO EXERCÍCIO DE 2022</t>
  </si>
  <si>
    <t>EXERCÍCIO</t>
  </si>
  <si>
    <t>Até o 1º</t>
  </si>
  <si>
    <t>Até o 2º</t>
  </si>
  <si>
    <t>Até o 3º</t>
  </si>
  <si>
    <t>ANTERIOR</t>
  </si>
  <si>
    <t>Quadrimestre</t>
  </si>
  <si>
    <t>DÍVIDA CONSOLIDADA - DC (I)</t>
  </si>
  <si>
    <t>Dívida Mobiliária</t>
  </si>
  <si>
    <t>Dívida Contratual</t>
  </si>
  <si>
    <t>936.147,00</t>
  </si>
  <si>
    <t>1.131.231,25</t>
  </si>
  <si>
    <t>Empréstimos</t>
  </si>
  <si>
    <t>Internos</t>
  </si>
  <si>
    <t>Externos</t>
  </si>
  <si>
    <t>Reestruturação da Dívida de Estados e Municípios</t>
  </si>
  <si>
    <t>Financiamentos</t>
  </si>
  <si>
    <t>32.070,25</t>
  </si>
  <si>
    <t>Parcelamento e Renegociação de dívidas</t>
  </si>
  <si>
    <t>634.077,25</t>
  </si>
  <si>
    <t>975.714,23</t>
  </si>
  <si>
    <t>De Tributos</t>
  </si>
  <si>
    <t>De Contribuições Previdenciárias</t>
  </si>
  <si>
    <t>300.772,06</t>
  </si>
  <si>
    <t>642.409,04</t>
  </si>
  <si>
    <t>De Demais Contribuições Sociais</t>
  </si>
  <si>
    <t>Do FGTS</t>
  </si>
  <si>
    <t>Com Instituição Não Financeira</t>
  </si>
  <si>
    <t>333.305,19</t>
  </si>
  <si>
    <t>Demais Dívidas Contratuais</t>
  </si>
  <si>
    <t>269.999,50</t>
  </si>
  <si>
    <t>148.205,42</t>
  </si>
  <si>
    <t>Precatórios Posteriores a 05/05/2000 (inclusive) - Vencidos e não pagos</t>
  </si>
  <si>
    <t>2.016,67</t>
  </si>
  <si>
    <t>Outras Dívidas</t>
  </si>
  <si>
    <t>DEDUÇÕES (II)</t>
  </si>
  <si>
    <t>Disponibilidade de Caixa¹</t>
  </si>
  <si>
    <t>(-) Restos a Pagar Processados</t>
  </si>
  <si>
    <t>DÍVIDA CONSOLIDADA LÍQUIDA (DCL) (III) = (I - II)</t>
  </si>
  <si>
    <t>(17.795.228,36)</t>
  </si>
  <si>
    <t>RECEITA CORRENTE LÍQUIDA - RCL (IV)</t>
  </si>
  <si>
    <t>119.752.398,65</t>
  </si>
  <si>
    <t>125.902.225,13</t>
  </si>
  <si>
    <t>(-) Transferências obrigatórias da União relativas às emendas individuais 
 (art. 166-A, § 1º, da CF) (V)</t>
  </si>
  <si>
    <t>100.000,00</t>
  </si>
  <si>
    <t>RECEITA CORRENTE LÍQUIDA AJUSTADA PARA CÁLCULO DOS LIMITES DE 
 ENDIVIDAMENTO (VI) = (IV - V)</t>
  </si>
  <si>
    <t>119.652.398,65</t>
  </si>
  <si>
    <t>125.802.225,13</t>
  </si>
  <si>
    <t>% da DC sobre a RCL AJUSTADA (I/VI)</t>
  </si>
  <si>
    <t>0,78</t>
  </si>
  <si>
    <t>0,90</t>
  </si>
  <si>
    <t>% da DCL sobre a RCL AJUSTADA (III/VI)</t>
  </si>
  <si>
    <t>(14,87)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</si>
  <si>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</si>
  <si>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</si>
  <si>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</si>
  <si>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</si>
  <si>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</si>
  <si>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191.855,50</t>
  </si>
  <si>
    <t>890.725,17</t>
  </si>
  <si>
    <t>PASSIVO ATUARIAL</t>
  </si>
  <si>
    <t>146.560.621,28</t>
  </si>
  <si>
    <t>203.332.561,79</t>
  </si>
  <si>
    <t>RP NÃO-PROCESSADOS</t>
  </si>
  <si>
    <t>3.014.612,74</t>
  </si>
  <si>
    <t>2.425.644,93</t>
  </si>
  <si>
    <t>ANTECIPAÇÕES DE RECEITA ORÇAMENTÁRIA – ARO</t>
  </si>
  <si>
    <t>DÍVIDA CONTRATUAL DE PPP</t>
  </si>
  <si>
    <t>APROPRIAÇÃO DE DEPÓSITOS JUDICIAIS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</si>
  <si>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</si>
  <si>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</si>
  <si>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</si>
  <si>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</si>
  <si>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</si>
  <si>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</si>
  <si>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>Dívida Consolidada Líquida¹</t>
  </si>
  <si>
    <t>¹Fonte: SIAFIC</t>
  </si>
  <si>
    <t>RECEITA CORRENTE LÍQUIDA - RCL¹</t>
  </si>
  <si>
    <t>DESPESAS COM AÇÕES E SERVIÇOS PÚBLICOS DE SAÚDE²</t>
  </si>
  <si>
    <r>
      <t xml:space="preserve">²Fonte: Cálculo dos valores </t>
    </r>
    <r>
      <rPr>
        <b/>
        <sz val="10"/>
        <color theme="1"/>
        <rFont val="Calibri"/>
        <family val="2"/>
        <scheme val="minor"/>
      </rPr>
      <t>mínimos</t>
    </r>
    <r>
      <rPr>
        <sz val="10"/>
        <color theme="1"/>
        <rFont val="Calibri"/>
        <family val="2"/>
        <scheme val="minor"/>
      </rPr>
      <t xml:space="preserve"> a serem aplicados na Saúde na Fonte de Recurso 0040 ASPS realizado pela Contabilidade.</t>
    </r>
  </si>
  <si>
    <r>
      <t xml:space="preserve">²Fonte: Cálculo da </t>
    </r>
    <r>
      <rPr>
        <b/>
        <sz val="10"/>
        <color theme="1"/>
        <rFont val="Calibri"/>
        <family val="2"/>
        <scheme val="minor"/>
      </rPr>
      <t>RCL dos doze últimos meses (maio de 2021 a abril de 2022)</t>
    </r>
    <r>
      <rPr>
        <sz val="10"/>
        <color theme="1"/>
        <rFont val="Calibri"/>
        <family val="2"/>
        <scheme val="minor"/>
      </rPr>
      <t xml:space="preserve"> realizado pela Contabilidade.</t>
    </r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</si>
</sst>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6" formatCode="##0.00"/>
    <numFmt numFmtId="167" formatCode="_(\ #,##0.00_);_(\ \-#,##0.00_);_(\ \-\ ??_);_(@_)"/>
    <numFmt numFmtId="168" formatCode="#,##0.00;\(#,##0.00\)"/>
    <numFmt numFmtId="169" formatCode="###0.00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sz val="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7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 Narrow"/>
      <family val="2"/>
    </font>
    <font>
      <b/>
      <u/>
      <sz val="6"/>
      <color rgb="FF000000"/>
      <name val="Arial"/>
      <family val="2"/>
    </font>
    <font>
      <sz val="8"/>
      <color rgb="FFFFFFFF"/>
      <name val="Arial"/>
      <family val="2"/>
    </font>
    <font>
      <b/>
      <u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3" xfId="0" applyFont="1" applyBorder="1"/>
    <xf numFmtId="0" fontId="8" fillId="0" borderId="0" xfId="0" applyFont="1"/>
    <xf numFmtId="0" fontId="4" fillId="0" borderId="19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17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8" xfId="0" applyFont="1" applyBorder="1"/>
    <xf numFmtId="0" fontId="8" fillId="0" borderId="2" xfId="0" applyFont="1" applyBorder="1"/>
    <xf numFmtId="0" fontId="8" fillId="0" borderId="19" xfId="0" applyFont="1" applyBorder="1"/>
    <xf numFmtId="0" fontId="8" fillId="0" borderId="3" xfId="0" applyFont="1" applyBorder="1"/>
    <xf numFmtId="0" fontId="4" fillId="0" borderId="0" xfId="0" applyFont="1" applyBorder="1"/>
    <xf numFmtId="0" fontId="8" fillId="0" borderId="13" xfId="0" applyFont="1" applyBorder="1"/>
    <xf numFmtId="0" fontId="8" fillId="0" borderId="0" xfId="0" applyFont="1" applyBorder="1"/>
    <xf numFmtId="17" fontId="5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0" borderId="9" xfId="0" applyFont="1" applyBorder="1"/>
    <xf numFmtId="0" fontId="5" fillId="0" borderId="18" xfId="0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64" fontId="5" fillId="0" borderId="1" xfId="1" applyNumberFormat="1" applyFont="1" applyBorder="1"/>
    <xf numFmtId="164" fontId="8" fillId="0" borderId="9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8" fillId="0" borderId="1" xfId="1" applyFont="1" applyBorder="1"/>
    <xf numFmtId="43" fontId="8" fillId="0" borderId="1" xfId="0" applyNumberFormat="1" applyFont="1" applyBorder="1"/>
    <xf numFmtId="43" fontId="4" fillId="0" borderId="1" xfId="1" applyFont="1" applyBorder="1"/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9" fillId="0" borderId="0" xfId="0" applyFont="1" applyProtection="1">
      <protection hidden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/>
    <xf numFmtId="0" fontId="10" fillId="0" borderId="0" xfId="0" applyFont="1" applyAlignment="1" applyProtection="1">
      <alignment horizontal="center"/>
      <protection hidden="1"/>
    </xf>
    <xf numFmtId="0" fontId="5" fillId="0" borderId="0" xfId="0" applyFont="1"/>
    <xf numFmtId="4" fontId="5" fillId="0" borderId="0" xfId="0" applyNumberFormat="1" applyFont="1"/>
    <xf numFmtId="164" fontId="5" fillId="0" borderId="0" xfId="1" applyNumberFormat="1" applyFont="1"/>
    <xf numFmtId="164" fontId="7" fillId="0" borderId="1" xfId="1" applyNumberFormat="1" applyFont="1" applyBorder="1"/>
    <xf numFmtId="0" fontId="5" fillId="0" borderId="0" xfId="0" applyFont="1" applyBorder="1" applyAlignment="1">
      <alignment horizontal="center"/>
    </xf>
    <xf numFmtId="0" fontId="11" fillId="0" borderId="0" xfId="0" applyFont="1"/>
    <xf numFmtId="43" fontId="0" fillId="0" borderId="0" xfId="1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12" fillId="0" borderId="1" xfId="0" applyFont="1" applyBorder="1"/>
    <xf numFmtId="4" fontId="13" fillId="0" borderId="1" xfId="0" applyNumberFormat="1" applyFont="1" applyBorder="1"/>
    <xf numFmtId="4" fontId="14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" fontId="12" fillId="0" borderId="15" xfId="0" applyNumberFormat="1" applyFont="1" applyBorder="1"/>
    <xf numFmtId="0" fontId="12" fillId="0" borderId="14" xfId="0" applyFont="1" applyFill="1" applyBorder="1"/>
    <xf numFmtId="43" fontId="2" fillId="0" borderId="0" xfId="1" applyNumberFormat="1" applyFont="1"/>
    <xf numFmtId="0" fontId="12" fillId="0" borderId="0" xfId="0" applyFont="1" applyFill="1" applyBorder="1"/>
    <xf numFmtId="43" fontId="3" fillId="0" borderId="0" xfId="1" applyNumberFormat="1" applyFont="1" applyAlignment="1">
      <alignment horizontal="center"/>
    </xf>
    <xf numFmtId="4" fontId="15" fillId="0" borderId="1" xfId="0" applyNumberFormat="1" applyFont="1" applyBorder="1"/>
    <xf numFmtId="164" fontId="12" fillId="0" borderId="1" xfId="1" applyNumberFormat="1" applyFont="1" applyBorder="1"/>
    <xf numFmtId="4" fontId="12" fillId="0" borderId="1" xfId="0" applyNumberFormat="1" applyFont="1" applyBorder="1"/>
    <xf numFmtId="0" fontId="16" fillId="0" borderId="0" xfId="0" applyFont="1" applyAlignment="1">
      <alignment horizontal="right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center"/>
    </xf>
    <xf numFmtId="164" fontId="16" fillId="0" borderId="0" xfId="1" applyNumberFormat="1" applyFont="1"/>
    <xf numFmtId="4" fontId="17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4" fontId="5" fillId="0" borderId="1" xfId="0" applyNumberFormat="1" applyFont="1" applyBorder="1"/>
    <xf numFmtId="4" fontId="17" fillId="0" borderId="1" xfId="0" applyNumberFormat="1" applyFont="1" applyBorder="1"/>
    <xf numFmtId="164" fontId="17" fillId="0" borderId="1" xfId="1" applyNumberFormat="1" applyFont="1" applyBorder="1"/>
    <xf numFmtId="4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4" fontId="18" fillId="0" borderId="1" xfId="0" applyNumberFormat="1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0" fontId="16" fillId="0" borderId="0" xfId="0" applyFont="1"/>
    <xf numFmtId="0" fontId="16" fillId="0" borderId="0" xfId="0" applyFont="1" applyBorder="1"/>
    <xf numFmtId="4" fontId="18" fillId="0" borderId="0" xfId="0" applyNumberFormat="1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16" fillId="0" borderId="0" xfId="0" applyNumberFormat="1" applyFont="1"/>
    <xf numFmtId="10" fontId="20" fillId="0" borderId="0" xfId="2" applyNumberFormat="1" applyFont="1" applyBorder="1" applyAlignment="1">
      <alignment horizontal="center"/>
    </xf>
    <xf numFmtId="0" fontId="16" fillId="0" borderId="2" xfId="0" applyFont="1" applyBorder="1"/>
    <xf numFmtId="4" fontId="19" fillId="0" borderId="0" xfId="0" applyNumberFormat="1" applyFont="1"/>
    <xf numFmtId="0" fontId="19" fillId="0" borderId="0" xfId="0" applyFont="1"/>
    <xf numFmtId="3" fontId="5" fillId="0" borderId="0" xfId="0" applyNumberFormat="1" applyFont="1"/>
    <xf numFmtId="2" fontId="5" fillId="0" borderId="0" xfId="0" applyNumberFormat="1" applyFont="1" applyAlignment="1">
      <alignment horizontal="center"/>
    </xf>
    <xf numFmtId="43" fontId="5" fillId="0" borderId="0" xfId="0" applyNumberFormat="1" applyFont="1"/>
    <xf numFmtId="0" fontId="16" fillId="0" borderId="1" xfId="0" applyFont="1" applyBorder="1" applyAlignment="1">
      <alignment horizontal="right"/>
    </xf>
    <xf numFmtId="4" fontId="16" fillId="0" borderId="1" xfId="0" applyNumberFormat="1" applyFont="1" applyBorder="1"/>
    <xf numFmtId="0" fontId="16" fillId="0" borderId="19" xfId="0" applyFont="1" applyBorder="1" applyAlignment="1">
      <alignment horizontal="center"/>
    </xf>
    <xf numFmtId="0" fontId="16" fillId="0" borderId="19" xfId="0" applyFont="1" applyBorder="1"/>
    <xf numFmtId="2" fontId="16" fillId="0" borderId="19" xfId="0" applyNumberFormat="1" applyFont="1" applyBorder="1" applyAlignment="1">
      <alignment horizontal="center"/>
    </xf>
    <xf numFmtId="164" fontId="17" fillId="0" borderId="19" xfId="1" applyNumberFormat="1" applyFont="1" applyBorder="1" applyAlignment="1">
      <alignment horizontal="center"/>
    </xf>
    <xf numFmtId="164" fontId="5" fillId="0" borderId="19" xfId="1" applyNumberFormat="1" applyFont="1" applyBorder="1" applyAlignment="1">
      <alignment horizontal="center"/>
    </xf>
    <xf numFmtId="10" fontId="16" fillId="0" borderId="0" xfId="0" applyNumberFormat="1" applyFont="1"/>
    <xf numFmtId="10" fontId="5" fillId="0" borderId="0" xfId="2" applyNumberFormat="1" applyFont="1"/>
    <xf numFmtId="10" fontId="5" fillId="0" borderId="0" xfId="0" applyNumberFormat="1" applyFont="1"/>
    <xf numFmtId="43" fontId="16" fillId="0" borderId="0" xfId="0" applyNumberFormat="1" applyFont="1" applyAlignment="1">
      <alignment horizontal="right"/>
    </xf>
    <xf numFmtId="4" fontId="16" fillId="0" borderId="19" xfId="0" applyNumberFormat="1" applyFont="1" applyBorder="1"/>
    <xf numFmtId="0" fontId="16" fillId="0" borderId="19" xfId="0" applyFont="1" applyBorder="1" applyAlignment="1">
      <alignment horizontal="right"/>
    </xf>
    <xf numFmtId="10" fontId="16" fillId="0" borderId="19" xfId="2" applyNumberFormat="1" applyFont="1" applyBorder="1"/>
    <xf numFmtId="0" fontId="12" fillId="0" borderId="0" xfId="0" applyFont="1"/>
    <xf numFmtId="164" fontId="9" fillId="0" borderId="0" xfId="1" applyNumberFormat="1" applyFont="1"/>
    <xf numFmtId="0" fontId="9" fillId="0" borderId="8" xfId="0" applyFont="1" applyBorder="1"/>
    <xf numFmtId="0" fontId="9" fillId="0" borderId="1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/>
    <xf numFmtId="0" fontId="9" fillId="0" borderId="0" xfId="0" applyFont="1" applyBorder="1"/>
    <xf numFmtId="4" fontId="9" fillId="0" borderId="10" xfId="0" applyNumberFormat="1" applyFont="1" applyBorder="1"/>
    <xf numFmtId="164" fontId="9" fillId="0" borderId="8" xfId="1" applyNumberFormat="1" applyFont="1" applyBorder="1"/>
    <xf numFmtId="164" fontId="9" fillId="0" borderId="14" xfId="1" applyNumberFormat="1" applyFont="1" applyBorder="1"/>
    <xf numFmtId="164" fontId="9" fillId="0" borderId="0" xfId="1" applyNumberFormat="1" applyFont="1" applyBorder="1"/>
    <xf numFmtId="164" fontId="9" fillId="0" borderId="13" xfId="1" applyNumberFormat="1" applyFont="1" applyBorder="1"/>
    <xf numFmtId="4" fontId="9" fillId="0" borderId="0" xfId="0" applyNumberFormat="1" applyFont="1" applyBorder="1"/>
    <xf numFmtId="164" fontId="9" fillId="0" borderId="10" xfId="1" applyNumberFormat="1" applyFont="1" applyBorder="1"/>
    <xf numFmtId="164" fontId="23" fillId="0" borderId="10" xfId="1" applyNumberFormat="1" applyFont="1" applyBorder="1"/>
    <xf numFmtId="0" fontId="24" fillId="0" borderId="0" xfId="0" applyFont="1" applyBorder="1"/>
    <xf numFmtId="164" fontId="24" fillId="0" borderId="10" xfId="1" applyNumberFormat="1" applyFont="1" applyBorder="1"/>
    <xf numFmtId="164" fontId="24" fillId="0" borderId="14" xfId="1" applyNumberFormat="1" applyFont="1" applyBorder="1"/>
    <xf numFmtId="164" fontId="24" fillId="0" borderId="0" xfId="1" applyNumberFormat="1" applyFont="1" applyBorder="1"/>
    <xf numFmtId="4" fontId="9" fillId="0" borderId="0" xfId="0" applyNumberFormat="1" applyFont="1"/>
    <xf numFmtId="164" fontId="17" fillId="0" borderId="10" xfId="1" applyNumberFormat="1" applyFont="1" applyBorder="1"/>
    <xf numFmtId="164" fontId="22" fillId="0" borderId="14" xfId="1" applyNumberFormat="1" applyFont="1" applyBorder="1"/>
    <xf numFmtId="164" fontId="17" fillId="0" borderId="0" xfId="1" applyNumberFormat="1" applyFont="1" applyBorder="1"/>
    <xf numFmtId="4" fontId="9" fillId="0" borderId="13" xfId="0" applyNumberFormat="1" applyFont="1" applyBorder="1"/>
    <xf numFmtId="0" fontId="9" fillId="0" borderId="2" xfId="0" applyFont="1" applyBorder="1"/>
    <xf numFmtId="0" fontId="9" fillId="0" borderId="3" xfId="0" applyFont="1" applyBorder="1" applyAlignment="1">
      <alignment horizontal="center"/>
    </xf>
    <xf numFmtId="4" fontId="12" fillId="0" borderId="19" xfId="0" applyNumberFormat="1" applyFont="1" applyBorder="1"/>
    <xf numFmtId="4" fontId="12" fillId="0" borderId="3" xfId="0" applyNumberFormat="1" applyFont="1" applyBorder="1"/>
    <xf numFmtId="4" fontId="12" fillId="0" borderId="2" xfId="0" applyNumberFormat="1" applyFont="1" applyBorder="1"/>
    <xf numFmtId="10" fontId="9" fillId="0" borderId="0" xfId="2" applyNumberFormat="1" applyFont="1" applyAlignment="1">
      <alignment horizontal="center"/>
    </xf>
    <xf numFmtId="164" fontId="9" fillId="0" borderId="1" xfId="1" applyNumberFormat="1" applyFont="1" applyBorder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16" fillId="0" borderId="1" xfId="1" applyNumberFormat="1" applyFont="1" applyBorder="1"/>
    <xf numFmtId="43" fontId="9" fillId="0" borderId="0" xfId="0" applyNumberFormat="1" applyFont="1"/>
    <xf numFmtId="164" fontId="23" fillId="0" borderId="1" xfId="1" applyNumberFormat="1" applyFont="1" applyBorder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5" fillId="0" borderId="1" xfId="0" applyFont="1" applyBorder="1" applyAlignment="1"/>
    <xf numFmtId="164" fontId="25" fillId="0" borderId="1" xfId="1" applyNumberFormat="1" applyFont="1" applyBorder="1"/>
    <xf numFmtId="10" fontId="9" fillId="0" borderId="0" xfId="2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0" xfId="2" quotePrefix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9" fillId="0" borderId="1" xfId="0" applyNumberFormat="1" applyFont="1" applyBorder="1"/>
    <xf numFmtId="10" fontId="9" fillId="0" borderId="1" xfId="2" applyNumberFormat="1" applyFont="1" applyBorder="1" applyAlignment="1">
      <alignment horizontal="center"/>
    </xf>
    <xf numFmtId="10" fontId="9" fillId="0" borderId="1" xfId="2" applyNumberFormat="1" applyFont="1" applyBorder="1"/>
    <xf numFmtId="164" fontId="9" fillId="0" borderId="1" xfId="1" applyNumberFormat="1" applyFont="1" applyFill="1" applyBorder="1" applyAlignment="1">
      <alignment horizontal="right"/>
    </xf>
    <xf numFmtId="10" fontId="12" fillId="2" borderId="1" xfId="2" applyNumberFormat="1" applyFont="1" applyFill="1" applyBorder="1" applyAlignment="1">
      <alignment horizontal="center"/>
    </xf>
    <xf numFmtId="164" fontId="12" fillId="2" borderId="1" xfId="1" applyNumberFormat="1" applyFont="1" applyFill="1" applyBorder="1"/>
    <xf numFmtId="10" fontId="12" fillId="0" borderId="1" xfId="2" applyNumberFormat="1" applyFont="1" applyBorder="1"/>
    <xf numFmtId="0" fontId="12" fillId="0" borderId="0" xfId="0" applyFont="1" applyAlignment="1">
      <alignment horizontal="left"/>
    </xf>
    <xf numFmtId="43" fontId="5" fillId="0" borderId="0" xfId="0" applyNumberFormat="1" applyFont="1" applyBorder="1" applyAlignment="1">
      <alignment horizontal="center"/>
    </xf>
    <xf numFmtId="164" fontId="24" fillId="0" borderId="1" xfId="1" applyNumberFormat="1" applyFont="1" applyBorder="1"/>
    <xf numFmtId="164" fontId="12" fillId="0" borderId="1" xfId="0" applyNumberFormat="1" applyFont="1" applyBorder="1"/>
    <xf numFmtId="164" fontId="9" fillId="0" borderId="1" xfId="1" applyNumberFormat="1" applyFont="1" applyBorder="1" applyAlignment="1">
      <alignment horizontal="center"/>
    </xf>
    <xf numFmtId="10" fontId="9" fillId="0" borderId="0" xfId="2" applyNumberFormat="1" applyFont="1" applyBorder="1"/>
    <xf numFmtId="4" fontId="9" fillId="0" borderId="1" xfId="0" applyNumberFormat="1" applyFont="1" applyBorder="1"/>
    <xf numFmtId="164" fontId="16" fillId="0" borderId="1" xfId="0" applyNumberFormat="1" applyFont="1" applyBorder="1"/>
    <xf numFmtId="164" fontId="9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164" fontId="5" fillId="0" borderId="0" xfId="0" applyNumberFormat="1" applyFont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26" fillId="0" borderId="0" xfId="0" applyFont="1"/>
    <xf numFmtId="0" fontId="27" fillId="0" borderId="0" xfId="0" applyFont="1"/>
    <xf numFmtId="0" fontId="5" fillId="0" borderId="1" xfId="3" applyFont="1" applyBorder="1"/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10" fontId="5" fillId="0" borderId="1" xfId="4" quotePrefix="1" applyNumberFormat="1" applyFont="1" applyBorder="1" applyAlignment="1">
      <alignment horizontal="center"/>
    </xf>
    <xf numFmtId="10" fontId="5" fillId="0" borderId="0" xfId="4" applyNumberFormat="1" applyFont="1" applyAlignment="1">
      <alignment horizontal="center"/>
    </xf>
    <xf numFmtId="10" fontId="5" fillId="0" borderId="1" xfId="4" applyNumberFormat="1" applyFont="1" applyBorder="1"/>
    <xf numFmtId="164" fontId="5" fillId="0" borderId="1" xfId="5" applyFont="1" applyBorder="1"/>
    <xf numFmtId="164" fontId="5" fillId="0" borderId="0" xfId="1" applyNumberFormat="1" applyFont="1" applyBorder="1"/>
    <xf numFmtId="164" fontId="5" fillId="0" borderId="1" xfId="1" applyNumberFormat="1" applyFont="1" applyBorder="1" applyProtection="1">
      <protection hidden="1"/>
    </xf>
    <xf numFmtId="164" fontId="16" fillId="0" borderId="0" xfId="1" applyNumberFormat="1" applyFont="1" applyBorder="1"/>
    <xf numFmtId="10" fontId="5" fillId="0" borderId="1" xfId="4" applyNumberFormat="1" applyFont="1" applyBorder="1" applyAlignment="1">
      <alignment horizontal="center"/>
    </xf>
    <xf numFmtId="10" fontId="5" fillId="0" borderId="1" xfId="4" applyNumberFormat="1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5" fillId="0" borderId="0" xfId="3" applyFont="1"/>
    <xf numFmtId="164" fontId="5" fillId="0" borderId="0" xfId="3" applyNumberFormat="1" applyFont="1"/>
    <xf numFmtId="0" fontId="5" fillId="0" borderId="1" xfId="0" quotePrefix="1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/>
    <xf numFmtId="164" fontId="5" fillId="0" borderId="2" xfId="4" applyNumberFormat="1" applyFont="1" applyBorder="1" applyAlignment="1">
      <alignment horizontal="center"/>
    </xf>
    <xf numFmtId="164" fontId="5" fillId="0" borderId="19" xfId="4" applyNumberFormat="1" applyFont="1" applyBorder="1" applyAlignment="1">
      <alignment horizontal="center"/>
    </xf>
    <xf numFmtId="0" fontId="16" fillId="0" borderId="1" xfId="3" applyFont="1" applyBorder="1"/>
    <xf numFmtId="10" fontId="5" fillId="0" borderId="0" xfId="4" applyNumberFormat="1" applyFont="1"/>
    <xf numFmtId="164" fontId="5" fillId="0" borderId="1" xfId="3" applyNumberFormat="1" applyFont="1" applyBorder="1"/>
    <xf numFmtId="0" fontId="5" fillId="0" borderId="1" xfId="0" applyFont="1" applyBorder="1"/>
    <xf numFmtId="0" fontId="16" fillId="0" borderId="1" xfId="0" quotePrefix="1" applyFont="1" applyBorder="1" applyAlignment="1">
      <alignment horizontal="center"/>
    </xf>
    <xf numFmtId="2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9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164" fontId="5" fillId="0" borderId="3" xfId="1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16" fillId="0" borderId="8" xfId="0" applyFont="1" applyBorder="1"/>
    <xf numFmtId="0" fontId="5" fillId="0" borderId="2" xfId="0" applyFont="1" applyBorder="1"/>
    <xf numFmtId="0" fontId="16" fillId="0" borderId="19" xfId="0" quotePrefix="1" applyFont="1" applyBorder="1" applyAlignment="1">
      <alignment horizontal="left"/>
    </xf>
    <xf numFmtId="0" fontId="5" fillId="0" borderId="19" xfId="0" applyFont="1" applyBorder="1"/>
    <xf numFmtId="164" fontId="5" fillId="0" borderId="0" xfId="1" applyNumberFormat="1" applyFont="1" applyAlignment="1">
      <alignment horizontal="right"/>
    </xf>
    <xf numFmtId="0" fontId="5" fillId="0" borderId="0" xfId="0" applyFont="1" applyBorder="1"/>
    <xf numFmtId="164" fontId="5" fillId="0" borderId="0" xfId="0" applyNumberFormat="1" applyFont="1" applyAlignment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0" xfId="0" applyNumberFormat="1" applyFont="1" applyBorder="1"/>
    <xf numFmtId="164" fontId="5" fillId="0" borderId="8" xfId="1" applyNumberFormat="1" applyFont="1" applyBorder="1"/>
    <xf numFmtId="4" fontId="5" fillId="0" borderId="8" xfId="0" applyNumberFormat="1" applyFont="1" applyBorder="1"/>
    <xf numFmtId="0" fontId="5" fillId="0" borderId="13" xfId="0" applyFont="1" applyBorder="1"/>
    <xf numFmtId="0" fontId="5" fillId="0" borderId="10" xfId="0" applyFont="1" applyBorder="1"/>
    <xf numFmtId="164" fontId="5" fillId="0" borderId="10" xfId="1" applyNumberFormat="1" applyFont="1" applyBorder="1"/>
    <xf numFmtId="43" fontId="5" fillId="0" borderId="1" xfId="0" applyNumberFormat="1" applyFont="1" applyBorder="1"/>
    <xf numFmtId="4" fontId="5" fillId="0" borderId="2" xfId="0" applyNumberFormat="1" applyFont="1" applyBorder="1"/>
    <xf numFmtId="4" fontId="5" fillId="0" borderId="19" xfId="0" applyNumberFormat="1" applyFont="1" applyBorder="1"/>
    <xf numFmtId="164" fontId="5" fillId="0" borderId="19" xfId="0" applyNumberFormat="1" applyFont="1" applyBorder="1"/>
    <xf numFmtId="0" fontId="5" fillId="0" borderId="19" xfId="0" applyFont="1" applyBorder="1" applyAlignment="1">
      <alignment horizontal="right"/>
    </xf>
    <xf numFmtId="164" fontId="12" fillId="0" borderId="0" xfId="1" applyNumberFormat="1" applyFont="1"/>
    <xf numFmtId="0" fontId="28" fillId="0" borderId="0" xfId="0" applyFont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8" xfId="0" quotePrefix="1" applyFont="1" applyBorder="1" applyAlignment="1">
      <alignment horizontal="center"/>
    </xf>
    <xf numFmtId="0" fontId="9" fillId="0" borderId="1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/>
    <xf numFmtId="0" fontId="9" fillId="0" borderId="11" xfId="0" applyFont="1" applyBorder="1"/>
    <xf numFmtId="0" fontId="12" fillId="0" borderId="17" xfId="0" applyFont="1" applyBorder="1"/>
    <xf numFmtId="0" fontId="11" fillId="0" borderId="12" xfId="0" applyFont="1" applyBorder="1"/>
    <xf numFmtId="4" fontId="13" fillId="0" borderId="0" xfId="0" applyNumberFormat="1" applyFont="1" applyBorder="1"/>
    <xf numFmtId="4" fontId="13" fillId="0" borderId="8" xfId="0" applyNumberFormat="1" applyFont="1" applyBorder="1"/>
    <xf numFmtId="4" fontId="15" fillId="0" borderId="0" xfId="0" applyNumberFormat="1" applyFont="1"/>
    <xf numFmtId="4" fontId="12" fillId="0" borderId="14" xfId="0" applyNumberFormat="1" applyFont="1" applyBorder="1"/>
    <xf numFmtId="164" fontId="12" fillId="0" borderId="10" xfId="1" applyNumberFormat="1" applyFont="1" applyBorder="1"/>
    <xf numFmtId="4" fontId="11" fillId="0" borderId="0" xfId="0" applyNumberFormat="1" applyFont="1"/>
    <xf numFmtId="0" fontId="9" fillId="0" borderId="13" xfId="0" applyFont="1" applyBorder="1"/>
    <xf numFmtId="0" fontId="12" fillId="0" borderId="0" xfId="0" applyFont="1" applyBorder="1"/>
    <xf numFmtId="0" fontId="11" fillId="0" borderId="14" xfId="0" applyFont="1" applyBorder="1"/>
    <xf numFmtId="4" fontId="13" fillId="0" borderId="10" xfId="0" applyNumberFormat="1" applyFont="1" applyBorder="1"/>
    <xf numFmtId="164" fontId="11" fillId="0" borderId="0" xfId="1" applyNumberFormat="1" applyFont="1"/>
    <xf numFmtId="0" fontId="11" fillId="0" borderId="0" xfId="0" applyFont="1" applyBorder="1"/>
    <xf numFmtId="43" fontId="11" fillId="0" borderId="0" xfId="0" applyNumberFormat="1" applyFont="1"/>
    <xf numFmtId="0" fontId="12" fillId="0" borderId="9" xfId="0" applyFont="1" applyBorder="1"/>
    <xf numFmtId="0" fontId="9" fillId="0" borderId="15" xfId="0" applyFont="1" applyBorder="1"/>
    <xf numFmtId="0" fontId="11" fillId="0" borderId="18" xfId="0" applyFont="1" applyBorder="1"/>
    <xf numFmtId="0" fontId="11" fillId="0" borderId="16" xfId="0" applyFont="1" applyBorder="1"/>
    <xf numFmtId="4" fontId="13" fillId="0" borderId="9" xfId="0" applyNumberFormat="1" applyFont="1" applyBorder="1"/>
    <xf numFmtId="0" fontId="11" fillId="0" borderId="19" xfId="0" applyFont="1" applyBorder="1"/>
    <xf numFmtId="0" fontId="11" fillId="0" borderId="3" xfId="0" applyFont="1" applyBorder="1"/>
    <xf numFmtId="4" fontId="9" fillId="0" borderId="2" xfId="0" applyNumberFormat="1" applyFont="1" applyBorder="1"/>
    <xf numFmtId="4" fontId="29" fillId="0" borderId="9" xfId="0" applyNumberFormat="1" applyFont="1" applyBorder="1"/>
    <xf numFmtId="164" fontId="16" fillId="0" borderId="0" xfId="0" applyNumberFormat="1" applyFont="1"/>
    <xf numFmtId="0" fontId="30" fillId="0" borderId="0" xfId="0" applyFont="1"/>
    <xf numFmtId="0" fontId="9" fillId="0" borderId="0" xfId="0" applyFont="1" applyFill="1" applyBorder="1" applyAlignment="1">
      <alignment horizontal="left"/>
    </xf>
    <xf numFmtId="164" fontId="31" fillId="0" borderId="0" xfId="1" applyNumberFormat="1" applyFont="1"/>
    <xf numFmtId="0" fontId="12" fillId="0" borderId="0" xfId="0" applyFont="1" applyFill="1" applyBorder="1" applyAlignment="1">
      <alignment horizontal="right"/>
    </xf>
    <xf numFmtId="4" fontId="22" fillId="0" borderId="0" xfId="0" applyNumberFormat="1" applyFont="1" applyAlignment="1">
      <alignment horizontal="center"/>
    </xf>
    <xf numFmtId="0" fontId="28" fillId="0" borderId="0" xfId="0" applyFont="1"/>
    <xf numFmtId="164" fontId="11" fillId="0" borderId="0" xfId="0" applyNumberFormat="1" applyFont="1"/>
    <xf numFmtId="164" fontId="12" fillId="0" borderId="0" xfId="4" applyNumberFormat="1" applyFont="1"/>
    <xf numFmtId="0" fontId="32" fillId="0" borderId="0" xfId="0" applyFont="1" applyBorder="1"/>
    <xf numFmtId="164" fontId="28" fillId="0" borderId="0" xfId="1" applyNumberFormat="1" applyFont="1"/>
    <xf numFmtId="164" fontId="11" fillId="0" borderId="0" xfId="0" applyNumberFormat="1" applyFont="1" applyBorder="1"/>
    <xf numFmtId="17" fontId="5" fillId="0" borderId="11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7" fillId="0" borderId="8" xfId="1" applyNumberFormat="1" applyFont="1" applyBorder="1"/>
    <xf numFmtId="0" fontId="3" fillId="0" borderId="18" xfId="0" applyFont="1" applyBorder="1"/>
    <xf numFmtId="0" fontId="33" fillId="0" borderId="0" xfId="0" applyFont="1"/>
    <xf numFmtId="0" fontId="5" fillId="0" borderId="4" xfId="0" applyFont="1" applyBorder="1"/>
    <xf numFmtId="0" fontId="5" fillId="0" borderId="22" xfId="0" applyFont="1" applyBorder="1"/>
    <xf numFmtId="0" fontId="16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5" xfId="0" applyFont="1" applyBorder="1"/>
    <xf numFmtId="164" fontId="5" fillId="0" borderId="9" xfId="0" applyNumberFormat="1" applyFont="1" applyBorder="1"/>
    <xf numFmtId="164" fontId="5" fillId="0" borderId="9" xfId="1" applyNumberFormat="1" applyFont="1" applyBorder="1"/>
    <xf numFmtId="10" fontId="16" fillId="0" borderId="1" xfId="4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0" xfId="0" quotePrefix="1" applyFont="1"/>
    <xf numFmtId="0" fontId="34" fillId="0" borderId="1" xfId="0" applyFont="1" applyBorder="1" applyAlignment="1">
      <alignment wrapText="1"/>
    </xf>
    <xf numFmtId="0" fontId="2" fillId="0" borderId="15" xfId="0" applyFont="1" applyBorder="1"/>
    <xf numFmtId="0" fontId="2" fillId="0" borderId="18" xfId="0" applyFont="1" applyBorder="1"/>
    <xf numFmtId="4" fontId="4" fillId="0" borderId="1" xfId="0" applyNumberFormat="1" applyFont="1" applyBorder="1"/>
    <xf numFmtId="164" fontId="4" fillId="0" borderId="9" xfId="0" applyNumberFormat="1" applyFont="1" applyBorder="1"/>
    <xf numFmtId="43" fontId="4" fillId="0" borderId="1" xfId="0" applyNumberFormat="1" applyFont="1" applyBorder="1"/>
    <xf numFmtId="43" fontId="4" fillId="0" borderId="0" xfId="0" applyNumberFormat="1" applyFont="1"/>
    <xf numFmtId="0" fontId="8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35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35" fillId="0" borderId="0" xfId="0" applyFont="1" applyAlignment="1"/>
    <xf numFmtId="0" fontId="35" fillId="0" borderId="0" xfId="0" applyFont="1" applyAlignment="1" applyProtection="1">
      <alignment horizontal="center"/>
      <protection hidden="1"/>
    </xf>
    <xf numFmtId="0" fontId="5" fillId="0" borderId="0" xfId="0" applyFont="1" applyAlignment="1">
      <alignment horizontal="left"/>
    </xf>
    <xf numFmtId="0" fontId="36" fillId="0" borderId="0" xfId="0" applyFont="1"/>
    <xf numFmtId="0" fontId="5" fillId="0" borderId="0" xfId="0" applyFont="1" applyAlignment="1"/>
    <xf numFmtId="43" fontId="5" fillId="0" borderId="0" xfId="0" applyNumberFormat="1" applyFont="1" applyAlignment="1">
      <alignment horizontal="left"/>
    </xf>
    <xf numFmtId="43" fontId="5" fillId="0" borderId="0" xfId="0" applyNumberFormat="1" applyFont="1" applyProtection="1">
      <protection hidden="1"/>
    </xf>
    <xf numFmtId="164" fontId="12" fillId="0" borderId="0" xfId="0" applyNumberFormat="1" applyFont="1"/>
    <xf numFmtId="43" fontId="2" fillId="0" borderId="0" xfId="1" applyFont="1"/>
    <xf numFmtId="0" fontId="9" fillId="0" borderId="0" xfId="0" applyFont="1" applyAlignment="1">
      <alignment horizontal="left"/>
    </xf>
    <xf numFmtId="4" fontId="5" fillId="0" borderId="15" xfId="0" applyNumberFormat="1" applyFont="1" applyBorder="1"/>
    <xf numFmtId="0" fontId="5" fillId="0" borderId="16" xfId="0" applyFont="1" applyBorder="1"/>
    <xf numFmtId="0" fontId="16" fillId="0" borderId="11" xfId="0" applyFont="1" applyBorder="1" applyAlignment="1">
      <alignment horizontal="center"/>
    </xf>
    <xf numFmtId="0" fontId="5" fillId="0" borderId="12" xfId="0" applyFont="1" applyBorder="1"/>
    <xf numFmtId="4" fontId="5" fillId="0" borderId="18" xfId="0" applyNumberFormat="1" applyFont="1" applyBorder="1"/>
    <xf numFmtId="4" fontId="5" fillId="0" borderId="11" xfId="0" applyNumberFormat="1" applyFont="1" applyBorder="1"/>
    <xf numFmtId="0" fontId="3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" fontId="5" fillId="0" borderId="0" xfId="0" applyNumberFormat="1" applyFont="1" applyBorder="1"/>
    <xf numFmtId="4" fontId="2" fillId="0" borderId="0" xfId="0" applyNumberFormat="1" applyFont="1"/>
    <xf numFmtId="43" fontId="9" fillId="0" borderId="0" xfId="1" applyFont="1"/>
    <xf numFmtId="43" fontId="2" fillId="0" borderId="19" xfId="1" applyNumberFormat="1" applyFont="1" applyBorder="1"/>
    <xf numFmtId="4" fontId="2" fillId="0" borderId="19" xfId="0" applyNumberFormat="1" applyFont="1" applyBorder="1"/>
    <xf numFmtId="43" fontId="2" fillId="0" borderId="0" xfId="0" applyNumberFormat="1" applyFont="1"/>
    <xf numFmtId="4" fontId="12" fillId="0" borderId="13" xfId="0" applyNumberFormat="1" applyFont="1" applyBorder="1"/>
    <xf numFmtId="43" fontId="4" fillId="0" borderId="0" xfId="1" applyFont="1"/>
    <xf numFmtId="4" fontId="2" fillId="0" borderId="9" xfId="0" applyNumberFormat="1" applyFont="1" applyBorder="1"/>
    <xf numFmtId="0" fontId="12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Alignment="1">
      <alignment horizontal="right"/>
    </xf>
    <xf numFmtId="4" fontId="38" fillId="0" borderId="8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43" fontId="2" fillId="0" borderId="19" xfId="1" applyNumberFormat="1" applyFont="1" applyBorder="1" applyAlignment="1">
      <alignment horizontal="right"/>
    </xf>
    <xf numFmtId="43" fontId="2" fillId="0" borderId="19" xfId="1" applyFont="1" applyBorder="1"/>
    <xf numFmtId="43" fontId="2" fillId="0" borderId="19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0" xfId="0" applyFont="1"/>
    <xf numFmtId="43" fontId="39" fillId="0" borderId="1" xfId="1" applyFont="1" applyBorder="1"/>
    <xf numFmtId="43" fontId="5" fillId="0" borderId="0" xfId="1" applyFont="1"/>
    <xf numFmtId="43" fontId="4" fillId="0" borderId="0" xfId="1" applyNumberFormat="1" applyFont="1" applyAlignment="1">
      <alignment horizontal="right"/>
    </xf>
    <xf numFmtId="164" fontId="25" fillId="0" borderId="10" xfId="1" applyNumberFormat="1" applyFont="1" applyBorder="1"/>
    <xf numFmtId="0" fontId="10" fillId="0" borderId="0" xfId="0" applyFont="1" applyAlignment="1" applyProtection="1">
      <alignment horizontal="right"/>
      <protection hidden="1"/>
    </xf>
    <xf numFmtId="43" fontId="7" fillId="0" borderId="1" xfId="1" applyFont="1" applyBorder="1"/>
    <xf numFmtId="43" fontId="5" fillId="0" borderId="1" xfId="1" applyFont="1" applyBorder="1"/>
    <xf numFmtId="43" fontId="4" fillId="0" borderId="0" xfId="1" applyNumberFormat="1" applyFont="1"/>
    <xf numFmtId="164" fontId="16" fillId="0" borderId="19" xfId="1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0" fontId="4" fillId="0" borderId="0" xfId="0" applyNumberFormat="1" applyFont="1"/>
    <xf numFmtId="9" fontId="4" fillId="0" borderId="0" xfId="0" applyNumberFormat="1" applyFont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4" fillId="0" borderId="19" xfId="0" applyNumberFormat="1" applyFont="1" applyBorder="1"/>
    <xf numFmtId="43" fontId="4" fillId="0" borderId="19" xfId="1" applyNumberFormat="1" applyFont="1" applyBorder="1" applyAlignment="1">
      <alignment horizontal="center"/>
    </xf>
    <xf numFmtId="43" fontId="8" fillId="0" borderId="1" xfId="1" applyNumberFormat="1" applyFont="1" applyBorder="1" applyAlignment="1">
      <alignment horizontal="center"/>
    </xf>
    <xf numFmtId="43" fontId="4" fillId="0" borderId="10" xfId="1" applyNumberFormat="1" applyFont="1" applyBorder="1"/>
    <xf numFmtId="0" fontId="4" fillId="0" borderId="19" xfId="0" applyFont="1" applyBorder="1" applyAlignment="1">
      <alignment horizontal="center"/>
    </xf>
    <xf numFmtId="43" fontId="4" fillId="0" borderId="19" xfId="1" applyNumberFormat="1" applyFont="1" applyBorder="1"/>
    <xf numFmtId="4" fontId="4" fillId="0" borderId="19" xfId="0" applyNumberFormat="1" applyFont="1" applyBorder="1"/>
    <xf numFmtId="43" fontId="8" fillId="0" borderId="0" xfId="1" applyNumberFormat="1" applyFont="1"/>
    <xf numFmtId="0" fontId="4" fillId="0" borderId="19" xfId="0" applyFont="1" applyBorder="1" applyAlignment="1">
      <alignment horizontal="right"/>
    </xf>
    <xf numFmtId="164" fontId="4" fillId="0" borderId="0" xfId="1" applyNumberFormat="1" applyFont="1"/>
    <xf numFmtId="4" fontId="4" fillId="0" borderId="0" xfId="0" applyNumberFormat="1" applyFont="1"/>
    <xf numFmtId="0" fontId="4" fillId="0" borderId="1" xfId="0" applyFont="1" applyBorder="1" applyAlignment="1">
      <alignment horizontal="center"/>
    </xf>
    <xf numFmtId="43" fontId="4" fillId="0" borderId="10" xfId="0" applyNumberFormat="1" applyFont="1" applyBorder="1"/>
    <xf numFmtId="10" fontId="4" fillId="0" borderId="19" xfId="2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43" fontId="4" fillId="0" borderId="19" xfId="1" applyFont="1" applyBorder="1"/>
    <xf numFmtId="43" fontId="40" fillId="0" borderId="1" xfId="1" applyFont="1" applyBorder="1"/>
    <xf numFmtId="4" fontId="5" fillId="0" borderId="8" xfId="0" applyNumberFormat="1" applyFont="1" applyBorder="1" applyAlignment="1">
      <alignment horizontal="center"/>
    </xf>
    <xf numFmtId="10" fontId="11" fillId="0" borderId="0" xfId="2" applyNumberFormat="1" applyFont="1"/>
    <xf numFmtId="10" fontId="11" fillId="0" borderId="0" xfId="2" applyNumberFormat="1" applyFont="1" applyAlignment="1">
      <alignment horizontal="center"/>
    </xf>
    <xf numFmtId="43" fontId="4" fillId="0" borderId="1" xfId="1" applyNumberFormat="1" applyFont="1" applyBorder="1"/>
    <xf numFmtId="43" fontId="8" fillId="0" borderId="0" xfId="0" applyNumberFormat="1" applyFont="1"/>
    <xf numFmtId="43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4" fontId="5" fillId="0" borderId="14" xfId="0" applyNumberFormat="1" applyFont="1" applyBorder="1"/>
    <xf numFmtId="43" fontId="42" fillId="0" borderId="1" xfId="0" applyNumberFormat="1" applyFont="1" applyBorder="1"/>
    <xf numFmtId="43" fontId="42" fillId="0" borderId="1" xfId="1" applyFont="1" applyBorder="1"/>
    <xf numFmtId="0" fontId="42" fillId="0" borderId="1" xfId="0" applyFont="1" applyBorder="1" applyAlignment="1">
      <alignment horizontal="center"/>
    </xf>
    <xf numFmtId="4" fontId="29" fillId="0" borderId="1" xfId="0" applyNumberFormat="1" applyFont="1" applyBorder="1"/>
    <xf numFmtId="43" fontId="43" fillId="0" borderId="1" xfId="1" applyFont="1" applyBorder="1"/>
    <xf numFmtId="0" fontId="12" fillId="0" borderId="2" xfId="0" applyFont="1" applyFill="1" applyBorder="1"/>
    <xf numFmtId="0" fontId="2" fillId="0" borderId="19" xfId="0" applyFont="1" applyBorder="1"/>
    <xf numFmtId="43" fontId="2" fillId="0" borderId="3" xfId="1" applyNumberFormat="1" applyFont="1" applyBorder="1"/>
    <xf numFmtId="43" fontId="2" fillId="0" borderId="19" xfId="0" applyNumberFormat="1" applyFont="1" applyBorder="1"/>
    <xf numFmtId="43" fontId="2" fillId="0" borderId="3" xfId="1" applyFont="1" applyBorder="1"/>
    <xf numFmtId="4" fontId="23" fillId="0" borderId="1" xfId="0" applyNumberFormat="1" applyFont="1" applyBorder="1"/>
    <xf numFmtId="43" fontId="2" fillId="0" borderId="10" xfId="1" applyFont="1" applyBorder="1"/>
    <xf numFmtId="0" fontId="0" fillId="0" borderId="39" xfId="0" applyBorder="1"/>
    <xf numFmtId="0" fontId="0" fillId="0" borderId="20" xfId="0" applyBorder="1"/>
    <xf numFmtId="0" fontId="46" fillId="0" borderId="36" xfId="0" applyNumberFormat="1" applyFont="1" applyBorder="1" applyAlignment="1">
      <alignment horizontal="left"/>
    </xf>
    <xf numFmtId="9" fontId="2" fillId="0" borderId="20" xfId="0" applyNumberFormat="1" applyFont="1" applyBorder="1" applyAlignment="1">
      <alignment horizontal="right"/>
    </xf>
    <xf numFmtId="9" fontId="2" fillId="0" borderId="37" xfId="0" applyNumberFormat="1" applyFont="1" applyBorder="1" applyAlignment="1">
      <alignment horizontal="right"/>
    </xf>
    <xf numFmtId="4" fontId="47" fillId="0" borderId="1" xfId="0" applyNumberFormat="1" applyFont="1" applyBorder="1"/>
    <xf numFmtId="4" fontId="22" fillId="0" borderId="1" xfId="0" applyNumberFormat="1" applyFont="1" applyBorder="1"/>
    <xf numFmtId="4" fontId="5" fillId="0" borderId="12" xfId="0" applyNumberFormat="1" applyFont="1" applyBorder="1"/>
    <xf numFmtId="4" fontId="5" fillId="0" borderId="16" xfId="0" applyNumberFormat="1" applyFont="1" applyBorder="1"/>
    <xf numFmtId="164" fontId="23" fillId="0" borderId="1" xfId="0" applyNumberFormat="1" applyFont="1" applyBorder="1"/>
    <xf numFmtId="43" fontId="2" fillId="0" borderId="18" xfId="1" applyNumberFormat="1" applyFont="1" applyBorder="1"/>
    <xf numFmtId="4" fontId="2" fillId="0" borderId="18" xfId="0" applyNumberFormat="1" applyFont="1" applyBorder="1"/>
    <xf numFmtId="43" fontId="2" fillId="0" borderId="0" xfId="0" applyNumberFormat="1" applyFont="1" applyAlignment="1">
      <alignment horizontal="right"/>
    </xf>
    <xf numFmtId="3" fontId="2" fillId="0" borderId="0" xfId="0" applyNumberFormat="1" applyFont="1"/>
    <xf numFmtId="43" fontId="42" fillId="0" borderId="0" xfId="0" applyNumberFormat="1" applyFont="1"/>
    <xf numFmtId="49" fontId="2" fillId="0" borderId="0" xfId="0" applyNumberFormat="1" applyFont="1" applyAlignment="1">
      <alignment horizontal="right"/>
    </xf>
    <xf numFmtId="167" fontId="2" fillId="0" borderId="4" xfId="0" applyNumberFormat="1" applyFont="1" applyBorder="1" applyAlignment="1">
      <alignment horizontal="right"/>
    </xf>
    <xf numFmtId="0" fontId="2" fillId="0" borderId="36" xfId="0" applyNumberFormat="1" applyFont="1" applyBorder="1" applyAlignment="1">
      <alignment horizontal="left" indent="1"/>
    </xf>
    <xf numFmtId="167" fontId="2" fillId="0" borderId="38" xfId="0" applyNumberFormat="1" applyFont="1" applyBorder="1" applyAlignment="1">
      <alignment horizontal="right"/>
    </xf>
    <xf numFmtId="0" fontId="2" fillId="0" borderId="36" xfId="0" applyNumberFormat="1" applyFont="1" applyBorder="1" applyAlignment="1">
      <alignment horizontal="left" indent="2"/>
    </xf>
    <xf numFmtId="0" fontId="2" fillId="4" borderId="40" xfId="0" applyNumberFormat="1" applyFont="1" applyFill="1" applyBorder="1" applyAlignment="1">
      <alignment horizontal="left"/>
    </xf>
    <xf numFmtId="167" fontId="2" fillId="4" borderId="41" xfId="0" applyNumberFormat="1" applyFont="1" applyFill="1" applyBorder="1" applyAlignment="1">
      <alignment horizontal="right"/>
    </xf>
    <xf numFmtId="167" fontId="2" fillId="4" borderId="42" xfId="0" applyNumberFormat="1" applyFont="1" applyFill="1" applyBorder="1" applyAlignment="1">
      <alignment horizontal="right"/>
    </xf>
    <xf numFmtId="43" fontId="4" fillId="0" borderId="3" xfId="0" applyNumberFormat="1" applyFont="1" applyBorder="1"/>
    <xf numFmtId="43" fontId="41" fillId="0" borderId="1" xfId="0" applyNumberFormat="1" applyFont="1" applyBorder="1"/>
    <xf numFmtId="164" fontId="4" fillId="0" borderId="0" xfId="0" applyNumberFormat="1" applyFont="1"/>
    <xf numFmtId="0" fontId="0" fillId="0" borderId="23" xfId="0" applyBorder="1"/>
    <xf numFmtId="0" fontId="0" fillId="0" borderId="27" xfId="0" applyBorder="1"/>
    <xf numFmtId="0" fontId="0" fillId="0" borderId="26" xfId="0" applyBorder="1"/>
    <xf numFmtId="0" fontId="0" fillId="0" borderId="29" xfId="0" applyBorder="1"/>
    <xf numFmtId="0" fontId="0" fillId="0" borderId="35" xfId="0" applyBorder="1"/>
    <xf numFmtId="0" fontId="0" fillId="0" borderId="30" xfId="0" applyBorder="1"/>
    <xf numFmtId="0" fontId="18" fillId="0" borderId="0" xfId="0" applyFont="1"/>
    <xf numFmtId="43" fontId="4" fillId="0" borderId="10" xfId="1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hidden="1"/>
    </xf>
    <xf numFmtId="0" fontId="8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167" fontId="2" fillId="0" borderId="20" xfId="0" applyNumberFormat="1" applyFont="1" applyBorder="1" applyAlignment="1">
      <alignment horizontal="right"/>
    </xf>
    <xf numFmtId="167" fontId="2" fillId="0" borderId="37" xfId="0" applyNumberFormat="1" applyFont="1" applyBorder="1" applyAlignment="1">
      <alignment horizontal="right"/>
    </xf>
    <xf numFmtId="43" fontId="5" fillId="0" borderId="0" xfId="1" applyFont="1" applyAlignment="1">
      <alignment horizontal="center"/>
    </xf>
    <xf numFmtId="43" fontId="5" fillId="0" borderId="0" xfId="0" applyNumberFormat="1" applyFont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4" fontId="5" fillId="0" borderId="9" xfId="0" applyNumberFormat="1" applyFont="1" applyBorder="1"/>
    <xf numFmtId="164" fontId="5" fillId="0" borderId="18" xfId="0" applyNumberFormat="1" applyFont="1" applyBorder="1"/>
    <xf numFmtId="4" fontId="5" fillId="0" borderId="17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164" fontId="5" fillId="0" borderId="18" xfId="1" applyNumberFormat="1" applyFont="1" applyBorder="1"/>
    <xf numFmtId="0" fontId="5" fillId="0" borderId="9" xfId="0" applyFont="1" applyBorder="1"/>
    <xf numFmtId="164" fontId="5" fillId="0" borderId="16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/>
    <xf numFmtId="0" fontId="3" fillId="0" borderId="19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53" fillId="5" borderId="24" xfId="0" applyFont="1" applyFill="1" applyBorder="1" applyAlignment="1">
      <alignment vertical="center"/>
    </xf>
    <xf numFmtId="0" fontId="52" fillId="3" borderId="24" xfId="0" applyFont="1" applyFill="1" applyBorder="1" applyAlignment="1">
      <alignment vertical="center"/>
    </xf>
    <xf numFmtId="0" fontId="57" fillId="0" borderId="24" xfId="0" applyFont="1" applyFill="1" applyBorder="1" applyAlignment="1">
      <alignment horizontal="justify" vertical="center"/>
    </xf>
    <xf numFmtId="0" fontId="54" fillId="0" borderId="24" xfId="0" applyFont="1" applyFill="1" applyBorder="1" applyAlignment="1">
      <alignment vertical="center"/>
    </xf>
    <xf numFmtId="43" fontId="8" fillId="0" borderId="0" xfId="1" applyFont="1"/>
    <xf numFmtId="49" fontId="44" fillId="0" borderId="0" xfId="0" applyNumberFormat="1" applyFont="1" applyAlignment="1">
      <alignment horizontal="right"/>
    </xf>
    <xf numFmtId="0" fontId="2" fillId="4" borderId="44" xfId="0" applyNumberFormat="1" applyFont="1" applyFill="1" applyBorder="1" applyAlignment="1">
      <alignment horizontal="center"/>
    </xf>
    <xf numFmtId="0" fontId="2" fillId="4" borderId="45" xfId="0" applyNumberFormat="1" applyFont="1" applyFill="1" applyBorder="1" applyAlignment="1">
      <alignment horizontal="center"/>
    </xf>
    <xf numFmtId="0" fontId="2" fillId="4" borderId="10" xfId="0" applyNumberFormat="1" applyFont="1" applyFill="1" applyBorder="1" applyAlignment="1">
      <alignment horizontal="center"/>
    </xf>
    <xf numFmtId="0" fontId="2" fillId="4" borderId="13" xfId="0" applyNumberFormat="1" applyFont="1" applyFill="1" applyBorder="1" applyAlignment="1">
      <alignment horizontal="center"/>
    </xf>
    <xf numFmtId="0" fontId="2" fillId="4" borderId="9" xfId="0" applyNumberFormat="1" applyFont="1" applyFill="1" applyBorder="1" applyAlignment="1">
      <alignment horizontal="center"/>
    </xf>
    <xf numFmtId="0" fontId="2" fillId="4" borderId="15" xfId="0" applyNumberFormat="1" applyFont="1" applyFill="1" applyBorder="1" applyAlignment="1">
      <alignment horizontal="center"/>
    </xf>
    <xf numFmtId="0" fontId="48" fillId="0" borderId="14" xfId="0" applyNumberFormat="1" applyFont="1" applyBorder="1" applyAlignment="1">
      <alignment horizontal="left"/>
    </xf>
    <xf numFmtId="0" fontId="0" fillId="0" borderId="10" xfId="0" applyBorder="1"/>
    <xf numFmtId="165" fontId="3" fillId="0" borderId="10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9" fontId="2" fillId="0" borderId="10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3" fillId="4" borderId="44" xfId="0" applyNumberFormat="1" applyFont="1" applyFill="1" applyBorder="1" applyAlignment="1">
      <alignment horizontal="right"/>
    </xf>
    <xf numFmtId="49" fontId="3" fillId="4" borderId="44" xfId="0" applyNumberFormat="1" applyFont="1" applyFill="1" applyBorder="1" applyAlignment="1">
      <alignment horizontal="right"/>
    </xf>
    <xf numFmtId="165" fontId="3" fillId="4" borderId="45" xfId="0" applyNumberFormat="1" applyFont="1" applyFill="1" applyBorder="1" applyAlignment="1">
      <alignment horizontal="right"/>
    </xf>
    <xf numFmtId="0" fontId="0" fillId="0" borderId="44" xfId="0" applyBorder="1"/>
    <xf numFmtId="165" fontId="2" fillId="0" borderId="44" xfId="0" applyNumberFormat="1" applyFont="1" applyBorder="1" applyAlignment="1">
      <alignment horizontal="right"/>
    </xf>
    <xf numFmtId="165" fontId="2" fillId="0" borderId="45" xfId="0" applyNumberFormat="1" applyFont="1" applyBorder="1" applyAlignment="1">
      <alignment horizontal="right"/>
    </xf>
    <xf numFmtId="165" fontId="2" fillId="4" borderId="10" xfId="0" applyNumberFormat="1" applyFont="1" applyFill="1" applyBorder="1" applyAlignment="1">
      <alignment horizontal="right"/>
    </xf>
    <xf numFmtId="165" fontId="2" fillId="4" borderId="13" xfId="0" applyNumberFormat="1" applyFont="1" applyFill="1" applyBorder="1" applyAlignment="1">
      <alignment horizontal="right"/>
    </xf>
    <xf numFmtId="43" fontId="4" fillId="0" borderId="3" xfId="1" applyFont="1" applyBorder="1" applyAlignment="1">
      <alignment horizontal="center"/>
    </xf>
    <xf numFmtId="165" fontId="2" fillId="0" borderId="41" xfId="0" applyNumberFormat="1" applyFont="1" applyBorder="1" applyAlignment="1">
      <alignment horizontal="right"/>
    </xf>
    <xf numFmtId="165" fontId="2" fillId="0" borderId="42" xfId="0" applyNumberFormat="1" applyFont="1" applyBorder="1" applyAlignment="1">
      <alignment horizontal="right"/>
    </xf>
    <xf numFmtId="0" fontId="2" fillId="4" borderId="20" xfId="0" applyNumberFormat="1" applyFont="1" applyFill="1" applyBorder="1" applyAlignment="1">
      <alignment horizontal="center"/>
    </xf>
    <xf numFmtId="0" fontId="2" fillId="4" borderId="4" xfId="0" applyNumberFormat="1" applyFont="1" applyFill="1" applyBorder="1" applyAlignment="1">
      <alignment horizontal="center"/>
    </xf>
    <xf numFmtId="0" fontId="2" fillId="4" borderId="37" xfId="0" applyNumberFormat="1" applyFont="1" applyFill="1" applyBorder="1" applyAlignment="1">
      <alignment horizontal="center"/>
    </xf>
    <xf numFmtId="0" fontId="2" fillId="4" borderId="38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0" borderId="36" xfId="0" applyNumberFormat="1" applyFont="1" applyBorder="1" applyAlignment="1">
      <alignment horizontal="left"/>
    </xf>
    <xf numFmtId="165" fontId="2" fillId="0" borderId="37" xfId="0" applyNumberFormat="1" applyFont="1" applyBorder="1" applyAlignment="1">
      <alignment horizontal="right"/>
    </xf>
    <xf numFmtId="165" fontId="2" fillId="0" borderId="38" xfId="0" applyNumberFormat="1" applyFont="1" applyBorder="1" applyAlignment="1">
      <alignment horizontal="right"/>
    </xf>
    <xf numFmtId="0" fontId="3" fillId="4" borderId="46" xfId="0" applyNumberFormat="1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16" fillId="0" borderId="44" xfId="0" applyFont="1" applyBorder="1" applyAlignment="1">
      <alignment horizontal="center"/>
    </xf>
    <xf numFmtId="4" fontId="5" fillId="0" borderId="44" xfId="0" applyNumberFormat="1" applyFont="1" applyBorder="1"/>
    <xf numFmtId="0" fontId="2" fillId="0" borderId="0" xfId="0" applyNumberFormat="1" applyFont="1" applyAlignment="1">
      <alignment horizontal="left"/>
    </xf>
    <xf numFmtId="0" fontId="2" fillId="0" borderId="14" xfId="0" applyNumberFormat="1" applyFont="1" applyBorder="1" applyAlignment="1">
      <alignment horizontal="left"/>
    </xf>
    <xf numFmtId="0" fontId="52" fillId="3" borderId="24" xfId="0" applyFont="1" applyFill="1" applyBorder="1" applyAlignment="1">
      <alignment horizontal="center" vertical="center"/>
    </xf>
    <xf numFmtId="0" fontId="53" fillId="3" borderId="24" xfId="0" applyFont="1" applyFill="1" applyBorder="1" applyAlignment="1">
      <alignment horizontal="center" vertical="center" wrapText="1"/>
    </xf>
    <xf numFmtId="0" fontId="49" fillId="0" borderId="23" xfId="0" applyFont="1" applyFill="1" applyBorder="1" applyAlignment="1">
      <alignment vertical="top"/>
    </xf>
    <xf numFmtId="0" fontId="55" fillId="0" borderId="33" xfId="0" applyFont="1" applyFill="1" applyBorder="1" applyAlignment="1">
      <alignment horizontal="right" vertical="center"/>
    </xf>
    <xf numFmtId="0" fontId="55" fillId="0" borderId="28" xfId="0" applyFont="1" applyFill="1" applyBorder="1" applyAlignment="1">
      <alignment horizontal="right" vertical="center"/>
    </xf>
    <xf numFmtId="4" fontId="53" fillId="5" borderId="24" xfId="0" applyNumberFormat="1" applyFont="1" applyFill="1" applyBorder="1" applyAlignment="1">
      <alignment horizontal="right" vertical="center"/>
    </xf>
    <xf numFmtId="0" fontId="55" fillId="0" borderId="34" xfId="0" applyFont="1" applyFill="1" applyBorder="1" applyAlignment="1">
      <alignment horizontal="right" vertical="center"/>
    </xf>
    <xf numFmtId="0" fontId="55" fillId="0" borderId="31" xfId="0" applyFont="1" applyFill="1" applyBorder="1" applyAlignment="1">
      <alignment horizontal="right" vertical="center"/>
    </xf>
    <xf numFmtId="4" fontId="55" fillId="0" borderId="33" xfId="0" applyNumberFormat="1" applyFont="1" applyFill="1" applyBorder="1" applyAlignment="1">
      <alignment horizontal="right" vertical="center"/>
    </xf>
    <xf numFmtId="4" fontId="55" fillId="0" borderId="32" xfId="0" applyNumberFormat="1" applyFont="1" applyFill="1" applyBorder="1" applyAlignment="1">
      <alignment horizontal="right" vertical="center"/>
    </xf>
    <xf numFmtId="4" fontId="55" fillId="0" borderId="34" xfId="0" applyNumberFormat="1" applyFont="1" applyFill="1" applyBorder="1" applyAlignment="1">
      <alignment horizontal="right" vertical="center"/>
    </xf>
    <xf numFmtId="4" fontId="55" fillId="0" borderId="24" xfId="0" applyNumberFormat="1" applyFont="1" applyFill="1" applyBorder="1" applyAlignment="1">
      <alignment horizontal="right" vertical="center"/>
    </xf>
    <xf numFmtId="4" fontId="53" fillId="0" borderId="33" xfId="0" applyNumberFormat="1" applyFont="1" applyFill="1" applyBorder="1" applyAlignment="1">
      <alignment horizontal="right" vertical="center"/>
    </xf>
    <xf numFmtId="4" fontId="53" fillId="0" borderId="32" xfId="0" applyNumberFormat="1" applyFont="1" applyFill="1" applyBorder="1" applyAlignment="1">
      <alignment horizontal="right" vertical="center"/>
    </xf>
    <xf numFmtId="0" fontId="56" fillId="0" borderId="27" xfId="0" applyFont="1" applyFill="1" applyBorder="1" applyAlignment="1">
      <alignment vertical="top"/>
    </xf>
    <xf numFmtId="0" fontId="50" fillId="0" borderId="0" xfId="0" applyFont="1" applyFill="1" applyAlignment="1">
      <alignment horizontal="right" vertical="top"/>
    </xf>
    <xf numFmtId="0" fontId="55" fillId="0" borderId="32" xfId="0" applyFont="1" applyFill="1" applyBorder="1" applyAlignment="1">
      <alignment vertical="center"/>
    </xf>
    <xf numFmtId="0" fontId="55" fillId="0" borderId="32" xfId="0" applyFont="1" applyFill="1" applyBorder="1" applyAlignment="1">
      <alignment horizontal="right" vertical="center"/>
    </xf>
    <xf numFmtId="0" fontId="55" fillId="0" borderId="25" xfId="0" applyFont="1" applyFill="1" applyBorder="1" applyAlignment="1">
      <alignment horizontal="right" vertical="center"/>
    </xf>
    <xf numFmtId="0" fontId="55" fillId="0" borderId="33" xfId="0" applyFont="1" applyFill="1" applyBorder="1" applyAlignment="1">
      <alignment vertical="center"/>
    </xf>
    <xf numFmtId="0" fontId="55" fillId="0" borderId="34" xfId="0" applyFont="1" applyFill="1" applyBorder="1" applyAlignment="1">
      <alignment vertical="center"/>
    </xf>
    <xf numFmtId="0" fontId="55" fillId="3" borderId="24" xfId="0" applyFont="1" applyFill="1" applyBorder="1" applyAlignment="1">
      <alignment horizontal="right" vertical="center"/>
    </xf>
    <xf numFmtId="0" fontId="55" fillId="0" borderId="0" xfId="0" applyFont="1" applyFill="1"/>
    <xf numFmtId="0" fontId="53" fillId="0" borderId="32" xfId="0" applyFont="1" applyFill="1" applyBorder="1" applyAlignment="1">
      <alignment vertical="center"/>
    </xf>
    <xf numFmtId="0" fontId="54" fillId="0" borderId="32" xfId="0" applyFont="1" applyFill="1" applyBorder="1" applyAlignment="1">
      <alignment horizontal="right" vertical="center"/>
    </xf>
    <xf numFmtId="0" fontId="53" fillId="0" borderId="33" xfId="0" applyFont="1" applyFill="1" applyBorder="1" applyAlignment="1">
      <alignment vertical="center"/>
    </xf>
    <xf numFmtId="0" fontId="54" fillId="0" borderId="33" xfId="0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vertical="center"/>
    </xf>
    <xf numFmtId="0" fontId="54" fillId="0" borderId="34" xfId="0" applyFont="1" applyFill="1" applyBorder="1" applyAlignment="1">
      <alignment vertical="center"/>
    </xf>
    <xf numFmtId="0" fontId="54" fillId="0" borderId="34" xfId="0" applyFont="1" applyFill="1" applyBorder="1" applyAlignment="1">
      <alignment horizontal="right" vertical="center"/>
    </xf>
    <xf numFmtId="0" fontId="54" fillId="0" borderId="32" xfId="0" applyFont="1" applyFill="1" applyBorder="1" applyAlignment="1">
      <alignment vertical="center"/>
    </xf>
    <xf numFmtId="0" fontId="54" fillId="0" borderId="34" xfId="0" applyFont="1" applyFill="1" applyBorder="1" applyAlignment="1">
      <alignment vertical="center" wrapText="1"/>
    </xf>
    <xf numFmtId="0" fontId="54" fillId="0" borderId="33" xfId="0" applyFont="1" applyFill="1" applyBorder="1" applyAlignment="1">
      <alignment vertical="center" wrapText="1"/>
    </xf>
    <xf numFmtId="0" fontId="54" fillId="0" borderId="32" xfId="0" applyFont="1" applyFill="1" applyBorder="1" applyAlignment="1">
      <alignment vertical="center" wrapText="1"/>
    </xf>
    <xf numFmtId="0" fontId="2" fillId="4" borderId="20" xfId="0" applyNumberFormat="1" applyFont="1" applyFill="1" applyBorder="1" applyAlignment="1">
      <alignment horizontal="center"/>
    </xf>
    <xf numFmtId="0" fontId="2" fillId="4" borderId="37" xfId="0" applyNumberFormat="1" applyFont="1" applyFill="1" applyBorder="1" applyAlignment="1">
      <alignment horizontal="center"/>
    </xf>
    <xf numFmtId="0" fontId="2" fillId="4" borderId="38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4" borderId="44" xfId="0" applyNumberFormat="1" applyFont="1" applyFill="1" applyBorder="1" applyAlignment="1">
      <alignment horizontal="center"/>
    </xf>
    <xf numFmtId="0" fontId="3" fillId="4" borderId="45" xfId="0" applyNumberFormat="1" applyFont="1" applyFill="1" applyBorder="1" applyAlignment="1">
      <alignment horizontal="center"/>
    </xf>
    <xf numFmtId="167" fontId="2" fillId="0" borderId="44" xfId="0" applyNumberFormat="1" applyFont="1" applyBorder="1" applyAlignment="1">
      <alignment horizontal="right"/>
    </xf>
    <xf numFmtId="167" fontId="2" fillId="0" borderId="45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7" fontId="2" fillId="0" borderId="15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left"/>
    </xf>
    <xf numFmtId="0" fontId="54" fillId="5" borderId="24" xfId="0" applyFont="1" applyFill="1" applyBorder="1" applyAlignment="1">
      <alignment vertical="center"/>
    </xf>
    <xf numFmtId="4" fontId="55" fillId="5" borderId="24" xfId="0" applyNumberFormat="1" applyFont="1" applyFill="1" applyBorder="1" applyAlignment="1">
      <alignment horizontal="right" vertical="center"/>
    </xf>
    <xf numFmtId="0" fontId="55" fillId="0" borderId="24" xfId="0" applyFont="1" applyFill="1" applyBorder="1" applyAlignment="1">
      <alignment vertical="center"/>
    </xf>
    <xf numFmtId="0" fontId="3" fillId="0" borderId="46" xfId="0" applyNumberFormat="1" applyFont="1" applyBorder="1" applyAlignment="1">
      <alignment horizontal="left"/>
    </xf>
    <xf numFmtId="0" fontId="53" fillId="0" borderId="33" xfId="0" applyFont="1" applyFill="1" applyBorder="1" applyAlignment="1">
      <alignment vertical="center" wrapText="1"/>
    </xf>
    <xf numFmtId="0" fontId="53" fillId="0" borderId="34" xfId="0" applyFont="1" applyFill="1" applyBorder="1" applyAlignment="1">
      <alignment vertical="center" wrapText="1"/>
    </xf>
    <xf numFmtId="0" fontId="53" fillId="5" borderId="24" xfId="0" applyFont="1" applyFill="1" applyBorder="1" applyAlignment="1">
      <alignment vertical="center" wrapText="1"/>
    </xf>
    <xf numFmtId="167" fontId="2" fillId="8" borderId="20" xfId="0" applyNumberFormat="1" applyFont="1" applyFill="1" applyBorder="1" applyAlignment="1">
      <alignment horizontal="right"/>
    </xf>
    <xf numFmtId="167" fontId="2" fillId="8" borderId="4" xfId="0" applyNumberFormat="1" applyFont="1" applyFill="1" applyBorder="1" applyAlignment="1">
      <alignment horizontal="right"/>
    </xf>
    <xf numFmtId="167" fontId="2" fillId="8" borderId="37" xfId="0" applyNumberFormat="1" applyFont="1" applyFill="1" applyBorder="1" applyAlignment="1">
      <alignment horizontal="right"/>
    </xf>
    <xf numFmtId="167" fontId="2" fillId="8" borderId="38" xfId="0" applyNumberFormat="1" applyFont="1" applyFill="1" applyBorder="1" applyAlignment="1">
      <alignment horizontal="right"/>
    </xf>
    <xf numFmtId="0" fontId="2" fillId="8" borderId="36" xfId="0" applyNumberFormat="1" applyFont="1" applyFill="1" applyBorder="1" applyAlignment="1">
      <alignment horizontal="left"/>
    </xf>
    <xf numFmtId="167" fontId="2" fillId="4" borderId="20" xfId="0" applyNumberFormat="1" applyFont="1" applyFill="1" applyBorder="1" applyAlignment="1">
      <alignment horizontal="right"/>
    </xf>
    <xf numFmtId="167" fontId="2" fillId="4" borderId="4" xfId="0" applyNumberFormat="1" applyFont="1" applyFill="1" applyBorder="1" applyAlignment="1">
      <alignment horizontal="right"/>
    </xf>
    <xf numFmtId="167" fontId="2" fillId="8" borderId="21" xfId="0" applyNumberFormat="1" applyFont="1" applyFill="1" applyBorder="1" applyAlignment="1">
      <alignment horizontal="right"/>
    </xf>
    <xf numFmtId="167" fontId="2" fillId="8" borderId="5" xfId="0" applyNumberFormat="1" applyFont="1" applyFill="1" applyBorder="1" applyAlignment="1">
      <alignment horizontal="right"/>
    </xf>
    <xf numFmtId="0" fontId="2" fillId="0" borderId="14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 applyProtection="1">
      <alignment horizontal="left"/>
      <protection hidden="1"/>
    </xf>
    <xf numFmtId="0" fontId="44" fillId="0" borderId="0" xfId="0" applyFont="1"/>
    <xf numFmtId="0" fontId="2" fillId="0" borderId="40" xfId="0" applyNumberFormat="1" applyFont="1" applyBorder="1" applyAlignment="1">
      <alignment horizontal="left"/>
    </xf>
    <xf numFmtId="0" fontId="2" fillId="0" borderId="41" xfId="0" applyNumberFormat="1" applyFont="1" applyBorder="1" applyAlignment="1">
      <alignment horizontal="left"/>
    </xf>
    <xf numFmtId="165" fontId="2" fillId="0" borderId="41" xfId="0" applyNumberFormat="1" applyFont="1" applyBorder="1" applyAlignment="1">
      <alignment horizontal="right"/>
    </xf>
    <xf numFmtId="165" fontId="2" fillId="0" borderId="42" xfId="0" applyNumberFormat="1" applyFont="1" applyBorder="1" applyAlignment="1">
      <alignment horizontal="right"/>
    </xf>
    <xf numFmtId="0" fontId="2" fillId="4" borderId="6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4" borderId="36" xfId="0" applyNumberFormat="1" applyFont="1" applyFill="1" applyBorder="1" applyAlignment="1">
      <alignment horizontal="center" vertical="center"/>
    </xf>
    <xf numFmtId="0" fontId="2" fillId="4" borderId="39" xfId="0" applyNumberFormat="1" applyFont="1" applyFill="1" applyBorder="1" applyAlignment="1">
      <alignment horizontal="center" vertical="center"/>
    </xf>
    <xf numFmtId="0" fontId="2" fillId="4" borderId="22" xfId="0" applyNumberFormat="1" applyFont="1" applyFill="1" applyBorder="1" applyAlignment="1">
      <alignment horizontal="center" vertical="center"/>
    </xf>
    <xf numFmtId="0" fontId="2" fillId="4" borderId="41" xfId="0" applyNumberFormat="1" applyFont="1" applyFill="1" applyBorder="1" applyAlignment="1">
      <alignment horizontal="center"/>
    </xf>
    <xf numFmtId="0" fontId="2" fillId="4" borderId="42" xfId="0" applyNumberFormat="1" applyFont="1" applyFill="1" applyBorder="1" applyAlignment="1">
      <alignment horizontal="center"/>
    </xf>
    <xf numFmtId="0" fontId="2" fillId="4" borderId="20" xfId="0" applyNumberFormat="1" applyFont="1" applyFill="1" applyBorder="1" applyAlignment="1">
      <alignment horizontal="center"/>
    </xf>
    <xf numFmtId="0" fontId="2" fillId="4" borderId="4" xfId="0" applyNumberFormat="1" applyFont="1" applyFill="1" applyBorder="1" applyAlignment="1">
      <alignment horizontal="center"/>
    </xf>
    <xf numFmtId="0" fontId="2" fillId="4" borderId="37" xfId="0" applyNumberFormat="1" applyFont="1" applyFill="1" applyBorder="1" applyAlignment="1">
      <alignment horizontal="center"/>
    </xf>
    <xf numFmtId="0" fontId="2" fillId="4" borderId="38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left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right"/>
    </xf>
    <xf numFmtId="0" fontId="0" fillId="0" borderId="39" xfId="0" applyBorder="1" applyAlignment="1">
      <alignment horizontal="right"/>
    </xf>
    <xf numFmtId="0" fontId="2" fillId="4" borderId="22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0" borderId="36" xfId="0" applyNumberFormat="1" applyFont="1" applyBorder="1" applyAlignment="1">
      <alignment horizontal="left"/>
    </xf>
    <xf numFmtId="0" fontId="2" fillId="0" borderId="37" xfId="0" applyNumberFormat="1" applyFont="1" applyBorder="1" applyAlignment="1">
      <alignment horizontal="left"/>
    </xf>
    <xf numFmtId="165" fontId="2" fillId="0" borderId="37" xfId="0" applyNumberFormat="1" applyFont="1" applyBorder="1" applyAlignment="1">
      <alignment horizontal="right"/>
    </xf>
    <xf numFmtId="165" fontId="2" fillId="0" borderId="38" xfId="0" applyNumberFormat="1" applyFont="1" applyBorder="1" applyAlignment="1">
      <alignment horizontal="right"/>
    </xf>
    <xf numFmtId="0" fontId="2" fillId="4" borderId="0" xfId="0" applyNumberFormat="1" applyFont="1" applyFill="1" applyAlignment="1">
      <alignment horizontal="center"/>
    </xf>
    <xf numFmtId="0" fontId="2" fillId="4" borderId="36" xfId="0" applyNumberFormat="1" applyFont="1" applyFill="1" applyBorder="1" applyAlignment="1">
      <alignment horizontal="center"/>
    </xf>
    <xf numFmtId="0" fontId="2" fillId="4" borderId="39" xfId="0" applyNumberFormat="1" applyFont="1" applyFill="1" applyBorder="1" applyAlignment="1">
      <alignment horizontal="center"/>
    </xf>
    <xf numFmtId="0" fontId="2" fillId="4" borderId="0" xfId="0" applyNumberFormat="1" applyFont="1" applyFill="1" applyBorder="1" applyAlignment="1">
      <alignment horizontal="center"/>
    </xf>
    <xf numFmtId="0" fontId="2" fillId="4" borderId="21" xfId="0" applyNumberFormat="1" applyFont="1" applyFill="1" applyBorder="1" applyAlignment="1">
      <alignment horizontal="center"/>
    </xf>
    <xf numFmtId="0" fontId="2" fillId="4" borderId="5" xfId="0" applyNumberFormat="1" applyFont="1" applyFill="1" applyBorder="1" applyAlignment="1">
      <alignment horizontal="center"/>
    </xf>
    <xf numFmtId="0" fontId="0" fillId="0" borderId="20" xfId="0" applyBorder="1" applyAlignment="1"/>
    <xf numFmtId="0" fontId="0" fillId="0" borderId="4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2" fillId="4" borderId="20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0" fontId="2" fillId="4" borderId="21" xfId="0" applyNumberFormat="1" applyFont="1" applyFill="1" applyBorder="1" applyAlignment="1">
      <alignment horizontal="center" vertical="center"/>
    </xf>
    <xf numFmtId="0" fontId="2" fillId="4" borderId="37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left"/>
    </xf>
    <xf numFmtId="0" fontId="2" fillId="0" borderId="37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44" fillId="0" borderId="0" xfId="0" applyNumberFormat="1" applyFont="1" applyAlignment="1">
      <alignment horizontal="left"/>
    </xf>
    <xf numFmtId="0" fontId="45" fillId="0" borderId="0" xfId="0" applyNumberFormat="1" applyFont="1" applyAlignment="1">
      <alignment horizontal="left"/>
    </xf>
    <xf numFmtId="0" fontId="44" fillId="0" borderId="0" xfId="0" applyNumberFormat="1" applyFont="1" applyAlignment="1">
      <alignment horizontal="right"/>
    </xf>
    <xf numFmtId="0" fontId="3" fillId="4" borderId="44" xfId="0" applyNumberFormat="1" applyFont="1" applyFill="1" applyBorder="1" applyAlignment="1">
      <alignment horizontal="center"/>
    </xf>
    <xf numFmtId="0" fontId="3" fillId="4" borderId="45" xfId="0" applyNumberFormat="1" applyFont="1" applyFill="1" applyBorder="1" applyAlignment="1">
      <alignment horizontal="center"/>
    </xf>
    <xf numFmtId="167" fontId="2" fillId="0" borderId="44" xfId="0" applyNumberFormat="1" applyFont="1" applyBorder="1" applyAlignment="1">
      <alignment horizontal="right"/>
    </xf>
    <xf numFmtId="167" fontId="2" fillId="0" borderId="45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7" fontId="2" fillId="0" borderId="15" xfId="0" applyNumberFormat="1" applyFont="1" applyBorder="1" applyAlignment="1">
      <alignment horizontal="right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4" borderId="38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3" xfId="3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4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8" fillId="0" borderId="0" xfId="0" applyNumberFormat="1" applyFont="1" applyAlignment="1">
      <alignment horizontal="right"/>
    </xf>
    <xf numFmtId="4" fontId="55" fillId="0" borderId="32" xfId="0" applyNumberFormat="1" applyFont="1" applyFill="1" applyBorder="1" applyAlignment="1">
      <alignment horizontal="right" vertical="center"/>
    </xf>
    <xf numFmtId="4" fontId="55" fillId="0" borderId="25" xfId="0" applyNumberFormat="1" applyFont="1" applyFill="1" applyBorder="1" applyAlignment="1">
      <alignment horizontal="right" vertical="center"/>
    </xf>
    <xf numFmtId="0" fontId="55" fillId="0" borderId="32" xfId="0" applyFont="1" applyFill="1" applyBorder="1" applyAlignment="1">
      <alignment horizontal="right" vertical="center"/>
    </xf>
    <xf numFmtId="0" fontId="55" fillId="0" borderId="29" xfId="0" applyFont="1" applyFill="1" applyBorder="1" applyAlignment="1">
      <alignment horizontal="right" vertical="center"/>
    </xf>
    <xf numFmtId="0" fontId="55" fillId="0" borderId="25" xfId="0" applyFont="1" applyFill="1" applyBorder="1" applyAlignment="1">
      <alignment horizontal="right" vertical="center"/>
    </xf>
    <xf numFmtId="0" fontId="55" fillId="0" borderId="33" xfId="0" applyFont="1" applyFill="1" applyBorder="1" applyAlignment="1">
      <alignment horizontal="right" vertical="center"/>
    </xf>
    <xf numFmtId="0" fontId="55" fillId="0" borderId="0" xfId="0" applyFont="1" applyFill="1" applyAlignment="1">
      <alignment horizontal="right" vertical="center"/>
    </xf>
    <xf numFmtId="0" fontId="55" fillId="0" borderId="28" xfId="0" applyFont="1" applyFill="1" applyBorder="1" applyAlignment="1">
      <alignment horizontal="right" vertical="center"/>
    </xf>
    <xf numFmtId="4" fontId="55" fillId="0" borderId="33" xfId="0" applyNumberFormat="1" applyFont="1" applyFill="1" applyBorder="1" applyAlignment="1">
      <alignment horizontal="right" vertical="center"/>
    </xf>
    <xf numFmtId="4" fontId="55" fillId="0" borderId="28" xfId="0" applyNumberFormat="1" applyFont="1" applyFill="1" applyBorder="1" applyAlignment="1">
      <alignment horizontal="right" vertical="center"/>
    </xf>
    <xf numFmtId="0" fontId="53" fillId="3" borderId="24" xfId="0" applyFont="1" applyFill="1" applyBorder="1" applyAlignment="1">
      <alignment horizontal="center" vertical="center" wrapText="1"/>
    </xf>
    <xf numFmtId="0" fontId="53" fillId="3" borderId="34" xfId="0" applyFont="1" applyFill="1" applyBorder="1" applyAlignment="1">
      <alignment horizontal="center" vertical="center" wrapText="1"/>
    </xf>
    <xf numFmtId="0" fontId="53" fillId="3" borderId="25" xfId="0" applyFont="1" applyFill="1" applyBorder="1" applyAlignment="1">
      <alignment horizontal="center" vertical="center" wrapText="1"/>
    </xf>
    <xf numFmtId="0" fontId="53" fillId="3" borderId="30" xfId="0" applyFont="1" applyFill="1" applyBorder="1" applyAlignment="1">
      <alignment horizontal="center" vertical="center" wrapText="1"/>
    </xf>
    <xf numFmtId="0" fontId="53" fillId="3" borderId="31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vertical="top"/>
    </xf>
    <xf numFmtId="4" fontId="55" fillId="0" borderId="0" xfId="0" applyNumberFormat="1" applyFont="1" applyFill="1" applyAlignment="1">
      <alignment horizontal="right" vertical="center"/>
    </xf>
    <xf numFmtId="4" fontId="55" fillId="0" borderId="24" xfId="0" applyNumberFormat="1" applyFont="1" applyFill="1" applyBorder="1" applyAlignment="1">
      <alignment horizontal="right" vertical="center"/>
    </xf>
    <xf numFmtId="4" fontId="55" fillId="0" borderId="43" xfId="0" applyNumberFormat="1" applyFont="1" applyFill="1" applyBorder="1" applyAlignment="1">
      <alignment horizontal="right" vertical="center"/>
    </xf>
    <xf numFmtId="4" fontId="55" fillId="0" borderId="26" xfId="0" applyNumberFormat="1" applyFont="1" applyFill="1" applyBorder="1" applyAlignment="1">
      <alignment horizontal="right" vertical="center"/>
    </xf>
    <xf numFmtId="0" fontId="55" fillId="0" borderId="34" xfId="0" applyFont="1" applyFill="1" applyBorder="1" applyAlignment="1">
      <alignment horizontal="right" vertical="center"/>
    </xf>
    <xf numFmtId="0" fontId="55" fillId="0" borderId="31" xfId="0" applyFont="1" applyFill="1" applyBorder="1" applyAlignment="1">
      <alignment horizontal="right" vertical="center"/>
    </xf>
    <xf numFmtId="0" fontId="55" fillId="0" borderId="23" xfId="0" applyFont="1" applyFill="1" applyBorder="1" applyAlignment="1">
      <alignment horizontal="right" vertical="center"/>
    </xf>
    <xf numFmtId="4" fontId="55" fillId="5" borderId="24" xfId="0" applyNumberFormat="1" applyFont="1" applyFill="1" applyBorder="1" applyAlignment="1">
      <alignment horizontal="right" vertical="center"/>
    </xf>
    <xf numFmtId="4" fontId="55" fillId="5" borderId="43" xfId="0" applyNumberFormat="1" applyFont="1" applyFill="1" applyBorder="1" applyAlignment="1">
      <alignment horizontal="right" vertical="center"/>
    </xf>
    <xf numFmtId="4" fontId="55" fillId="5" borderId="26" xfId="0" applyNumberFormat="1" applyFont="1" applyFill="1" applyBorder="1" applyAlignment="1">
      <alignment horizontal="right" vertical="center"/>
    </xf>
    <xf numFmtId="4" fontId="55" fillId="0" borderId="34" xfId="0" applyNumberFormat="1" applyFont="1" applyFill="1" applyBorder="1" applyAlignment="1">
      <alignment horizontal="right" vertical="center"/>
    </xf>
    <xf numFmtId="4" fontId="55" fillId="0" borderId="31" xfId="0" applyNumberFormat="1" applyFont="1" applyFill="1" applyBorder="1" applyAlignment="1">
      <alignment horizontal="right" vertical="center"/>
    </xf>
    <xf numFmtId="4" fontId="55" fillId="0" borderId="23" xfId="0" applyNumberFormat="1" applyFont="1" applyFill="1" applyBorder="1" applyAlignment="1">
      <alignment horizontal="right" vertical="center"/>
    </xf>
    <xf numFmtId="4" fontId="55" fillId="0" borderId="29" xfId="0" applyNumberFormat="1" applyFont="1" applyFill="1" applyBorder="1" applyAlignment="1">
      <alignment horizontal="right" vertical="center"/>
    </xf>
    <xf numFmtId="0" fontId="58" fillId="3" borderId="24" xfId="0" applyFont="1" applyFill="1" applyBorder="1" applyAlignment="1">
      <alignment horizontal="center" vertical="center"/>
    </xf>
    <xf numFmtId="0" fontId="58" fillId="3" borderId="34" xfId="0" applyFont="1" applyFill="1" applyBorder="1" applyAlignment="1">
      <alignment horizontal="center" vertical="center"/>
    </xf>
    <xf numFmtId="0" fontId="53" fillId="3" borderId="24" xfId="0" applyFont="1" applyFill="1" applyBorder="1" applyAlignment="1">
      <alignment horizontal="center" vertical="center"/>
    </xf>
    <xf numFmtId="0" fontId="53" fillId="3" borderId="26" xfId="0" applyFont="1" applyFill="1" applyBorder="1" applyAlignment="1">
      <alignment horizontal="center" vertical="center"/>
    </xf>
    <xf numFmtId="0" fontId="53" fillId="3" borderId="43" xfId="0" applyFont="1" applyFill="1" applyBorder="1" applyAlignment="1">
      <alignment horizontal="center" vertical="center"/>
    </xf>
    <xf numFmtId="0" fontId="53" fillId="3" borderId="26" xfId="0" applyFont="1" applyFill="1" applyBorder="1" applyAlignment="1">
      <alignment horizontal="center" vertical="center" wrapText="1"/>
    </xf>
    <xf numFmtId="0" fontId="53" fillId="3" borderId="43" xfId="0" applyFont="1" applyFill="1" applyBorder="1" applyAlignment="1">
      <alignment horizontal="center" vertical="center" wrapText="1"/>
    </xf>
    <xf numFmtId="0" fontId="55" fillId="0" borderId="0" xfId="0" applyFont="1" applyFill="1"/>
    <xf numFmtId="0" fontId="51" fillId="0" borderId="0" xfId="0" applyFont="1" applyFill="1" applyAlignment="1">
      <alignment vertical="top"/>
    </xf>
    <xf numFmtId="0" fontId="49" fillId="0" borderId="23" xfId="0" applyFont="1" applyFill="1" applyBorder="1" applyAlignment="1">
      <alignment vertical="top"/>
    </xf>
    <xf numFmtId="0" fontId="50" fillId="0" borderId="0" xfId="0" applyFont="1" applyFill="1" applyAlignment="1">
      <alignment horizontal="right" vertical="top" wrapText="1"/>
    </xf>
    <xf numFmtId="0" fontId="53" fillId="3" borderId="29" xfId="0" applyFont="1" applyFill="1" applyBorder="1" applyAlignment="1">
      <alignment horizontal="center" vertical="center" wrapText="1"/>
    </xf>
    <xf numFmtId="0" fontId="53" fillId="3" borderId="23" xfId="0" applyFont="1" applyFill="1" applyBorder="1" applyAlignment="1">
      <alignment horizontal="center" vertical="center" wrapText="1"/>
    </xf>
    <xf numFmtId="0" fontId="50" fillId="0" borderId="23" xfId="0" applyFont="1" applyFill="1" applyBorder="1" applyAlignment="1">
      <alignment horizontal="right" vertical="top" wrapText="1"/>
    </xf>
    <xf numFmtId="0" fontId="55" fillId="0" borderId="29" xfId="0" applyFont="1" applyFill="1" applyBorder="1"/>
    <xf numFmtId="0" fontId="2" fillId="0" borderId="14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4" borderId="14" xfId="0" applyNumberFormat="1" applyFont="1" applyFill="1" applyBorder="1" applyAlignment="1">
      <alignment horizontal="left"/>
    </xf>
    <xf numFmtId="0" fontId="2" fillId="4" borderId="10" xfId="0" applyNumberFormat="1" applyFont="1" applyFill="1" applyBorder="1" applyAlignment="1">
      <alignment horizontal="left"/>
    </xf>
    <xf numFmtId="0" fontId="3" fillId="4" borderId="46" xfId="0" applyNumberFormat="1" applyFont="1" applyFill="1" applyBorder="1" applyAlignment="1">
      <alignment horizontal="left"/>
    </xf>
    <xf numFmtId="0" fontId="3" fillId="4" borderId="44" xfId="0" applyNumberFormat="1" applyFont="1" applyFill="1" applyBorder="1" applyAlignment="1">
      <alignment horizontal="left"/>
    </xf>
    <xf numFmtId="0" fontId="2" fillId="4" borderId="46" xfId="0" applyNumberFormat="1" applyFont="1" applyFill="1" applyBorder="1" applyAlignment="1">
      <alignment horizontal="center" vertical="center"/>
    </xf>
    <xf numFmtId="0" fontId="2" fillId="4" borderId="44" xfId="0" applyNumberFormat="1" applyFont="1" applyFill="1" applyBorder="1" applyAlignment="1">
      <alignment horizontal="center" vertical="center"/>
    </xf>
    <xf numFmtId="0" fontId="2" fillId="4" borderId="14" xfId="0" applyNumberFormat="1" applyFont="1" applyFill="1" applyBorder="1" applyAlignment="1">
      <alignment horizontal="center" vertical="center"/>
    </xf>
    <xf numFmtId="0" fontId="2" fillId="4" borderId="10" xfId="0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/>
    </xf>
    <xf numFmtId="0" fontId="55" fillId="0" borderId="29" xfId="0" applyFont="1" applyFill="1" applyBorder="1" applyAlignment="1">
      <alignment vertical="center"/>
    </xf>
    <xf numFmtId="4" fontId="53" fillId="5" borderId="24" xfId="0" applyNumberFormat="1" applyFont="1" applyFill="1" applyBorder="1" applyAlignment="1">
      <alignment horizontal="right" vertical="center"/>
    </xf>
    <xf numFmtId="4" fontId="53" fillId="5" borderId="43" xfId="0" applyNumberFormat="1" applyFont="1" applyFill="1" applyBorder="1" applyAlignment="1">
      <alignment horizontal="right" vertical="center"/>
    </xf>
    <xf numFmtId="4" fontId="53" fillId="5" borderId="26" xfId="0" applyNumberFormat="1" applyFont="1" applyFill="1" applyBorder="1" applyAlignment="1">
      <alignment horizontal="right" vertical="center"/>
    </xf>
    <xf numFmtId="0" fontId="55" fillId="0" borderId="0" xfId="0" applyFont="1" applyFill="1" applyAlignment="1">
      <alignment vertical="top" wrapText="1"/>
    </xf>
    <xf numFmtId="0" fontId="56" fillId="0" borderId="27" xfId="0" applyFont="1" applyFill="1" applyBorder="1" applyAlignment="1">
      <alignment vertical="top"/>
    </xf>
    <xf numFmtId="4" fontId="57" fillId="0" borderId="24" xfId="0" applyNumberFormat="1" applyFont="1" applyFill="1" applyBorder="1" applyAlignment="1">
      <alignment horizontal="right" vertical="center"/>
    </xf>
    <xf numFmtId="4" fontId="57" fillId="0" borderId="26" xfId="0" applyNumberFormat="1" applyFont="1" applyFill="1" applyBorder="1" applyAlignment="1">
      <alignment horizontal="right" vertical="center"/>
    </xf>
    <xf numFmtId="4" fontId="57" fillId="0" borderId="43" xfId="0" applyNumberFormat="1" applyFont="1" applyFill="1" applyBorder="1" applyAlignment="1">
      <alignment horizontal="right" vertical="center"/>
    </xf>
    <xf numFmtId="0" fontId="52" fillId="3" borderId="24" xfId="0" applyFont="1" applyFill="1" applyBorder="1" applyAlignment="1">
      <alignment horizontal="center" vertical="center"/>
    </xf>
    <xf numFmtId="0" fontId="52" fillId="3" borderId="26" xfId="0" applyFont="1" applyFill="1" applyBorder="1" applyAlignment="1">
      <alignment horizontal="center" vertical="center"/>
    </xf>
    <xf numFmtId="0" fontId="52" fillId="3" borderId="43" xfId="0" applyFont="1" applyFill="1" applyBorder="1" applyAlignment="1">
      <alignment horizontal="center" vertical="center"/>
    </xf>
    <xf numFmtId="0" fontId="56" fillId="0" borderId="0" xfId="0" applyFont="1" applyFill="1" applyAlignment="1">
      <alignment vertical="top"/>
    </xf>
    <xf numFmtId="0" fontId="56" fillId="0" borderId="26" xfId="0" applyFont="1" applyFill="1" applyBorder="1" applyAlignment="1">
      <alignment vertical="top"/>
    </xf>
    <xf numFmtId="0" fontId="56" fillId="0" borderId="29" xfId="0" applyFont="1" applyFill="1" applyBorder="1" applyAlignment="1">
      <alignment vertical="top"/>
    </xf>
    <xf numFmtId="4" fontId="53" fillId="0" borderId="33" xfId="0" applyNumberFormat="1" applyFont="1" applyFill="1" applyBorder="1" applyAlignment="1">
      <alignment horizontal="right" vertical="center"/>
    </xf>
    <xf numFmtId="4" fontId="53" fillId="0" borderId="28" xfId="0" applyNumberFormat="1" applyFont="1" applyFill="1" applyBorder="1" applyAlignment="1">
      <alignment horizontal="right" vertical="center"/>
    </xf>
    <xf numFmtId="4" fontId="53" fillId="0" borderId="0" xfId="0" applyNumberFormat="1" applyFont="1" applyFill="1" applyAlignment="1">
      <alignment horizontal="right" vertical="center"/>
    </xf>
    <xf numFmtId="4" fontId="53" fillId="0" borderId="32" xfId="0" applyNumberFormat="1" applyFont="1" applyFill="1" applyBorder="1" applyAlignment="1">
      <alignment horizontal="right" vertical="center"/>
    </xf>
    <xf numFmtId="4" fontId="53" fillId="0" borderId="25" xfId="0" applyNumberFormat="1" applyFont="1" applyFill="1" applyBorder="1" applyAlignment="1">
      <alignment horizontal="right" vertical="center"/>
    </xf>
    <xf numFmtId="4" fontId="53" fillId="0" borderId="29" xfId="0" applyNumberFormat="1" applyFont="1" applyFill="1" applyBorder="1" applyAlignment="1">
      <alignment horizontal="right" vertical="center"/>
    </xf>
    <xf numFmtId="0" fontId="53" fillId="5" borderId="24" xfId="0" applyFont="1" applyFill="1" applyBorder="1" applyAlignment="1">
      <alignment horizontal="right" vertical="center"/>
    </xf>
    <xf numFmtId="0" fontId="53" fillId="5" borderId="26" xfId="0" applyFont="1" applyFill="1" applyBorder="1" applyAlignment="1">
      <alignment horizontal="right" vertical="center"/>
    </xf>
    <xf numFmtId="0" fontId="53" fillId="5" borderId="43" xfId="0" applyFont="1" applyFill="1" applyBorder="1" applyAlignment="1">
      <alignment horizontal="right" vertical="center"/>
    </xf>
    <xf numFmtId="0" fontId="53" fillId="0" borderId="33" xfId="0" applyFont="1" applyFill="1" applyBorder="1" applyAlignment="1">
      <alignment horizontal="right" vertical="center"/>
    </xf>
    <xf numFmtId="0" fontId="53" fillId="0" borderId="0" xfId="0" applyFont="1" applyFill="1" applyAlignment="1">
      <alignment horizontal="right" vertical="center"/>
    </xf>
    <xf numFmtId="0" fontId="53" fillId="0" borderId="28" xfId="0" applyFont="1" applyFill="1" applyBorder="1" applyAlignment="1">
      <alignment horizontal="right" vertical="center"/>
    </xf>
    <xf numFmtId="0" fontId="53" fillId="0" borderId="32" xfId="0" applyFont="1" applyFill="1" applyBorder="1" applyAlignment="1">
      <alignment horizontal="right" vertical="center"/>
    </xf>
    <xf numFmtId="0" fontId="53" fillId="0" borderId="29" xfId="0" applyFont="1" applyFill="1" applyBorder="1" applyAlignment="1">
      <alignment horizontal="right" vertical="center"/>
    </xf>
    <xf numFmtId="0" fontId="53" fillId="0" borderId="25" xfId="0" applyFont="1" applyFill="1" applyBorder="1" applyAlignment="1">
      <alignment horizontal="right" vertical="center"/>
    </xf>
    <xf numFmtId="0" fontId="55" fillId="0" borderId="33" xfId="0" applyFont="1" applyFill="1" applyBorder="1" applyAlignment="1">
      <alignment vertical="center" wrapText="1"/>
    </xf>
    <xf numFmtId="0" fontId="55" fillId="0" borderId="28" xfId="0" applyFont="1" applyFill="1" applyBorder="1" applyAlignment="1">
      <alignment vertical="center" wrapText="1"/>
    </xf>
    <xf numFmtId="0" fontId="55" fillId="0" borderId="34" xfId="0" applyFont="1" applyFill="1" applyBorder="1" applyAlignment="1">
      <alignment vertical="center" wrapText="1"/>
    </xf>
    <xf numFmtId="0" fontId="55" fillId="0" borderId="31" xfId="0" applyFont="1" applyFill="1" applyBorder="1" applyAlignment="1">
      <alignment vertical="center" wrapText="1"/>
    </xf>
    <xf numFmtId="0" fontId="53" fillId="3" borderId="24" xfId="0" applyFont="1" applyFill="1" applyBorder="1" applyAlignment="1">
      <alignment vertical="center" wrapText="1"/>
    </xf>
    <xf numFmtId="0" fontId="53" fillId="3" borderId="43" xfId="0" applyFont="1" applyFill="1" applyBorder="1" applyAlignment="1">
      <alignment vertical="center" wrapText="1"/>
    </xf>
    <xf numFmtId="168" fontId="55" fillId="0" borderId="33" xfId="0" applyNumberFormat="1" applyFont="1" applyFill="1" applyBorder="1" applyAlignment="1">
      <alignment horizontal="right" vertical="center"/>
    </xf>
    <xf numFmtId="168" fontId="55" fillId="0" borderId="0" xfId="0" applyNumberFormat="1" applyFont="1" applyFill="1" applyAlignment="1">
      <alignment horizontal="right" vertical="center"/>
    </xf>
    <xf numFmtId="168" fontId="55" fillId="0" borderId="28" xfId="0" applyNumberFormat="1" applyFont="1" applyFill="1" applyBorder="1" applyAlignment="1">
      <alignment horizontal="right" vertical="center"/>
    </xf>
    <xf numFmtId="0" fontId="55" fillId="0" borderId="32" xfId="0" applyFont="1" applyFill="1" applyBorder="1" applyAlignment="1">
      <alignment vertical="center" wrapText="1"/>
    </xf>
    <xf numFmtId="0" fontId="55" fillId="0" borderId="25" xfId="0" applyFont="1" applyFill="1" applyBorder="1" applyAlignment="1">
      <alignment vertical="center" wrapText="1"/>
    </xf>
    <xf numFmtId="168" fontId="55" fillId="0" borderId="34" xfId="0" applyNumberFormat="1" applyFont="1" applyFill="1" applyBorder="1" applyAlignment="1">
      <alignment horizontal="right" vertical="center"/>
    </xf>
    <xf numFmtId="168" fontId="55" fillId="0" borderId="23" xfId="0" applyNumberFormat="1" applyFont="1" applyFill="1" applyBorder="1" applyAlignment="1">
      <alignment horizontal="right" vertical="center"/>
    </xf>
    <xf numFmtId="168" fontId="55" fillId="0" borderId="31" xfId="0" applyNumberFormat="1" applyFont="1" applyFill="1" applyBorder="1" applyAlignment="1">
      <alignment horizontal="right" vertical="center"/>
    </xf>
    <xf numFmtId="0" fontId="53" fillId="3" borderId="34" xfId="0" applyFont="1" applyFill="1" applyBorder="1" applyAlignment="1">
      <alignment horizontal="center" vertical="center"/>
    </xf>
    <xf numFmtId="0" fontId="53" fillId="3" borderId="23" xfId="0" applyFont="1" applyFill="1" applyBorder="1" applyAlignment="1">
      <alignment horizontal="center" vertical="center"/>
    </xf>
    <xf numFmtId="0" fontId="53" fillId="3" borderId="31" xfId="0" applyFont="1" applyFill="1" applyBorder="1" applyAlignment="1">
      <alignment horizontal="center" vertical="center"/>
    </xf>
    <xf numFmtId="168" fontId="55" fillId="0" borderId="32" xfId="0" applyNumberFormat="1" applyFont="1" applyFill="1" applyBorder="1" applyAlignment="1">
      <alignment horizontal="right" vertical="center"/>
    </xf>
    <xf numFmtId="168" fontId="55" fillId="0" borderId="29" xfId="0" applyNumberFormat="1" applyFont="1" applyFill="1" applyBorder="1" applyAlignment="1">
      <alignment horizontal="right" vertical="center"/>
    </xf>
    <xf numFmtId="168" fontId="55" fillId="0" borderId="25" xfId="0" applyNumberFormat="1" applyFont="1" applyFill="1" applyBorder="1" applyAlignment="1">
      <alignment horizontal="right" vertical="center"/>
    </xf>
    <xf numFmtId="0" fontId="56" fillId="0" borderId="24" xfId="0" applyFont="1" applyFill="1" applyBorder="1" applyAlignment="1">
      <alignment vertical="top"/>
    </xf>
    <xf numFmtId="0" fontId="56" fillId="0" borderId="43" xfId="0" applyFont="1" applyFill="1" applyBorder="1" applyAlignment="1">
      <alignment vertical="top"/>
    </xf>
    <xf numFmtId="0" fontId="53" fillId="3" borderId="25" xfId="0" applyFont="1" applyFill="1" applyBorder="1" applyAlignment="1">
      <alignment horizontal="center" vertical="center"/>
    </xf>
    <xf numFmtId="0" fontId="53" fillId="3" borderId="27" xfId="0" applyFont="1" applyFill="1" applyBorder="1" applyAlignment="1">
      <alignment horizontal="center" vertical="center"/>
    </xf>
    <xf numFmtId="0" fontId="53" fillId="3" borderId="28" xfId="0" applyFont="1" applyFill="1" applyBorder="1" applyAlignment="1">
      <alignment horizontal="center" vertical="center"/>
    </xf>
    <xf numFmtId="0" fontId="53" fillId="3" borderId="30" xfId="0" applyFont="1" applyFill="1" applyBorder="1" applyAlignment="1">
      <alignment horizontal="center" vertical="center"/>
    </xf>
    <xf numFmtId="0" fontId="53" fillId="3" borderId="32" xfId="0" applyFont="1" applyFill="1" applyBorder="1" applyAlignment="1">
      <alignment horizontal="center" vertical="center"/>
    </xf>
    <xf numFmtId="0" fontId="53" fillId="3" borderId="29" xfId="0" applyFont="1" applyFill="1" applyBorder="1" applyAlignment="1">
      <alignment horizontal="center" vertical="center"/>
    </xf>
    <xf numFmtId="0" fontId="55" fillId="0" borderId="24" xfId="0" applyFont="1" applyFill="1" applyBorder="1" applyAlignment="1">
      <alignment vertical="center" wrapText="1"/>
    </xf>
    <xf numFmtId="0" fontId="55" fillId="0" borderId="43" xfId="0" applyFont="1" applyFill="1" applyBorder="1" applyAlignment="1">
      <alignment vertical="center" wrapText="1"/>
    </xf>
    <xf numFmtId="168" fontId="55" fillId="0" borderId="24" xfId="0" applyNumberFormat="1" applyFont="1" applyFill="1" applyBorder="1" applyAlignment="1">
      <alignment horizontal="right" vertical="center"/>
    </xf>
    <xf numFmtId="168" fontId="55" fillId="0" borderId="26" xfId="0" applyNumberFormat="1" applyFont="1" applyFill="1" applyBorder="1" applyAlignment="1">
      <alignment horizontal="right" vertical="center"/>
    </xf>
    <xf numFmtId="168" fontId="55" fillId="0" borderId="43" xfId="0" applyNumberFormat="1" applyFont="1" applyFill="1" applyBorder="1" applyAlignment="1">
      <alignment horizontal="right" vertical="center"/>
    </xf>
    <xf numFmtId="0" fontId="55" fillId="3" borderId="24" xfId="0" applyFont="1" applyFill="1" applyBorder="1" applyAlignment="1">
      <alignment horizontal="center" vertical="center"/>
    </xf>
    <xf numFmtId="0" fontId="55" fillId="3" borderId="26" xfId="0" applyFont="1" applyFill="1" applyBorder="1" applyAlignment="1">
      <alignment horizontal="center" vertical="center"/>
    </xf>
    <xf numFmtId="0" fontId="55" fillId="3" borderId="43" xfId="0" applyFont="1" applyFill="1" applyBorder="1" applyAlignment="1">
      <alignment horizontal="center" vertical="center"/>
    </xf>
    <xf numFmtId="0" fontId="55" fillId="0" borderId="24" xfId="0" applyFont="1" applyFill="1" applyBorder="1" applyAlignment="1">
      <alignment horizontal="right" vertical="center"/>
    </xf>
    <xf numFmtId="0" fontId="55" fillId="0" borderId="26" xfId="0" applyFont="1" applyFill="1" applyBorder="1" applyAlignment="1">
      <alignment horizontal="right" vertical="center"/>
    </xf>
    <xf numFmtId="0" fontId="55" fillId="0" borderId="43" xfId="0" applyFont="1" applyFill="1" applyBorder="1" applyAlignment="1">
      <alignment horizontal="right" vertical="center"/>
    </xf>
    <xf numFmtId="0" fontId="55" fillId="3" borderId="24" xfId="0" applyFont="1" applyFill="1" applyBorder="1" applyAlignment="1">
      <alignment horizontal="right" vertical="center"/>
    </xf>
    <xf numFmtId="0" fontId="55" fillId="3" borderId="26" xfId="0" applyFont="1" applyFill="1" applyBorder="1" applyAlignment="1">
      <alignment horizontal="right" vertical="center"/>
    </xf>
    <xf numFmtId="0" fontId="55" fillId="3" borderId="43" xfId="0" applyFont="1" applyFill="1" applyBorder="1" applyAlignment="1">
      <alignment horizontal="right" vertical="center"/>
    </xf>
    <xf numFmtId="0" fontId="55" fillId="0" borderId="33" xfId="0" applyFont="1" applyFill="1" applyBorder="1" applyAlignment="1">
      <alignment vertical="center"/>
    </xf>
    <xf numFmtId="0" fontId="55" fillId="0" borderId="28" xfId="0" applyFont="1" applyFill="1" applyBorder="1" applyAlignment="1">
      <alignment vertical="center"/>
    </xf>
    <xf numFmtId="0" fontId="55" fillId="0" borderId="27" xfId="0" applyFont="1" applyFill="1" applyBorder="1" applyAlignment="1">
      <alignment horizontal="right" vertical="center"/>
    </xf>
    <xf numFmtId="0" fontId="55" fillId="0" borderId="35" xfId="0" applyFont="1" applyFill="1" applyBorder="1" applyAlignment="1">
      <alignment horizontal="right" vertical="center"/>
    </xf>
    <xf numFmtId="0" fontId="55" fillId="3" borderId="34" xfId="0" applyFont="1" applyFill="1" applyBorder="1" applyAlignment="1">
      <alignment horizontal="center" vertical="center" wrapText="1"/>
    </xf>
    <xf numFmtId="0" fontId="55" fillId="3" borderId="31" xfId="0" applyFont="1" applyFill="1" applyBorder="1" applyAlignment="1">
      <alignment horizontal="center" vertical="center" wrapText="1"/>
    </xf>
    <xf numFmtId="0" fontId="55" fillId="0" borderId="32" xfId="0" applyFont="1" applyFill="1" applyBorder="1" applyAlignment="1">
      <alignment vertical="center"/>
    </xf>
    <xf numFmtId="0" fontId="55" fillId="0" borderId="25" xfId="0" applyFont="1" applyFill="1" applyBorder="1" applyAlignment="1">
      <alignment vertical="center"/>
    </xf>
    <xf numFmtId="0" fontId="55" fillId="3" borderId="24" xfId="0" applyFont="1" applyFill="1" applyBorder="1" applyAlignment="1">
      <alignment horizontal="center" vertical="center" wrapText="1"/>
    </xf>
    <xf numFmtId="0" fontId="55" fillId="3" borderId="33" xfId="0" applyFont="1" applyFill="1" applyBorder="1" applyAlignment="1">
      <alignment horizontal="center" vertical="center" wrapText="1"/>
    </xf>
    <xf numFmtId="0" fontId="55" fillId="3" borderId="25" xfId="0" applyFont="1" applyFill="1" applyBorder="1" applyAlignment="1">
      <alignment horizontal="center" vertical="center" wrapText="1"/>
    </xf>
    <xf numFmtId="0" fontId="55" fillId="3" borderId="27" xfId="0" applyFont="1" applyFill="1" applyBorder="1" applyAlignment="1">
      <alignment horizontal="center" vertical="center" wrapText="1"/>
    </xf>
    <xf numFmtId="0" fontId="55" fillId="3" borderId="28" xfId="0" applyFont="1" applyFill="1" applyBorder="1" applyAlignment="1">
      <alignment horizontal="center" vertical="center" wrapText="1"/>
    </xf>
    <xf numFmtId="0" fontId="55" fillId="3" borderId="30" xfId="0" applyFont="1" applyFill="1" applyBorder="1" applyAlignment="1">
      <alignment horizontal="center" vertical="center" wrapText="1"/>
    </xf>
    <xf numFmtId="0" fontId="55" fillId="3" borderId="32" xfId="0" applyFont="1" applyFill="1" applyBorder="1" applyAlignment="1">
      <alignment horizontal="center" vertical="center" wrapText="1"/>
    </xf>
    <xf numFmtId="0" fontId="55" fillId="3" borderId="26" xfId="0" applyFont="1" applyFill="1" applyBorder="1" applyAlignment="1">
      <alignment horizontal="center" vertical="center" wrapText="1"/>
    </xf>
    <xf numFmtId="0" fontId="55" fillId="3" borderId="43" xfId="0" applyFont="1" applyFill="1" applyBorder="1" applyAlignment="1">
      <alignment horizontal="center" vertical="center" wrapText="1"/>
    </xf>
    <xf numFmtId="0" fontId="55" fillId="0" borderId="34" xfId="0" applyFont="1" applyFill="1" applyBorder="1" applyAlignment="1">
      <alignment vertical="center"/>
    </xf>
    <xf numFmtId="0" fontId="55" fillId="0" borderId="31" xfId="0" applyFont="1" applyFill="1" applyBorder="1" applyAlignment="1">
      <alignment vertical="center"/>
    </xf>
    <xf numFmtId="0" fontId="55" fillId="3" borderId="24" xfId="0" applyFont="1" applyFill="1" applyBorder="1" applyAlignment="1">
      <alignment vertical="center"/>
    </xf>
    <xf numFmtId="0" fontId="55" fillId="3" borderId="43" xfId="0" applyFont="1" applyFill="1" applyBorder="1" applyAlignment="1">
      <alignment vertical="center"/>
    </xf>
    <xf numFmtId="0" fontId="55" fillId="3" borderId="32" xfId="0" applyFont="1" applyFill="1" applyBorder="1" applyAlignment="1">
      <alignment horizontal="center" vertical="center"/>
    </xf>
    <xf numFmtId="0" fontId="55" fillId="3" borderId="29" xfId="0" applyFont="1" applyFill="1" applyBorder="1" applyAlignment="1">
      <alignment horizontal="center" vertical="center"/>
    </xf>
    <xf numFmtId="0" fontId="55" fillId="3" borderId="25" xfId="0" applyFont="1" applyFill="1" applyBorder="1" applyAlignment="1">
      <alignment horizontal="center" vertical="center"/>
    </xf>
    <xf numFmtId="0" fontId="55" fillId="3" borderId="34" xfId="0" applyFont="1" applyFill="1" applyBorder="1" applyAlignment="1">
      <alignment horizontal="center" vertical="center"/>
    </xf>
    <xf numFmtId="0" fontId="55" fillId="3" borderId="23" xfId="0" applyFont="1" applyFill="1" applyBorder="1" applyAlignment="1">
      <alignment horizontal="center" vertical="center"/>
    </xf>
    <xf numFmtId="0" fontId="55" fillId="3" borderId="31" xfId="0" applyFont="1" applyFill="1" applyBorder="1" applyAlignment="1">
      <alignment horizontal="center" vertical="center"/>
    </xf>
    <xf numFmtId="0" fontId="50" fillId="0" borderId="0" xfId="0" applyFont="1" applyFill="1" applyAlignment="1">
      <alignment horizontal="right" vertical="top"/>
    </xf>
    <xf numFmtId="0" fontId="55" fillId="0" borderId="30" xfId="0" applyFont="1" applyFill="1" applyBorder="1" applyAlignment="1">
      <alignment horizontal="right" vertical="center"/>
    </xf>
    <xf numFmtId="0" fontId="53" fillId="3" borderId="24" xfId="0" applyFont="1" applyFill="1" applyBorder="1" applyAlignment="1">
      <alignment horizontal="right" vertical="center"/>
    </xf>
    <xf numFmtId="0" fontId="53" fillId="3" borderId="26" xfId="0" applyFont="1" applyFill="1" applyBorder="1" applyAlignment="1">
      <alignment horizontal="right" vertical="center"/>
    </xf>
    <xf numFmtId="0" fontId="53" fillId="3" borderId="43" xfId="0" applyFont="1" applyFill="1" applyBorder="1" applyAlignment="1">
      <alignment horizontal="right" vertical="center"/>
    </xf>
    <xf numFmtId="0" fontId="54" fillId="0" borderId="24" xfId="0" applyFont="1" applyFill="1" applyBorder="1" applyAlignment="1">
      <alignment horizontal="right" vertical="center" wrapText="1"/>
    </xf>
    <xf numFmtId="0" fontId="54" fillId="0" borderId="26" xfId="0" applyFont="1" applyFill="1" applyBorder="1" applyAlignment="1">
      <alignment horizontal="right" vertical="center" wrapText="1"/>
    </xf>
    <xf numFmtId="0" fontId="54" fillId="0" borderId="43" xfId="0" applyFont="1" applyFill="1" applyBorder="1" applyAlignment="1">
      <alignment horizontal="right" vertical="center" wrapText="1"/>
    </xf>
    <xf numFmtId="0" fontId="54" fillId="0" borderId="32" xfId="0" applyFont="1" applyFill="1" applyBorder="1" applyAlignment="1">
      <alignment horizontal="right" vertical="center" wrapText="1"/>
    </xf>
    <xf numFmtId="0" fontId="54" fillId="0" borderId="29" xfId="0" applyFont="1" applyFill="1" applyBorder="1" applyAlignment="1">
      <alignment horizontal="right" vertical="center" wrapText="1"/>
    </xf>
    <xf numFmtId="0" fontId="54" fillId="0" borderId="25" xfId="0" applyFont="1" applyFill="1" applyBorder="1" applyAlignment="1">
      <alignment horizontal="right" vertical="center" wrapText="1"/>
    </xf>
    <xf numFmtId="0" fontId="54" fillId="0" borderId="33" xfId="0" applyFont="1" applyFill="1" applyBorder="1" applyAlignment="1">
      <alignment horizontal="right" vertical="center" wrapText="1"/>
    </xf>
    <xf numFmtId="0" fontId="54" fillId="0" borderId="0" xfId="0" applyFont="1" applyFill="1" applyAlignment="1">
      <alignment horizontal="right" vertical="center" wrapText="1"/>
    </xf>
    <xf numFmtId="0" fontId="54" fillId="0" borderId="28" xfId="0" applyFont="1" applyFill="1" applyBorder="1" applyAlignment="1">
      <alignment horizontal="right" vertical="center" wrapText="1"/>
    </xf>
    <xf numFmtId="0" fontId="56" fillId="0" borderId="23" xfId="0" applyFont="1" applyFill="1" applyBorder="1" applyAlignment="1">
      <alignment vertical="top"/>
    </xf>
    <xf numFmtId="0" fontId="53" fillId="3" borderId="24" xfId="0" applyFont="1" applyFill="1" applyBorder="1" applyAlignment="1">
      <alignment vertical="center"/>
    </xf>
    <xf numFmtId="0" fontId="53" fillId="3" borderId="26" xfId="0" applyFont="1" applyFill="1" applyBorder="1" applyAlignment="1">
      <alignment vertical="center"/>
    </xf>
    <xf numFmtId="0" fontId="53" fillId="3" borderId="43" xfId="0" applyFont="1" applyFill="1" applyBorder="1" applyAlignment="1">
      <alignment vertical="center"/>
    </xf>
    <xf numFmtId="0" fontId="54" fillId="3" borderId="24" xfId="0" applyFont="1" applyFill="1" applyBorder="1" applyAlignment="1">
      <alignment horizontal="right" vertical="center"/>
    </xf>
    <xf numFmtId="0" fontId="54" fillId="3" borderId="26" xfId="0" applyFont="1" applyFill="1" applyBorder="1" applyAlignment="1">
      <alignment horizontal="right" vertical="center"/>
    </xf>
    <xf numFmtId="0" fontId="54" fillId="3" borderId="43" xfId="0" applyFont="1" applyFill="1" applyBorder="1" applyAlignment="1">
      <alignment horizontal="right" vertical="center"/>
    </xf>
    <xf numFmtId="0" fontId="54" fillId="0" borderId="32" xfId="0" applyFont="1" applyFill="1" applyBorder="1" applyAlignment="1">
      <alignment vertical="center"/>
    </xf>
    <xf numFmtId="0" fontId="54" fillId="0" borderId="29" xfId="0" applyFont="1" applyFill="1" applyBorder="1" applyAlignment="1">
      <alignment vertical="center"/>
    </xf>
    <xf numFmtId="0" fontId="54" fillId="0" borderId="25" xfId="0" applyFont="1" applyFill="1" applyBorder="1" applyAlignment="1">
      <alignment vertical="center"/>
    </xf>
    <xf numFmtId="0" fontId="54" fillId="0" borderId="33" xfId="0" applyFont="1" applyFill="1" applyBorder="1" applyAlignment="1">
      <alignment horizontal="right" vertical="center"/>
    </xf>
    <xf numFmtId="0" fontId="54" fillId="0" borderId="0" xfId="0" applyFont="1" applyFill="1" applyAlignment="1">
      <alignment horizontal="right" vertical="center"/>
    </xf>
    <xf numFmtId="0" fontId="54" fillId="0" borderId="28" xfId="0" applyFont="1" applyFill="1" applyBorder="1" applyAlignment="1">
      <alignment horizontal="right" vertical="center"/>
    </xf>
    <xf numFmtId="0" fontId="54" fillId="0" borderId="34" xfId="0" applyFont="1" applyFill="1" applyBorder="1" applyAlignment="1">
      <alignment vertical="center"/>
    </xf>
    <xf numFmtId="0" fontId="54" fillId="0" borderId="31" xfId="0" applyFont="1" applyFill="1" applyBorder="1" applyAlignment="1">
      <alignment vertical="center"/>
    </xf>
    <xf numFmtId="0" fontId="54" fillId="0" borderId="34" xfId="0" applyFont="1" applyFill="1" applyBorder="1" applyAlignment="1">
      <alignment horizontal="right" vertical="center"/>
    </xf>
    <xf numFmtId="0" fontId="54" fillId="0" borderId="31" xfId="0" applyFont="1" applyFill="1" applyBorder="1" applyAlignment="1">
      <alignment horizontal="right" vertical="center"/>
    </xf>
    <xf numFmtId="0" fontId="54" fillId="0" borderId="23" xfId="0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vertical="center" wrapText="1"/>
    </xf>
    <xf numFmtId="0" fontId="54" fillId="0" borderId="0" xfId="0" applyFont="1" applyFill="1" applyAlignment="1">
      <alignment vertical="center" wrapText="1"/>
    </xf>
    <xf numFmtId="0" fontId="54" fillId="0" borderId="28" xfId="0" applyFont="1" applyFill="1" applyBorder="1" applyAlignment="1">
      <alignment vertical="center" wrapText="1"/>
    </xf>
    <xf numFmtId="0" fontId="54" fillId="0" borderId="33" xfId="0" applyFont="1" applyFill="1" applyBorder="1" applyAlignment="1">
      <alignment vertical="center"/>
    </xf>
    <xf numFmtId="0" fontId="54" fillId="0" borderId="28" xfId="0" applyFont="1" applyFill="1" applyBorder="1" applyAlignment="1">
      <alignment vertical="center"/>
    </xf>
    <xf numFmtId="0" fontId="58" fillId="3" borderId="26" xfId="0" applyFont="1" applyFill="1" applyBorder="1" applyAlignment="1">
      <alignment horizontal="center" vertical="center"/>
    </xf>
    <xf numFmtId="0" fontId="58" fillId="3" borderId="43" xfId="0" applyFont="1" applyFill="1" applyBorder="1" applyAlignment="1">
      <alignment horizontal="center" vertical="center"/>
    </xf>
    <xf numFmtId="0" fontId="54" fillId="0" borderId="32" xfId="0" applyFont="1" applyFill="1" applyBorder="1" applyAlignment="1">
      <alignment horizontal="right" vertical="center"/>
    </xf>
    <xf numFmtId="0" fontId="54" fillId="0" borderId="29" xfId="0" applyFont="1" applyFill="1" applyBorder="1" applyAlignment="1">
      <alignment horizontal="right" vertical="center"/>
    </xf>
    <xf numFmtId="0" fontId="54" fillId="0" borderId="25" xfId="0" applyFont="1" applyFill="1" applyBorder="1" applyAlignment="1">
      <alignment horizontal="right" vertical="center"/>
    </xf>
    <xf numFmtId="0" fontId="54" fillId="0" borderId="0" xfId="0" applyFont="1" applyFill="1" applyAlignment="1">
      <alignment vertical="center"/>
    </xf>
    <xf numFmtId="0" fontId="54" fillId="6" borderId="24" xfId="0" applyFont="1" applyFill="1" applyBorder="1" applyAlignment="1">
      <alignment vertical="center"/>
    </xf>
    <xf numFmtId="0" fontId="54" fillId="6" borderId="26" xfId="0" applyFont="1" applyFill="1" applyBorder="1" applyAlignment="1">
      <alignment vertical="center"/>
    </xf>
    <xf numFmtId="0" fontId="54" fillId="6" borderId="43" xfId="0" applyFont="1" applyFill="1" applyBorder="1" applyAlignment="1">
      <alignment vertical="center"/>
    </xf>
    <xf numFmtId="0" fontId="54" fillId="6" borderId="24" xfId="0" applyFont="1" applyFill="1" applyBorder="1" applyAlignment="1">
      <alignment horizontal="right" vertical="center"/>
    </xf>
    <xf numFmtId="0" fontId="54" fillId="6" borderId="26" xfId="0" applyFont="1" applyFill="1" applyBorder="1" applyAlignment="1">
      <alignment horizontal="right" vertical="center"/>
    </xf>
    <xf numFmtId="0" fontId="54" fillId="6" borderId="43" xfId="0" applyFont="1" applyFill="1" applyBorder="1" applyAlignment="1">
      <alignment horizontal="right" vertical="center"/>
    </xf>
    <xf numFmtId="0" fontId="58" fillId="3" borderId="24" xfId="0" applyFont="1" applyFill="1" applyBorder="1" applyAlignment="1">
      <alignment horizontal="center" vertical="center" wrapText="1"/>
    </xf>
    <xf numFmtId="0" fontId="58" fillId="3" borderId="29" xfId="0" applyFont="1" applyFill="1" applyBorder="1" applyAlignment="1">
      <alignment horizontal="center" vertical="center" wrapText="1"/>
    </xf>
    <xf numFmtId="0" fontId="58" fillId="3" borderId="25" xfId="0" applyFont="1" applyFill="1" applyBorder="1" applyAlignment="1">
      <alignment horizontal="center" vertical="center" wrapText="1"/>
    </xf>
    <xf numFmtId="0" fontId="58" fillId="3" borderId="30" xfId="0" applyFont="1" applyFill="1" applyBorder="1" applyAlignment="1">
      <alignment horizontal="center" vertical="center" wrapText="1"/>
    </xf>
    <xf numFmtId="0" fontId="58" fillId="3" borderId="23" xfId="0" applyFont="1" applyFill="1" applyBorder="1" applyAlignment="1">
      <alignment horizontal="center" vertical="center" wrapText="1"/>
    </xf>
    <xf numFmtId="0" fontId="58" fillId="3" borderId="31" xfId="0" applyFont="1" applyFill="1" applyBorder="1" applyAlignment="1">
      <alignment horizontal="center" vertical="center" wrapText="1"/>
    </xf>
    <xf numFmtId="0" fontId="54" fillId="7" borderId="24" xfId="0" applyFont="1" applyFill="1" applyBorder="1" applyAlignment="1">
      <alignment vertical="center"/>
    </xf>
    <xf numFmtId="0" fontId="54" fillId="7" borderId="26" xfId="0" applyFont="1" applyFill="1" applyBorder="1" applyAlignment="1">
      <alignment vertical="center"/>
    </xf>
    <xf numFmtId="0" fontId="54" fillId="7" borderId="43" xfId="0" applyFont="1" applyFill="1" applyBorder="1" applyAlignment="1">
      <alignment vertical="center"/>
    </xf>
    <xf numFmtId="0" fontId="54" fillId="7" borderId="24" xfId="0" applyFont="1" applyFill="1" applyBorder="1" applyAlignment="1">
      <alignment horizontal="right" vertical="center"/>
    </xf>
    <xf numFmtId="0" fontId="54" fillId="7" borderId="26" xfId="0" applyFont="1" applyFill="1" applyBorder="1" applyAlignment="1">
      <alignment horizontal="right" vertical="center"/>
    </xf>
    <xf numFmtId="0" fontId="54" fillId="7" borderId="43" xfId="0" applyFont="1" applyFill="1" applyBorder="1" applyAlignment="1">
      <alignment horizontal="right" vertical="center"/>
    </xf>
    <xf numFmtId="0" fontId="54" fillId="0" borderId="34" xfId="0" applyFont="1" applyFill="1" applyBorder="1" applyAlignment="1">
      <alignment vertical="center" wrapText="1"/>
    </xf>
    <xf numFmtId="0" fontId="54" fillId="0" borderId="23" xfId="0" applyFont="1" applyFill="1" applyBorder="1" applyAlignment="1">
      <alignment vertical="center" wrapText="1"/>
    </xf>
    <xf numFmtId="0" fontId="54" fillId="0" borderId="31" xfId="0" applyFont="1" applyFill="1" applyBorder="1" applyAlignment="1">
      <alignment vertical="center" wrapText="1"/>
    </xf>
    <xf numFmtId="0" fontId="59" fillId="0" borderId="24" xfId="0" applyFont="1" applyFill="1" applyBorder="1" applyAlignment="1">
      <alignment horizontal="right" vertical="center" wrapText="1"/>
    </xf>
    <xf numFmtId="0" fontId="59" fillId="0" borderId="26" xfId="0" applyFont="1" applyFill="1" applyBorder="1" applyAlignment="1">
      <alignment horizontal="right" vertical="center" wrapText="1"/>
    </xf>
    <xf numFmtId="0" fontId="59" fillId="0" borderId="43" xfId="0" applyFont="1" applyFill="1" applyBorder="1" applyAlignment="1">
      <alignment horizontal="right" vertical="center" wrapText="1"/>
    </xf>
    <xf numFmtId="0" fontId="54" fillId="7" borderId="24" xfId="0" applyFont="1" applyFill="1" applyBorder="1" applyAlignment="1">
      <alignment vertical="center" wrapText="1"/>
    </xf>
    <xf numFmtId="0" fontId="54" fillId="7" borderId="26" xfId="0" applyFont="1" applyFill="1" applyBorder="1" applyAlignment="1">
      <alignment vertical="center" wrapText="1"/>
    </xf>
    <xf numFmtId="0" fontId="54" fillId="7" borderId="43" xfId="0" applyFont="1" applyFill="1" applyBorder="1" applyAlignment="1">
      <alignment vertical="center" wrapText="1"/>
    </xf>
    <xf numFmtId="0" fontId="54" fillId="7" borderId="24" xfId="0" applyFont="1" applyFill="1" applyBorder="1" applyAlignment="1">
      <alignment horizontal="right" vertical="center" wrapText="1"/>
    </xf>
    <xf numFmtId="0" fontId="54" fillId="7" borderId="26" xfId="0" applyFont="1" applyFill="1" applyBorder="1" applyAlignment="1">
      <alignment horizontal="right" vertical="center" wrapText="1"/>
    </xf>
    <xf numFmtId="0" fontId="54" fillId="7" borderId="43" xfId="0" applyFont="1" applyFill="1" applyBorder="1" applyAlignment="1">
      <alignment horizontal="right" vertical="center" wrapText="1"/>
    </xf>
    <xf numFmtId="0" fontId="54" fillId="0" borderId="23" xfId="0" applyFont="1" applyFill="1" applyBorder="1" applyAlignment="1">
      <alignment vertical="center"/>
    </xf>
    <xf numFmtId="0" fontId="54" fillId="0" borderId="24" xfId="0" applyFont="1" applyFill="1" applyBorder="1" applyAlignment="1">
      <alignment horizontal="right" vertical="center"/>
    </xf>
    <xf numFmtId="0" fontId="54" fillId="0" borderId="26" xfId="0" applyFont="1" applyFill="1" applyBorder="1" applyAlignment="1">
      <alignment horizontal="right" vertical="center"/>
    </xf>
    <xf numFmtId="0" fontId="54" fillId="0" borderId="43" xfId="0" applyFont="1" applyFill="1" applyBorder="1" applyAlignment="1">
      <alignment horizontal="right" vertical="center"/>
    </xf>
    <xf numFmtId="0" fontId="53" fillId="0" borderId="33" xfId="0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0" fontId="53" fillId="0" borderId="28" xfId="0" applyFont="1" applyFill="1" applyBorder="1" applyAlignment="1">
      <alignment vertical="center"/>
    </xf>
    <xf numFmtId="0" fontId="53" fillId="0" borderId="32" xfId="0" applyFont="1" applyFill="1" applyBorder="1" applyAlignment="1">
      <alignment vertical="center"/>
    </xf>
    <xf numFmtId="0" fontId="53" fillId="0" borderId="29" xfId="0" applyFont="1" applyFill="1" applyBorder="1" applyAlignment="1">
      <alignment vertical="center"/>
    </xf>
    <xf numFmtId="0" fontId="53" fillId="0" borderId="25" xfId="0" applyFont="1" applyFill="1" applyBorder="1" applyAlignment="1">
      <alignment vertical="center"/>
    </xf>
    <xf numFmtId="0" fontId="58" fillId="3" borderId="29" xfId="0" applyFont="1" applyFill="1" applyBorder="1" applyAlignment="1">
      <alignment horizontal="center" vertical="center"/>
    </xf>
    <xf numFmtId="0" fontId="58" fillId="3" borderId="25" xfId="0" applyFont="1" applyFill="1" applyBorder="1" applyAlignment="1">
      <alignment horizontal="center" vertical="center"/>
    </xf>
    <xf numFmtId="0" fontId="58" fillId="3" borderId="30" xfId="0" applyFont="1" applyFill="1" applyBorder="1" applyAlignment="1">
      <alignment horizontal="center" vertical="center"/>
    </xf>
    <xf numFmtId="0" fontId="58" fillId="3" borderId="23" xfId="0" applyFont="1" applyFill="1" applyBorder="1" applyAlignment="1">
      <alignment horizontal="center" vertical="center"/>
    </xf>
    <xf numFmtId="0" fontId="58" fillId="3" borderId="31" xfId="0" applyFont="1" applyFill="1" applyBorder="1" applyAlignment="1">
      <alignment horizontal="center" vertical="center"/>
    </xf>
    <xf numFmtId="0" fontId="58" fillId="3" borderId="27" xfId="0" applyFont="1" applyFill="1" applyBorder="1" applyAlignment="1">
      <alignment horizontal="center" vertical="center" wrapText="1"/>
    </xf>
    <xf numFmtId="0" fontId="58" fillId="3" borderId="0" xfId="0" applyFont="1" applyFill="1" applyAlignment="1">
      <alignment horizontal="center" vertical="center" wrapText="1"/>
    </xf>
    <xf numFmtId="0" fontId="58" fillId="3" borderId="28" xfId="0" applyFont="1" applyFill="1" applyBorder="1" applyAlignment="1">
      <alignment horizontal="center" vertical="center" wrapText="1"/>
    </xf>
    <xf numFmtId="0" fontId="59" fillId="0" borderId="24" xfId="0" applyFont="1" applyFill="1" applyBorder="1" applyAlignment="1">
      <alignment horizontal="right" vertical="center"/>
    </xf>
    <xf numFmtId="0" fontId="59" fillId="0" borderId="26" xfId="0" applyFont="1" applyFill="1" applyBorder="1" applyAlignment="1">
      <alignment horizontal="right" vertical="center"/>
    </xf>
    <xf numFmtId="0" fontId="59" fillId="0" borderId="43" xfId="0" applyFont="1" applyFill="1" applyBorder="1" applyAlignment="1">
      <alignment horizontal="right" vertical="center"/>
    </xf>
    <xf numFmtId="0" fontId="54" fillId="0" borderId="32" xfId="0" applyFont="1" applyFill="1" applyBorder="1" applyAlignment="1">
      <alignment vertical="center" wrapText="1"/>
    </xf>
    <xf numFmtId="0" fontId="54" fillId="0" borderId="29" xfId="0" applyFont="1" applyFill="1" applyBorder="1" applyAlignment="1">
      <alignment vertical="center" wrapText="1"/>
    </xf>
    <xf numFmtId="0" fontId="54" fillId="0" borderId="25" xfId="0" applyFont="1" applyFill="1" applyBorder="1" applyAlignment="1">
      <alignment vertical="center" wrapText="1"/>
    </xf>
    <xf numFmtId="0" fontId="54" fillId="0" borderId="24" xfId="0" applyFont="1" applyFill="1" applyBorder="1" applyAlignment="1">
      <alignment vertical="center" wrapText="1"/>
    </xf>
    <xf numFmtId="0" fontId="54" fillId="0" borderId="26" xfId="0" applyFont="1" applyFill="1" applyBorder="1" applyAlignment="1">
      <alignment vertical="center" wrapText="1"/>
    </xf>
    <xf numFmtId="0" fontId="54" fillId="0" borderId="43" xfId="0" applyFont="1" applyFill="1" applyBorder="1" applyAlignment="1">
      <alignment vertical="center" wrapText="1"/>
    </xf>
    <xf numFmtId="0" fontId="54" fillId="0" borderId="34" xfId="0" applyFont="1" applyFill="1" applyBorder="1" applyAlignment="1">
      <alignment horizontal="right" vertical="center" wrapText="1"/>
    </xf>
    <xf numFmtId="0" fontId="54" fillId="0" borderId="23" xfId="0" applyFont="1" applyFill="1" applyBorder="1" applyAlignment="1">
      <alignment horizontal="right" vertical="center" wrapText="1"/>
    </xf>
    <xf numFmtId="0" fontId="54" fillId="0" borderId="31" xfId="0" applyFont="1" applyFill="1" applyBorder="1" applyAlignment="1">
      <alignment horizontal="right" vertical="center" wrapText="1"/>
    </xf>
    <xf numFmtId="0" fontId="55" fillId="0" borderId="0" xfId="0" applyFont="1" applyFill="1" applyAlignment="1">
      <alignment wrapText="1"/>
    </xf>
    <xf numFmtId="0" fontId="55" fillId="0" borderId="0" xfId="0" applyFont="1" applyFill="1" applyAlignment="1">
      <alignment vertical="center"/>
    </xf>
    <xf numFmtId="0" fontId="53" fillId="0" borderId="34" xfId="0" applyFont="1" applyFill="1" applyBorder="1" applyAlignment="1">
      <alignment horizontal="right" vertical="center"/>
    </xf>
    <xf numFmtId="0" fontId="53" fillId="0" borderId="23" xfId="0" applyFont="1" applyFill="1" applyBorder="1" applyAlignment="1">
      <alignment horizontal="right" vertical="center"/>
    </xf>
    <xf numFmtId="0" fontId="53" fillId="0" borderId="31" xfId="0" applyFont="1" applyFill="1" applyBorder="1" applyAlignment="1">
      <alignment horizontal="right" vertical="center"/>
    </xf>
    <xf numFmtId="0" fontId="53" fillId="5" borderId="24" xfId="0" applyFont="1" applyFill="1" applyBorder="1" applyAlignment="1">
      <alignment vertical="center"/>
    </xf>
    <xf numFmtId="0" fontId="53" fillId="5" borderId="26" xfId="0" applyFont="1" applyFill="1" applyBorder="1" applyAlignment="1">
      <alignment vertical="center"/>
    </xf>
    <xf numFmtId="0" fontId="53" fillId="5" borderId="43" xfId="0" applyFont="1" applyFill="1" applyBorder="1" applyAlignment="1">
      <alignment vertical="center"/>
    </xf>
    <xf numFmtId="0" fontId="2" fillId="8" borderId="0" xfId="0" applyNumberFormat="1" applyFont="1" applyFill="1" applyAlignment="1">
      <alignment horizontal="left"/>
    </xf>
    <xf numFmtId="0" fontId="2" fillId="8" borderId="36" xfId="0" applyNumberFormat="1" applyFont="1" applyFill="1" applyBorder="1" applyAlignment="1">
      <alignment horizontal="left"/>
    </xf>
    <xf numFmtId="0" fontId="2" fillId="8" borderId="6" xfId="0" applyNumberFormat="1" applyFont="1" applyFill="1" applyBorder="1" applyAlignment="1">
      <alignment horizontal="left"/>
    </xf>
    <xf numFmtId="0" fontId="2" fillId="8" borderId="7" xfId="0" applyNumberFormat="1" applyFont="1" applyFill="1" applyBorder="1" applyAlignment="1">
      <alignment horizontal="left"/>
    </xf>
    <xf numFmtId="0" fontId="2" fillId="8" borderId="39" xfId="0" applyNumberFormat="1" applyFont="1" applyFill="1" applyBorder="1" applyAlignment="1">
      <alignment horizontal="left"/>
    </xf>
    <xf numFmtId="0" fontId="2" fillId="8" borderId="22" xfId="0" applyNumberFormat="1" applyFont="1" applyFill="1" applyBorder="1" applyAlignment="1">
      <alignment horizontal="left"/>
    </xf>
    <xf numFmtId="0" fontId="60" fillId="4" borderId="22" xfId="0" applyNumberFormat="1" applyFont="1" applyFill="1" applyBorder="1" applyAlignment="1">
      <alignment horizontal="center" vertical="center"/>
    </xf>
    <xf numFmtId="0" fontId="60" fillId="4" borderId="20" xfId="0" applyNumberFormat="1" applyFont="1" applyFill="1" applyBorder="1" applyAlignment="1">
      <alignment horizontal="center" vertical="center"/>
    </xf>
    <xf numFmtId="0" fontId="60" fillId="4" borderId="36" xfId="0" applyNumberFormat="1" applyFont="1" applyFill="1" applyBorder="1" applyAlignment="1">
      <alignment horizontal="center" vertical="center"/>
    </xf>
    <xf numFmtId="0" fontId="60" fillId="4" borderId="37" xfId="0" applyNumberFormat="1" applyFont="1" applyFill="1" applyBorder="1" applyAlignment="1">
      <alignment horizontal="center" vertical="center"/>
    </xf>
    <xf numFmtId="0" fontId="60" fillId="4" borderId="7" xfId="0" applyNumberFormat="1" applyFont="1" applyFill="1" applyBorder="1" applyAlignment="1">
      <alignment horizontal="center" vertical="center"/>
    </xf>
    <xf numFmtId="0" fontId="60" fillId="4" borderId="21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2" fillId="4" borderId="39" xfId="0" applyNumberFormat="1" applyFont="1" applyFill="1" applyBorder="1" applyAlignment="1">
      <alignment horizontal="left"/>
    </xf>
    <xf numFmtId="0" fontId="2" fillId="4" borderId="22" xfId="0" applyNumberFormat="1" applyFont="1" applyFill="1" applyBorder="1" applyAlignment="1">
      <alignment horizontal="left"/>
    </xf>
    <xf numFmtId="0" fontId="2" fillId="8" borderId="39" xfId="0" applyNumberFormat="1" applyFont="1" applyFill="1" applyBorder="1" applyAlignment="1">
      <alignment horizontal="left" wrapText="1"/>
    </xf>
    <xf numFmtId="0" fontId="2" fillId="8" borderId="22" xfId="0" applyNumberFormat="1" applyFont="1" applyFill="1" applyBorder="1" applyAlignment="1">
      <alignment horizontal="left" wrapText="1"/>
    </xf>
  </cellXfs>
  <cellStyles count="6">
    <cellStyle name="Normal" xfId="0" builtinId="0"/>
    <cellStyle name="Normal 6" xfId="3"/>
    <cellStyle name="Porcentagem" xfId="2" builtinId="5"/>
    <cellStyle name="Porcentagem 3" xfId="4"/>
    <cellStyle name="Separador de milhares" xfId="1" builtinId="3"/>
    <cellStyle name="Vírgula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Maio de 2021 a Abril de 2022</a:t>
            </a:r>
          </a:p>
        </c:rich>
      </c:tx>
      <c:layout>
        <c:manualLayout>
          <c:xMode val="edge"/>
          <c:yMode val="edge"/>
          <c:x val="0.29021563793888011"/>
          <c:y val="4.95011964564034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478047796284399"/>
          <c:y val="0.17138589988039657"/>
          <c:w val="0.85117366903648162"/>
          <c:h val="0.57263216759063251"/>
        </c:manualLayout>
      </c:layout>
      <c:lineChart>
        <c:grouping val="standard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0.74772033426206808</c:v>
                </c:pt>
                <c:pt idx="1">
                  <c:v>0.70376841874083151</c:v>
                </c:pt>
                <c:pt idx="2">
                  <c:v>0.76040115197069558</c:v>
                </c:pt>
                <c:pt idx="3">
                  <c:v>0.55448667074204738</c:v>
                </c:pt>
                <c:pt idx="4">
                  <c:v>0.77081378647924415</c:v>
                </c:pt>
                <c:pt idx="5">
                  <c:v>0.53791020418278379</c:v>
                </c:pt>
                <c:pt idx="6">
                  <c:v>0.56039408765662646</c:v>
                </c:pt>
                <c:pt idx="7">
                  <c:v>0.67278778864699185</c:v>
                </c:pt>
                <c:pt idx="8">
                  <c:v>0.6133891332982101</c:v>
                </c:pt>
                <c:pt idx="9">
                  <c:v>0.46902254184791631</c:v>
                </c:pt>
                <c:pt idx="10">
                  <c:v>0.64448907406513412</c:v>
                </c:pt>
                <c:pt idx="11">
                  <c:v>0.59224038308943761</c:v>
                </c:pt>
              </c:numCache>
            </c:numRef>
          </c:val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</c:ser>
        <c:marker val="1"/>
        <c:axId val="67816064"/>
        <c:axId val="78902784"/>
      </c:lineChart>
      <c:catAx>
        <c:axId val="6781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165"/>
              <c:y val="0.888421894283095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902784"/>
        <c:crosses val="autoZero"/>
        <c:auto val="1"/>
        <c:lblAlgn val="ctr"/>
        <c:lblOffset val="100"/>
        <c:tickLblSkip val="1"/>
        <c:tickMarkSkip val="1"/>
      </c:catAx>
      <c:valAx>
        <c:axId val="789027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5831E-2"/>
              <c:y val="0.24631613101343008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7816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2014"/>
          <c:y val="2.9473501242808224E-2"/>
          <c:w val="0.13375806747560814"/>
          <c:h val="9.0526498757195956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37" footer="0.49212598500000937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</c:ser>
        <c:axId val="79694080"/>
        <c:axId val="79704064"/>
      </c:barChart>
      <c:catAx>
        <c:axId val="796940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704064"/>
        <c:crosses val="autoZero"/>
        <c:auto val="1"/>
        <c:lblAlgn val="ctr"/>
        <c:lblOffset val="100"/>
        <c:tickLblSkip val="1"/>
        <c:tickMarkSkip val="1"/>
      </c:catAx>
      <c:valAx>
        <c:axId val="797040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6940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42" footer="0.4921259850000094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</c:ser>
        <c:axId val="79711616"/>
        <c:axId val="79729792"/>
      </c:barChart>
      <c:catAx>
        <c:axId val="797116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729792"/>
        <c:crosses val="autoZero"/>
        <c:auto val="1"/>
        <c:lblAlgn val="ctr"/>
        <c:lblOffset val="100"/>
        <c:tickLblSkip val="1"/>
        <c:tickMarkSkip val="1"/>
      </c:catAx>
      <c:valAx>
        <c:axId val="797297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71161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42" footer="0.4921259850000094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90475"/>
          <c:h val="0.72952516652746768"/>
        </c:manualLayout>
      </c:layout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Cruz!$K$11:$K$26</c:f>
              <c:numCache>
                <c:formatCode>_ * #,##0.00_ ;_ * \-#,##0.00_ ;_ * "-"??_ ;_ @_ </c:formatCode>
                <c:ptCount val="16"/>
                <c:pt idx="0">
                  <c:v>19.136038311529067</c:v>
                </c:pt>
                <c:pt idx="1">
                  <c:v>-6.745245980487204</c:v>
                </c:pt>
                <c:pt idx="2">
                  <c:v>23.634859718354257</c:v>
                </c:pt>
                <c:pt idx="3">
                  <c:v>-0.50022960017375995</c:v>
                </c:pt>
                <c:pt idx="4">
                  <c:v>-10.59985520058741</c:v>
                </c:pt>
                <c:pt idx="5">
                  <c:v>-11.499423219520219</c:v>
                </c:pt>
                <c:pt idx="6">
                  <c:v>32.676029033962784</c:v>
                </c:pt>
                <c:pt idx="7">
                  <c:v>42.214189458790067</c:v>
                </c:pt>
                <c:pt idx="8">
                  <c:v>-2.1952233041974623</c:v>
                </c:pt>
                <c:pt idx="9">
                  <c:v>-13.702520729908411</c:v>
                </c:pt>
                <c:pt idx="10">
                  <c:v>11.187069541196031</c:v>
                </c:pt>
                <c:pt idx="11">
                  <c:v>27.905333243438701</c:v>
                </c:pt>
                <c:pt idx="12">
                  <c:v>-26.064542302116156</c:v>
                </c:pt>
                <c:pt idx="13">
                  <c:v>100</c:v>
                </c:pt>
                <c:pt idx="14">
                  <c:v>27.964385082596593</c:v>
                </c:pt>
                <c:pt idx="15">
                  <c:v>27.24892949338814</c:v>
                </c:pt>
              </c:numCache>
            </c:numRef>
          </c:val>
        </c:ser>
        <c:axId val="80220928"/>
        <c:axId val="80222464"/>
      </c:barChart>
      <c:catAx>
        <c:axId val="802209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222464"/>
        <c:crosses val="autoZero"/>
        <c:auto val="1"/>
        <c:lblAlgn val="ctr"/>
        <c:lblOffset val="100"/>
        <c:tickLblSkip val="1"/>
        <c:tickMarkSkip val="1"/>
      </c:catAx>
      <c:valAx>
        <c:axId val="802224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 * #,##0.00_ ;_ * \-#,##0.00_ ;_ * &quot;-&quot;??_ ;_ @_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220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42" footer="0.4921259850000094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14</xdr:col>
      <xdr:colOff>527050</xdr:colOff>
      <xdr:row>51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0.72357</cdr:x>
      <cdr:y>0.29264</cdr:y>
    </cdr:from>
    <cdr:to>
      <cdr:x>0.78145</cdr:x>
      <cdr:y>0.35309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94570" y="1243637"/>
          <a:ext cx="519515" cy="25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Ago/21</a:t>
          </a:r>
        </a:p>
      </cdr:txBody>
    </cdr:sp>
  </cdr:relSizeAnchor>
  <cdr:relSizeAnchor xmlns:cdr="http://schemas.openxmlformats.org/drawingml/2006/chartDrawing">
    <cdr:from>
      <cdr:x>0.57357</cdr:x>
      <cdr:y>0.39777</cdr:y>
    </cdr:from>
    <cdr:to>
      <cdr:x>0.63219</cdr:x>
      <cdr:y>0.45895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53704" y="1690421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Out/21</a:t>
          </a:r>
        </a:p>
      </cdr:txBody>
    </cdr:sp>
  </cdr:relSizeAnchor>
  <cdr:relSizeAnchor xmlns:cdr="http://schemas.openxmlformats.org/drawingml/2006/chartDrawing">
    <cdr:from>
      <cdr:x>0.52071</cdr:x>
      <cdr:y>0.34559</cdr:y>
    </cdr:from>
    <cdr:to>
      <cdr:x>0.57859</cdr:x>
      <cdr:y>0.40778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8672" y="1468675"/>
          <a:ext cx="520066" cy="2642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Nov/21</a:t>
          </a:r>
        </a:p>
      </cdr:txBody>
    </cdr:sp>
  </cdr:relSizeAnchor>
  <cdr:relSizeAnchor xmlns:cdr="http://schemas.openxmlformats.org/drawingml/2006/chartDrawing">
    <cdr:from>
      <cdr:x>0.93403</cdr:x>
      <cdr:y>0.31156</cdr:y>
    </cdr:from>
    <cdr:to>
      <cdr:x>0.99167</cdr:x>
      <cdr:y>0.37275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3623" y="1324065"/>
          <a:ext cx="517361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Mai/21</a:t>
          </a:r>
        </a:p>
      </cdr:txBody>
    </cdr:sp>
  </cdr:relSizeAnchor>
  <cdr:relSizeAnchor xmlns:cdr="http://schemas.openxmlformats.org/drawingml/2006/chartDrawing">
    <cdr:from>
      <cdr:x>0.86521</cdr:x>
      <cdr:y>0.28878</cdr:y>
    </cdr:from>
    <cdr:to>
      <cdr:x>0.92235</cdr:x>
      <cdr:y>0.34972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5920" y="1227229"/>
          <a:ext cx="512873" cy="2589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Jun/21</a:t>
          </a:r>
        </a:p>
      </cdr:txBody>
    </cdr:sp>
  </cdr:relSizeAnchor>
  <cdr:relSizeAnchor xmlns:cdr="http://schemas.openxmlformats.org/drawingml/2006/chartDrawing">
    <cdr:from>
      <cdr:x>0.1529</cdr:x>
      <cdr:y>0.22365</cdr:y>
    </cdr:from>
    <cdr:to>
      <cdr:x>0.21152</cdr:x>
      <cdr:y>0.28483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2367" y="950459"/>
          <a:ext cx="526157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Abr/22</a:t>
          </a:r>
        </a:p>
      </cdr:txBody>
    </cdr:sp>
  </cdr:relSizeAnchor>
  <cdr:relSizeAnchor xmlns:cdr="http://schemas.openxmlformats.org/drawingml/2006/chartDrawing">
    <cdr:from>
      <cdr:x>0.21959</cdr:x>
      <cdr:y>0.28943</cdr:y>
    </cdr:from>
    <cdr:to>
      <cdr:x>0.27821</cdr:x>
      <cdr:y>0.35061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3114" y="1230005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Mar/22</a:t>
          </a:r>
        </a:p>
      </cdr:txBody>
    </cdr:sp>
  </cdr:relSizeAnchor>
  <cdr:relSizeAnchor xmlns:cdr="http://schemas.openxmlformats.org/drawingml/2006/chartDrawing">
    <cdr:from>
      <cdr:x>0.44415</cdr:x>
      <cdr:y>0.19488</cdr:y>
    </cdr:from>
    <cdr:to>
      <cdr:x>0.50128</cdr:x>
      <cdr:y>0.25606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90841" y="828174"/>
          <a:ext cx="513327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Dez/21</a:t>
          </a:r>
        </a:p>
      </cdr:txBody>
    </cdr:sp>
  </cdr:relSizeAnchor>
  <cdr:relSizeAnchor xmlns:cdr="http://schemas.openxmlformats.org/drawingml/2006/chartDrawing">
    <cdr:from>
      <cdr:x>0.35838</cdr:x>
      <cdr:y>0.40751</cdr:y>
    </cdr:from>
    <cdr:to>
      <cdr:x>0.41626</cdr:x>
      <cdr:y>0.4687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20175" y="1731816"/>
          <a:ext cx="520066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Jan/22</a:t>
          </a:r>
        </a:p>
      </cdr:txBody>
    </cdr:sp>
  </cdr:relSizeAnchor>
  <cdr:relSizeAnchor xmlns:cdr="http://schemas.openxmlformats.org/drawingml/2006/chartDrawing">
    <cdr:from>
      <cdr:x>0.32113</cdr:x>
      <cdr:y>0.22029</cdr:y>
    </cdr:from>
    <cdr:to>
      <cdr:x>0.37901</cdr:x>
      <cdr:y>0.28026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85400" y="936162"/>
          <a:ext cx="520066" cy="2548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Fev/22</a:t>
          </a:r>
        </a:p>
      </cdr:txBody>
    </cdr:sp>
  </cdr:relSizeAnchor>
  <cdr:relSizeAnchor xmlns:cdr="http://schemas.openxmlformats.org/drawingml/2006/chartDrawing">
    <cdr:from>
      <cdr:x>0.79427</cdr:x>
      <cdr:y>0.44205</cdr:y>
    </cdr:from>
    <cdr:to>
      <cdr:x>0.85314</cdr:x>
      <cdr:y>0.50398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29182" y="1878607"/>
          <a:ext cx="528401" cy="263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Jul/21</a:t>
          </a:r>
        </a:p>
      </cdr:txBody>
    </cdr:sp>
  </cdr:relSizeAnchor>
  <cdr:relSizeAnchor xmlns:cdr="http://schemas.openxmlformats.org/drawingml/2006/chartDrawing">
    <cdr:from>
      <cdr:x>0.64948</cdr:x>
      <cdr:y>0.24529</cdr:y>
    </cdr:from>
    <cdr:to>
      <cdr:x>0.70736</cdr:x>
      <cdr:y>0.30648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29591" y="1042412"/>
          <a:ext cx="519515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</xdr:colOff>
      <xdr:row>51</xdr:row>
      <xdr:rowOff>0</xdr:rowOff>
    </xdr:from>
    <xdr:to>
      <xdr:col>11</xdr:col>
      <xdr:colOff>733426</xdr:colOff>
      <xdr:row>51</xdr:row>
      <xdr:rowOff>64492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1" y="6353175"/>
          <a:ext cx="1276350" cy="9306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110</xdr:row>
      <xdr:rowOff>0</xdr:rowOff>
    </xdr:from>
    <xdr:to>
      <xdr:col>13</xdr:col>
      <xdr:colOff>17145</xdr:colOff>
      <xdr:row>111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0" y="16668750"/>
          <a:ext cx="1341120" cy="1047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136</xdr:row>
      <xdr:rowOff>0</xdr:rowOff>
    </xdr:from>
    <xdr:to>
      <xdr:col>12</xdr:col>
      <xdr:colOff>20411</xdr:colOff>
      <xdr:row>136</xdr:row>
      <xdr:rowOff>95250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0" y="20926425"/>
          <a:ext cx="1306286" cy="952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166</xdr:row>
      <xdr:rowOff>0</xdr:rowOff>
    </xdr:from>
    <xdr:to>
      <xdr:col>13</xdr:col>
      <xdr:colOff>17145</xdr:colOff>
      <xdr:row>166</xdr:row>
      <xdr:rowOff>104775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39050" y="24936450"/>
          <a:ext cx="1341120" cy="1047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12</xdr:col>
      <xdr:colOff>0</xdr:colOff>
      <xdr:row>53</xdr:row>
      <xdr:rowOff>0</xdr:rowOff>
    </xdr:to>
    <xdr:pic>
      <xdr:nvPicPr>
        <xdr:cNvPr id="6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111</xdr:row>
      <xdr:rowOff>0</xdr:rowOff>
    </xdr:from>
    <xdr:to>
      <xdr:col>12</xdr:col>
      <xdr:colOff>0</xdr:colOff>
      <xdr:row>112</xdr:row>
      <xdr:rowOff>0</xdr:rowOff>
    </xdr:to>
    <xdr:pic>
      <xdr:nvPicPr>
        <xdr:cNvPr id="7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142</xdr:row>
      <xdr:rowOff>0</xdr:rowOff>
    </xdr:from>
    <xdr:to>
      <xdr:col>12</xdr:col>
      <xdr:colOff>0</xdr:colOff>
      <xdr:row>143</xdr:row>
      <xdr:rowOff>0</xdr:rowOff>
    </xdr:to>
    <xdr:pic>
      <xdr:nvPicPr>
        <xdr:cNvPr id="8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173</xdr:row>
      <xdr:rowOff>0</xdr:rowOff>
    </xdr:from>
    <xdr:to>
      <xdr:col>12</xdr:col>
      <xdr:colOff>0</xdr:colOff>
      <xdr:row>174</xdr:row>
      <xdr:rowOff>0</xdr:rowOff>
    </xdr:to>
    <xdr:pic>
      <xdr:nvPicPr>
        <xdr:cNvPr id="9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10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0</xdr:colOff>
      <xdr:row>115</xdr:row>
      <xdr:rowOff>0</xdr:rowOff>
    </xdr:to>
    <xdr:pic>
      <xdr:nvPicPr>
        <xdr:cNvPr id="11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0</xdr:colOff>
      <xdr:row>146</xdr:row>
      <xdr:rowOff>0</xdr:rowOff>
    </xdr:to>
    <xdr:pic>
      <xdr:nvPicPr>
        <xdr:cNvPr id="12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0</xdr:colOff>
      <xdr:row>172</xdr:row>
      <xdr:rowOff>0</xdr:rowOff>
    </xdr:to>
    <xdr:pic>
      <xdr:nvPicPr>
        <xdr:cNvPr id="13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133302</xdr:colOff>
      <xdr:row>77</xdr:row>
      <xdr:rowOff>0</xdr:rowOff>
    </xdr:from>
    <xdr:to>
      <xdr:col>34</xdr:col>
      <xdr:colOff>19050</xdr:colOff>
      <xdr:row>78</xdr:row>
      <xdr:rowOff>47625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00802" y="11039475"/>
          <a:ext cx="2543223" cy="2667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93</xdr:row>
      <xdr:rowOff>0</xdr:rowOff>
    </xdr:from>
    <xdr:to>
      <xdr:col>32</xdr:col>
      <xdr:colOff>704850</xdr:colOff>
      <xdr:row>94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29150" y="12258675"/>
          <a:ext cx="1343025" cy="14287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93</xdr:row>
      <xdr:rowOff>0</xdr:rowOff>
    </xdr:from>
    <xdr:to>
      <xdr:col>31</xdr:col>
      <xdr:colOff>152400</xdr:colOff>
      <xdr:row>94</xdr:row>
      <xdr:rowOff>0</xdr:rowOff>
    </xdr:to>
    <xdr:pic>
      <xdr:nvPicPr>
        <xdr:cNvPr id="6" name="Picture 5" descr="image00005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72175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93</xdr:row>
      <xdr:rowOff>0</xdr:rowOff>
    </xdr:from>
    <xdr:to>
      <xdr:col>34</xdr:col>
      <xdr:colOff>114300</xdr:colOff>
      <xdr:row>94</xdr:row>
      <xdr:rowOff>0</xdr:rowOff>
    </xdr:to>
    <xdr:pic>
      <xdr:nvPicPr>
        <xdr:cNvPr id="7" name="Picture 6" descr="image00006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38925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18415</xdr:colOff>
      <xdr:row>92</xdr:row>
      <xdr:rowOff>266700</xdr:rowOff>
    </xdr:from>
    <xdr:to>
      <xdr:col>33</xdr:col>
      <xdr:colOff>0</xdr:colOff>
      <xdr:row>93</xdr:row>
      <xdr:rowOff>133350</xdr:rowOff>
    </xdr:to>
    <xdr:pic>
      <xdr:nvPicPr>
        <xdr:cNvPr id="8" name="Picture 7" descr="image0000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85915" y="12239625"/>
          <a:ext cx="2600960" cy="1524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77</xdr:row>
      <xdr:rowOff>0</xdr:rowOff>
    </xdr:from>
    <xdr:to>
      <xdr:col>29</xdr:col>
      <xdr:colOff>133350</xdr:colOff>
      <xdr:row>78</xdr:row>
      <xdr:rowOff>0</xdr:rowOff>
    </xdr:to>
    <xdr:pic>
      <xdr:nvPicPr>
        <xdr:cNvPr id="9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825" y="1103947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77</xdr:row>
      <xdr:rowOff>0</xdr:rowOff>
    </xdr:from>
    <xdr:to>
      <xdr:col>32</xdr:col>
      <xdr:colOff>400050</xdr:colOff>
      <xdr:row>78</xdr:row>
      <xdr:rowOff>0</xdr:rowOff>
    </xdr:to>
    <xdr:pic>
      <xdr:nvPicPr>
        <xdr:cNvPr id="10" name="Picture 2" descr="image00002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34325" y="1103947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28575</xdr:colOff>
      <xdr:row>78</xdr:row>
      <xdr:rowOff>28575</xdr:rowOff>
    </xdr:from>
    <xdr:to>
      <xdr:col>34</xdr:col>
      <xdr:colOff>0</xdr:colOff>
      <xdr:row>79</xdr:row>
      <xdr:rowOff>47625</xdr:rowOff>
    </xdr:to>
    <xdr:pic>
      <xdr:nvPicPr>
        <xdr:cNvPr id="11" name="Picture 3" descr="image00003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62900" y="11287125"/>
          <a:ext cx="1362075" cy="2286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93</xdr:row>
      <xdr:rowOff>0</xdr:rowOff>
    </xdr:from>
    <xdr:to>
      <xdr:col>17</xdr:col>
      <xdr:colOff>114300</xdr:colOff>
      <xdr:row>94</xdr:row>
      <xdr:rowOff>0</xdr:rowOff>
    </xdr:to>
    <xdr:pic>
      <xdr:nvPicPr>
        <xdr:cNvPr id="12" name="Picture 4" descr="image0000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38675" y="12258675"/>
          <a:ext cx="1352550" cy="14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93</xdr:row>
      <xdr:rowOff>0</xdr:rowOff>
    </xdr:from>
    <xdr:to>
      <xdr:col>20</xdr:col>
      <xdr:colOff>57150</xdr:colOff>
      <xdr:row>94</xdr:row>
      <xdr:rowOff>0</xdr:rowOff>
    </xdr:to>
    <xdr:pic>
      <xdr:nvPicPr>
        <xdr:cNvPr id="13" name="Picture 5" descr="image00005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91225" y="12258675"/>
          <a:ext cx="676275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93</xdr:row>
      <xdr:rowOff>0</xdr:rowOff>
    </xdr:from>
    <xdr:to>
      <xdr:col>24</xdr:col>
      <xdr:colOff>133350</xdr:colOff>
      <xdr:row>94</xdr:row>
      <xdr:rowOff>0</xdr:rowOff>
    </xdr:to>
    <xdr:pic>
      <xdr:nvPicPr>
        <xdr:cNvPr id="14" name="Picture 6" descr="image00006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67500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93</xdr:row>
      <xdr:rowOff>0</xdr:rowOff>
    </xdr:from>
    <xdr:to>
      <xdr:col>28</xdr:col>
      <xdr:colOff>0</xdr:colOff>
      <xdr:row>94</xdr:row>
      <xdr:rowOff>0</xdr:rowOff>
    </xdr:to>
    <xdr:pic>
      <xdr:nvPicPr>
        <xdr:cNvPr id="15" name="Picture 7" descr="image0000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34250" y="12258675"/>
          <a:ext cx="600075" cy="14287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77</xdr:row>
      <xdr:rowOff>0</xdr:rowOff>
    </xdr:from>
    <xdr:to>
      <xdr:col>29</xdr:col>
      <xdr:colOff>0</xdr:colOff>
      <xdr:row>78</xdr:row>
      <xdr:rowOff>0</xdr:rowOff>
    </xdr:to>
    <xdr:pic>
      <xdr:nvPicPr>
        <xdr:cNvPr id="16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825" y="1103947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77</xdr:row>
      <xdr:rowOff>0</xdr:rowOff>
    </xdr:from>
    <xdr:to>
      <xdr:col>34</xdr:col>
      <xdr:colOff>0</xdr:colOff>
      <xdr:row>78</xdr:row>
      <xdr:rowOff>0</xdr:rowOff>
    </xdr:to>
    <xdr:pic>
      <xdr:nvPicPr>
        <xdr:cNvPr id="17" name="Picture 2" descr="image00002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34325" y="1103947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78</xdr:row>
      <xdr:rowOff>0</xdr:rowOff>
    </xdr:from>
    <xdr:to>
      <xdr:col>34</xdr:col>
      <xdr:colOff>0</xdr:colOff>
      <xdr:row>79</xdr:row>
      <xdr:rowOff>0</xdr:rowOff>
    </xdr:to>
    <xdr:pic>
      <xdr:nvPicPr>
        <xdr:cNvPr id="18" name="Picture 3" descr="image00003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34325" y="1125855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0</xdr:rowOff>
    </xdr:from>
    <xdr:to>
      <xdr:col>18</xdr:col>
      <xdr:colOff>0</xdr:colOff>
      <xdr:row>84</xdr:row>
      <xdr:rowOff>0</xdr:rowOff>
    </xdr:to>
    <xdr:pic>
      <xdr:nvPicPr>
        <xdr:cNvPr id="19" name="Picture 4" descr="image0000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38675" y="12258675"/>
          <a:ext cx="1352550" cy="14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83</xdr:row>
      <xdr:rowOff>0</xdr:rowOff>
    </xdr:from>
    <xdr:to>
      <xdr:col>21</xdr:col>
      <xdr:colOff>0</xdr:colOff>
      <xdr:row>84</xdr:row>
      <xdr:rowOff>0</xdr:rowOff>
    </xdr:to>
    <xdr:pic>
      <xdr:nvPicPr>
        <xdr:cNvPr id="20" name="Picture 5" descr="image00005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91225" y="12258675"/>
          <a:ext cx="676275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83</xdr:row>
      <xdr:rowOff>0</xdr:rowOff>
    </xdr:from>
    <xdr:to>
      <xdr:col>25</xdr:col>
      <xdr:colOff>0</xdr:colOff>
      <xdr:row>84</xdr:row>
      <xdr:rowOff>0</xdr:rowOff>
    </xdr:to>
    <xdr:pic>
      <xdr:nvPicPr>
        <xdr:cNvPr id="21" name="Picture 6" descr="image00006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67500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83</xdr:row>
      <xdr:rowOff>0</xdr:rowOff>
    </xdr:from>
    <xdr:to>
      <xdr:col>29</xdr:col>
      <xdr:colOff>0</xdr:colOff>
      <xdr:row>84</xdr:row>
      <xdr:rowOff>0</xdr:rowOff>
    </xdr:to>
    <xdr:pic>
      <xdr:nvPicPr>
        <xdr:cNvPr id="22" name="Picture 7" descr="image0000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34250" y="12258675"/>
          <a:ext cx="600075" cy="142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topLeftCell="A48" workbookViewId="0">
      <selection activeCell="D83" sqref="D83"/>
    </sheetView>
  </sheetViews>
  <sheetFormatPr defaultRowHeight="15"/>
  <cols>
    <col min="1" max="2" width="1.7109375" customWidth="1"/>
    <col min="3" max="3" width="41" customWidth="1"/>
    <col min="4" max="4" width="11.7109375" bestFit="1" customWidth="1"/>
    <col min="5" max="5" width="14.28515625" bestFit="1" customWidth="1"/>
    <col min="6" max="7" width="10.85546875" bestFit="1" customWidth="1"/>
  </cols>
  <sheetData>
    <row r="1" spans="1:7">
      <c r="A1" s="659" t="s">
        <v>698</v>
      </c>
      <c r="B1" s="659"/>
      <c r="C1" s="659"/>
      <c r="D1" s="659"/>
      <c r="E1" s="659"/>
      <c r="F1" s="659"/>
      <c r="G1" s="659"/>
    </row>
    <row r="2" spans="1:7">
      <c r="A2" s="659" t="s">
        <v>655</v>
      </c>
      <c r="B2" s="659"/>
      <c r="C2" s="659"/>
      <c r="D2" s="659"/>
      <c r="E2" s="659"/>
      <c r="F2" s="659"/>
      <c r="G2" s="659"/>
    </row>
    <row r="3" spans="1:7">
      <c r="A3" s="660" t="s">
        <v>699</v>
      </c>
      <c r="B3" s="660"/>
      <c r="C3" s="660"/>
      <c r="D3" s="660"/>
      <c r="E3" s="660"/>
      <c r="F3" s="660"/>
      <c r="G3" s="660"/>
    </row>
    <row r="4" spans="1:7">
      <c r="A4" s="659" t="s">
        <v>700</v>
      </c>
      <c r="B4" s="659"/>
      <c r="C4" s="659"/>
      <c r="D4" s="659"/>
      <c r="E4" s="659"/>
      <c r="F4" s="659"/>
      <c r="G4" s="659"/>
    </row>
    <row r="5" spans="1:7">
      <c r="A5" s="659" t="s">
        <v>1744</v>
      </c>
      <c r="B5" s="659"/>
      <c r="C5" s="659"/>
      <c r="D5" s="659"/>
      <c r="E5" s="659"/>
      <c r="F5" s="659"/>
      <c r="G5" s="659"/>
    </row>
    <row r="6" spans="1:7" ht="15.75" thickBot="1">
      <c r="A6" s="659" t="s">
        <v>701</v>
      </c>
      <c r="B6" s="659"/>
      <c r="C6" s="659"/>
      <c r="F6" s="661" t="s">
        <v>702</v>
      </c>
      <c r="G6" s="661"/>
    </row>
    <row r="7" spans="1:7" ht="15.75" thickBot="1">
      <c r="A7" s="635" t="s">
        <v>703</v>
      </c>
      <c r="B7" s="626"/>
      <c r="C7" s="626"/>
      <c r="D7" s="626" t="s">
        <v>704</v>
      </c>
      <c r="E7" s="626"/>
      <c r="F7" s="626"/>
      <c r="G7" s="627"/>
    </row>
    <row r="8" spans="1:7">
      <c r="A8" s="631" t="s">
        <v>705</v>
      </c>
      <c r="B8" s="632"/>
      <c r="C8" s="632"/>
      <c r="D8" s="648"/>
      <c r="E8" s="648"/>
      <c r="F8" s="648"/>
      <c r="G8" s="649"/>
    </row>
    <row r="9" spans="1:7">
      <c r="B9" s="638" t="s">
        <v>706</v>
      </c>
      <c r="C9" s="639"/>
      <c r="D9" s="640">
        <v>180207504.88</v>
      </c>
      <c r="E9" s="640"/>
      <c r="F9" s="640"/>
      <c r="G9" s="641"/>
    </row>
    <row r="10" spans="1:7">
      <c r="B10" s="638" t="s">
        <v>707</v>
      </c>
      <c r="C10" s="639"/>
      <c r="D10" s="640">
        <v>180753017.94</v>
      </c>
      <c r="E10" s="640"/>
      <c r="F10" s="640"/>
      <c r="G10" s="641"/>
    </row>
    <row r="11" spans="1:7">
      <c r="B11" s="638" t="s">
        <v>708</v>
      </c>
      <c r="C11" s="639"/>
      <c r="D11" s="640">
        <v>55793265.700000003</v>
      </c>
      <c r="E11" s="640"/>
      <c r="F11" s="640"/>
      <c r="G11" s="641"/>
    </row>
    <row r="12" spans="1:7">
      <c r="B12" s="638" t="s">
        <v>709</v>
      </c>
      <c r="C12" s="639"/>
      <c r="D12" s="657" t="s">
        <v>656</v>
      </c>
      <c r="E12" s="657"/>
      <c r="F12" s="657"/>
      <c r="G12" s="658"/>
    </row>
    <row r="13" spans="1:7">
      <c r="B13" s="638" t="s">
        <v>710</v>
      </c>
      <c r="C13" s="639"/>
      <c r="D13" s="640">
        <v>2238985.54</v>
      </c>
      <c r="E13" s="640"/>
      <c r="F13" s="640"/>
      <c r="G13" s="641"/>
    </row>
    <row r="14" spans="1:7">
      <c r="A14" s="638" t="s">
        <v>711</v>
      </c>
      <c r="B14" s="639"/>
      <c r="C14" s="639"/>
      <c r="D14" s="650"/>
      <c r="E14" s="650"/>
      <c r="F14" s="650"/>
      <c r="G14" s="651"/>
    </row>
    <row r="15" spans="1:7">
      <c r="B15" s="638" t="s">
        <v>712</v>
      </c>
      <c r="C15" s="639"/>
      <c r="D15" s="640">
        <v>166698144.47</v>
      </c>
      <c r="E15" s="640"/>
      <c r="F15" s="640"/>
      <c r="G15" s="641"/>
    </row>
    <row r="16" spans="1:7">
      <c r="B16" s="638" t="s">
        <v>713</v>
      </c>
      <c r="C16" s="639"/>
      <c r="D16" s="640">
        <v>170225667.62</v>
      </c>
      <c r="E16" s="640"/>
      <c r="F16" s="640"/>
      <c r="G16" s="641"/>
    </row>
    <row r="17" spans="1:7">
      <c r="B17" s="638" t="s">
        <v>714</v>
      </c>
      <c r="C17" s="639"/>
      <c r="D17" s="640">
        <v>55310851.460000001</v>
      </c>
      <c r="E17" s="640"/>
      <c r="F17" s="640"/>
      <c r="G17" s="641"/>
    </row>
    <row r="18" spans="1:7">
      <c r="B18" s="638" t="s">
        <v>715</v>
      </c>
      <c r="C18" s="639"/>
      <c r="D18" s="640">
        <v>48032222.039999999</v>
      </c>
      <c r="E18" s="640"/>
      <c r="F18" s="640"/>
      <c r="G18" s="641"/>
    </row>
    <row r="19" spans="1:7">
      <c r="B19" s="638" t="s">
        <v>716</v>
      </c>
      <c r="C19" s="639"/>
      <c r="D19" s="640">
        <v>43048470.619999997</v>
      </c>
      <c r="E19" s="640"/>
      <c r="F19" s="640"/>
      <c r="G19" s="641"/>
    </row>
    <row r="20" spans="1:7" ht="15.75" thickBot="1">
      <c r="B20" s="638" t="s">
        <v>717</v>
      </c>
      <c r="C20" s="639"/>
      <c r="D20" s="640">
        <v>7761043.6600000001</v>
      </c>
      <c r="E20" s="640"/>
      <c r="F20" s="640"/>
      <c r="G20" s="641"/>
    </row>
    <row r="21" spans="1:7" ht="15.75" thickBot="1">
      <c r="A21" s="440"/>
      <c r="B21" s="440"/>
      <c r="C21" s="440"/>
      <c r="D21" s="440"/>
      <c r="E21" s="440"/>
      <c r="F21" s="440"/>
      <c r="G21" s="440"/>
    </row>
    <row r="22" spans="1:7" ht="15.75" thickBot="1">
      <c r="A22" s="635" t="s">
        <v>718</v>
      </c>
      <c r="B22" s="626"/>
      <c r="C22" s="626"/>
      <c r="D22" s="626" t="s">
        <v>704</v>
      </c>
      <c r="E22" s="626"/>
      <c r="F22" s="626"/>
      <c r="G22" s="627"/>
    </row>
    <row r="23" spans="1:7">
      <c r="A23" s="534" t="s">
        <v>714</v>
      </c>
      <c r="B23" s="441"/>
      <c r="C23" s="441"/>
      <c r="D23" s="636">
        <v>55310851.460000001</v>
      </c>
      <c r="E23" s="636"/>
      <c r="F23" s="636"/>
      <c r="G23" s="637"/>
    </row>
    <row r="24" spans="1:7" ht="15.75" thickBot="1">
      <c r="A24" s="638" t="s">
        <v>715</v>
      </c>
      <c r="B24" s="639"/>
      <c r="C24" s="639"/>
      <c r="D24" s="640">
        <v>48032222.039999999</v>
      </c>
      <c r="E24" s="640"/>
      <c r="F24" s="640"/>
      <c r="G24" s="641"/>
    </row>
    <row r="25" spans="1:7" ht="15.75" thickBot="1">
      <c r="A25" s="440"/>
      <c r="B25" s="440"/>
      <c r="C25" s="440"/>
      <c r="D25" s="440"/>
      <c r="E25" s="440"/>
      <c r="F25" s="440"/>
      <c r="G25" s="440"/>
    </row>
    <row r="26" spans="1:7" ht="15.75" thickBot="1">
      <c r="A26" s="635" t="s">
        <v>2903</v>
      </c>
      <c r="B26" s="626"/>
      <c r="C26" s="626"/>
      <c r="D26" s="626" t="s">
        <v>704</v>
      </c>
      <c r="E26" s="626"/>
      <c r="F26" s="626"/>
      <c r="G26" s="627"/>
    </row>
    <row r="27" spans="1:7" ht="15.75" thickBot="1">
      <c r="A27" s="631" t="s">
        <v>469</v>
      </c>
      <c r="B27" s="632"/>
      <c r="C27" s="632"/>
      <c r="D27" s="636">
        <v>121397034.65000001</v>
      </c>
      <c r="E27" s="636"/>
      <c r="F27" s="636"/>
      <c r="G27" s="637"/>
    </row>
    <row r="28" spans="1:7" ht="15.75" thickBot="1">
      <c r="A28" s="631" t="s">
        <v>719</v>
      </c>
      <c r="B28" s="632"/>
      <c r="C28" s="632"/>
      <c r="D28" s="636">
        <v>120017034.65000001</v>
      </c>
      <c r="E28" s="636"/>
      <c r="F28" s="636"/>
      <c r="G28" s="637"/>
    </row>
    <row r="29" spans="1:7" ht="15.75" thickBot="1">
      <c r="A29" s="631" t="s">
        <v>720</v>
      </c>
      <c r="B29" s="632"/>
      <c r="C29" s="632"/>
      <c r="D29" s="636">
        <v>120017034.65000001</v>
      </c>
      <c r="E29" s="636"/>
      <c r="F29" s="636"/>
      <c r="G29" s="637"/>
    </row>
    <row r="30" spans="1:7" ht="15.75" thickBot="1">
      <c r="A30" s="440"/>
      <c r="B30" s="440"/>
      <c r="C30" s="440"/>
      <c r="D30" s="440"/>
      <c r="E30" s="440"/>
      <c r="F30" s="440"/>
      <c r="G30" s="440"/>
    </row>
    <row r="31" spans="1:7" ht="15.75" thickBot="1">
      <c r="A31" s="635" t="s">
        <v>721</v>
      </c>
      <c r="B31" s="626"/>
      <c r="C31" s="626"/>
      <c r="D31" s="626" t="s">
        <v>704</v>
      </c>
      <c r="E31" s="626"/>
      <c r="F31" s="626"/>
      <c r="G31" s="627"/>
    </row>
    <row r="32" spans="1:7">
      <c r="A32" s="631" t="s">
        <v>1205</v>
      </c>
      <c r="B32" s="632"/>
      <c r="C32" s="632"/>
      <c r="D32" s="648"/>
      <c r="E32" s="648"/>
      <c r="F32" s="648"/>
      <c r="G32" s="649"/>
    </row>
    <row r="33" spans="1:7">
      <c r="B33" s="638" t="s">
        <v>722</v>
      </c>
      <c r="C33" s="639"/>
      <c r="D33" s="640">
        <v>6375272.1900000004</v>
      </c>
      <c r="E33" s="640"/>
      <c r="F33" s="640"/>
      <c r="G33" s="641"/>
    </row>
    <row r="34" spans="1:7">
      <c r="B34" s="638" t="s">
        <v>723</v>
      </c>
      <c r="C34" s="639"/>
      <c r="D34" s="640">
        <v>8781306.5700000003</v>
      </c>
      <c r="E34" s="640"/>
      <c r="F34" s="640"/>
      <c r="G34" s="641"/>
    </row>
    <row r="35" spans="1:7">
      <c r="B35" s="638" t="s">
        <v>724</v>
      </c>
      <c r="C35" s="639"/>
      <c r="D35" s="640">
        <v>8781306.5700000003</v>
      </c>
      <c r="E35" s="640"/>
      <c r="F35" s="640"/>
      <c r="G35" s="641"/>
    </row>
    <row r="36" spans="1:7">
      <c r="B36" s="638" t="s">
        <v>1206</v>
      </c>
      <c r="C36" s="639"/>
      <c r="D36" s="640">
        <v>8779411.6199999992</v>
      </c>
      <c r="E36" s="640"/>
      <c r="F36" s="640"/>
      <c r="G36" s="641"/>
    </row>
    <row r="37" spans="1:7">
      <c r="B37" s="638" t="s">
        <v>725</v>
      </c>
      <c r="C37" s="639"/>
      <c r="D37" s="640">
        <v>-2406034.38</v>
      </c>
      <c r="E37" s="640"/>
      <c r="F37" s="640"/>
      <c r="G37" s="641"/>
    </row>
    <row r="38" spans="1:7">
      <c r="A38" s="638" t="s">
        <v>1207</v>
      </c>
      <c r="B38" s="639"/>
      <c r="C38" s="639"/>
      <c r="D38" s="650"/>
      <c r="E38" s="650"/>
      <c r="F38" s="650"/>
      <c r="G38" s="651"/>
    </row>
    <row r="39" spans="1:7">
      <c r="B39" s="638" t="s">
        <v>722</v>
      </c>
      <c r="C39" s="639"/>
      <c r="D39" s="640">
        <v>0</v>
      </c>
      <c r="E39" s="640"/>
      <c r="F39" s="640"/>
      <c r="G39" s="641"/>
    </row>
    <row r="40" spans="1:7">
      <c r="B40" s="638" t="s">
        <v>723</v>
      </c>
      <c r="C40" s="639"/>
      <c r="D40" s="640">
        <v>0</v>
      </c>
      <c r="E40" s="640"/>
      <c r="F40" s="640"/>
      <c r="G40" s="641"/>
    </row>
    <row r="41" spans="1:7">
      <c r="B41" s="638" t="s">
        <v>724</v>
      </c>
      <c r="C41" s="639"/>
      <c r="D41" s="640">
        <v>0</v>
      </c>
      <c r="E41" s="640"/>
      <c r="F41" s="640"/>
      <c r="G41" s="641"/>
    </row>
    <row r="42" spans="1:7">
      <c r="B42" s="638" t="s">
        <v>1206</v>
      </c>
      <c r="C42" s="639"/>
      <c r="D42" s="640">
        <v>0</v>
      </c>
      <c r="E42" s="640"/>
      <c r="F42" s="640"/>
      <c r="G42" s="641"/>
    </row>
    <row r="43" spans="1:7" ht="15.75" thickBot="1">
      <c r="B43" s="638" t="s">
        <v>725</v>
      </c>
      <c r="C43" s="639"/>
      <c r="D43" s="640">
        <v>0</v>
      </c>
      <c r="E43" s="640"/>
      <c r="F43" s="640"/>
      <c r="G43" s="641"/>
    </row>
    <row r="44" spans="1:7" ht="15.75" thickBot="1">
      <c r="A44" s="440"/>
      <c r="B44" s="440"/>
      <c r="C44" s="440"/>
      <c r="D44" s="440"/>
      <c r="E44" s="440"/>
      <c r="F44" s="440"/>
      <c r="G44" s="440"/>
    </row>
    <row r="45" spans="1:7">
      <c r="A45" s="623" t="s">
        <v>726</v>
      </c>
      <c r="B45" s="652"/>
      <c r="C45" s="652"/>
      <c r="D45" s="530" t="s">
        <v>727</v>
      </c>
      <c r="E45" s="530" t="s">
        <v>728</v>
      </c>
      <c r="F45" s="626" t="s">
        <v>729</v>
      </c>
      <c r="G45" s="627"/>
    </row>
    <row r="46" spans="1:7">
      <c r="A46" s="621"/>
      <c r="B46" s="655"/>
      <c r="C46" s="655"/>
      <c r="D46" s="532" t="s">
        <v>730</v>
      </c>
      <c r="E46" s="532" t="s">
        <v>731</v>
      </c>
      <c r="F46" s="628"/>
      <c r="G46" s="629"/>
    </row>
    <row r="47" spans="1:7">
      <c r="A47" s="621"/>
      <c r="B47" s="655"/>
      <c r="C47" s="655"/>
      <c r="D47" s="532" t="s">
        <v>732</v>
      </c>
      <c r="E47" s="532"/>
      <c r="F47" s="628"/>
      <c r="G47" s="629"/>
    </row>
    <row r="48" spans="1:7" ht="15.75" thickBot="1">
      <c r="A48" s="621"/>
      <c r="B48" s="655"/>
      <c r="C48" s="655"/>
      <c r="D48" s="532" t="s">
        <v>733</v>
      </c>
      <c r="E48" s="532" t="s">
        <v>734</v>
      </c>
      <c r="F48" s="628" t="s">
        <v>735</v>
      </c>
      <c r="G48" s="629"/>
    </row>
    <row r="49" spans="1:7">
      <c r="A49" s="631" t="s">
        <v>736</v>
      </c>
      <c r="B49" s="632"/>
      <c r="C49" s="632"/>
      <c r="D49" s="535">
        <v>0</v>
      </c>
      <c r="E49" s="535">
        <v>4724964.1399999997</v>
      </c>
      <c r="F49" s="648"/>
      <c r="G49" s="649"/>
    </row>
    <row r="50" spans="1:7" ht="15.75" thickBot="1">
      <c r="A50" s="638" t="s">
        <v>737</v>
      </c>
      <c r="B50" s="639"/>
      <c r="C50" s="639"/>
      <c r="D50" s="538">
        <v>0</v>
      </c>
      <c r="E50" s="538">
        <v>5340383.8099999996</v>
      </c>
      <c r="F50" s="650"/>
      <c r="G50" s="651"/>
    </row>
    <row r="51" spans="1:7" ht="15.75" thickBot="1">
      <c r="A51" s="440"/>
      <c r="B51" s="440"/>
      <c r="C51" s="440"/>
      <c r="D51" s="440"/>
      <c r="E51" s="440"/>
      <c r="F51" s="440"/>
      <c r="G51" s="440"/>
    </row>
    <row r="52" spans="1:7">
      <c r="A52" s="623" t="s">
        <v>738</v>
      </c>
      <c r="B52" s="652"/>
      <c r="C52" s="652"/>
      <c r="D52" s="530" t="s">
        <v>739</v>
      </c>
      <c r="E52" s="530" t="s">
        <v>740</v>
      </c>
      <c r="F52" s="530" t="s">
        <v>741</v>
      </c>
      <c r="G52" s="531" t="s">
        <v>742</v>
      </c>
    </row>
    <row r="53" spans="1:7" ht="15.75" thickBot="1">
      <c r="A53" s="653"/>
      <c r="B53" s="654"/>
      <c r="C53" s="655"/>
      <c r="D53" s="532"/>
      <c r="E53" s="532" t="s">
        <v>704</v>
      </c>
      <c r="F53" s="532" t="s">
        <v>704</v>
      </c>
      <c r="G53" s="533" t="s">
        <v>257</v>
      </c>
    </row>
    <row r="54" spans="1:7">
      <c r="B54" s="630" t="s">
        <v>743</v>
      </c>
      <c r="C54" s="631"/>
      <c r="D54" s="535">
        <v>25330498.539999999</v>
      </c>
      <c r="E54" s="535">
        <v>18354.52</v>
      </c>
      <c r="F54" s="535">
        <v>5828739.8200000003</v>
      </c>
      <c r="G54" s="536">
        <v>19483404.199999999</v>
      </c>
    </row>
    <row r="55" spans="1:7">
      <c r="C55" s="442" t="s">
        <v>744</v>
      </c>
      <c r="D55" s="538">
        <v>25328075.960000001</v>
      </c>
      <c r="E55" s="538">
        <v>18354.52</v>
      </c>
      <c r="F55" s="538">
        <v>5826317.2400000002</v>
      </c>
      <c r="G55" s="539">
        <v>19483404.199999999</v>
      </c>
    </row>
    <row r="56" spans="1:7">
      <c r="C56" s="442" t="s">
        <v>745</v>
      </c>
      <c r="D56" s="538">
        <v>2422.58</v>
      </c>
      <c r="E56" s="538">
        <v>0</v>
      </c>
      <c r="F56" s="538">
        <v>2422.58</v>
      </c>
      <c r="G56" s="539">
        <v>0</v>
      </c>
    </row>
    <row r="57" spans="1:7">
      <c r="B57" s="656" t="s">
        <v>746</v>
      </c>
      <c r="C57" s="638"/>
      <c r="D57" s="538">
        <v>3151365.92</v>
      </c>
      <c r="E57" s="538">
        <v>36</v>
      </c>
      <c r="F57" s="538">
        <v>691261.35</v>
      </c>
      <c r="G57" s="539">
        <v>2460068.5699999998</v>
      </c>
    </row>
    <row r="58" spans="1:7">
      <c r="C58" s="442" t="s">
        <v>744</v>
      </c>
      <c r="D58" s="538">
        <v>3151365.92</v>
      </c>
      <c r="E58" s="538">
        <v>36</v>
      </c>
      <c r="F58" s="538">
        <v>691261.35</v>
      </c>
      <c r="G58" s="539">
        <v>2460068.5699999998</v>
      </c>
    </row>
    <row r="59" spans="1:7" ht="15.75" thickBot="1">
      <c r="C59" s="442" t="s">
        <v>745</v>
      </c>
      <c r="D59" s="538">
        <v>0</v>
      </c>
      <c r="E59" s="538">
        <v>0</v>
      </c>
      <c r="F59" s="538">
        <v>0</v>
      </c>
      <c r="G59" s="539">
        <v>0</v>
      </c>
    </row>
    <row r="60" spans="1:7" ht="15.75" thickBot="1">
      <c r="A60" s="615" t="s">
        <v>277</v>
      </c>
      <c r="B60" s="616"/>
      <c r="C60" s="616"/>
      <c r="D60" s="528">
        <v>28481864.460000001</v>
      </c>
      <c r="E60" s="528">
        <v>18390.52</v>
      </c>
      <c r="F60" s="528">
        <v>6520001.1699999999</v>
      </c>
      <c r="G60" s="529">
        <v>21943472.77</v>
      </c>
    </row>
    <row r="62" spans="1:7" ht="15.75" thickBot="1">
      <c r="A62" s="642"/>
      <c r="B62" s="642"/>
      <c r="C62" s="643"/>
      <c r="D62" s="532"/>
      <c r="E62" s="646" t="s">
        <v>747</v>
      </c>
      <c r="F62" s="646"/>
      <c r="G62" s="647"/>
    </row>
    <row r="63" spans="1:7">
      <c r="A63" s="642" t="s">
        <v>748</v>
      </c>
      <c r="B63" s="642"/>
      <c r="C63" s="643"/>
      <c r="D63" s="532" t="s">
        <v>749</v>
      </c>
      <c r="E63" s="532" t="s">
        <v>750</v>
      </c>
      <c r="F63" s="627" t="s">
        <v>751</v>
      </c>
      <c r="G63" s="644"/>
    </row>
    <row r="64" spans="1:7" ht="15.75" thickBot="1">
      <c r="A64" s="645"/>
      <c r="B64" s="645"/>
      <c r="C64" s="643"/>
      <c r="D64" s="532" t="s">
        <v>731</v>
      </c>
      <c r="E64" s="532" t="s">
        <v>752</v>
      </c>
      <c r="F64" s="629" t="s">
        <v>1208</v>
      </c>
      <c r="G64" s="645"/>
    </row>
    <row r="65" spans="1:7">
      <c r="A65" s="631" t="s">
        <v>753</v>
      </c>
      <c r="B65" s="632"/>
      <c r="C65" s="632"/>
      <c r="D65" s="535">
        <v>7813002.5039999997</v>
      </c>
      <c r="E65" s="443">
        <v>0.25</v>
      </c>
      <c r="F65" s="636">
        <v>25.94</v>
      </c>
      <c r="G65" s="637"/>
    </row>
    <row r="66" spans="1:7">
      <c r="A66" s="638" t="s">
        <v>754</v>
      </c>
      <c r="B66" s="639"/>
      <c r="C66" s="639"/>
      <c r="D66" s="538">
        <v>8079658.7800000003</v>
      </c>
      <c r="E66" s="444">
        <v>0.7</v>
      </c>
      <c r="F66" s="640">
        <v>81.96749435855439</v>
      </c>
      <c r="G66" s="641"/>
    </row>
    <row r="67" spans="1:7">
      <c r="A67" s="638" t="s">
        <v>755</v>
      </c>
      <c r="B67" s="639"/>
      <c r="C67" s="639"/>
      <c r="D67" s="538">
        <v>0</v>
      </c>
      <c r="E67" s="444">
        <v>0.5</v>
      </c>
      <c r="F67" s="640">
        <v>0</v>
      </c>
      <c r="G67" s="641"/>
    </row>
    <row r="68" spans="1:7" ht="15.75" thickBot="1">
      <c r="A68" s="638" t="s">
        <v>756</v>
      </c>
      <c r="B68" s="639"/>
      <c r="C68" s="639"/>
      <c r="D68" s="538">
        <v>0</v>
      </c>
      <c r="E68" s="444">
        <v>0.15</v>
      </c>
      <c r="F68" s="640">
        <v>0</v>
      </c>
      <c r="G68" s="641"/>
    </row>
    <row r="69" spans="1:7" ht="15.75" thickBot="1">
      <c r="A69" s="440"/>
      <c r="B69" s="440"/>
      <c r="C69" s="440"/>
      <c r="D69" s="440"/>
      <c r="E69" s="440"/>
      <c r="F69" s="440"/>
      <c r="G69" s="440"/>
    </row>
    <row r="70" spans="1:7" ht="15.75" thickBot="1">
      <c r="A70" s="622"/>
      <c r="B70" s="622"/>
      <c r="C70" s="623"/>
      <c r="D70" s="530" t="s">
        <v>749</v>
      </c>
      <c r="E70" s="624" t="s">
        <v>757</v>
      </c>
      <c r="F70" s="624"/>
      <c r="G70" s="625"/>
    </row>
    <row r="71" spans="1:7">
      <c r="A71" s="620" t="s">
        <v>2904</v>
      </c>
      <c r="B71" s="620"/>
      <c r="C71" s="621"/>
      <c r="D71" s="532" t="s">
        <v>731</v>
      </c>
      <c r="E71" s="532" t="s">
        <v>750</v>
      </c>
      <c r="F71" s="626" t="s">
        <v>758</v>
      </c>
      <c r="G71" s="627"/>
    </row>
    <row r="72" spans="1:7" ht="15.75" thickBot="1">
      <c r="A72" s="619"/>
      <c r="B72" s="620"/>
      <c r="C72" s="621"/>
      <c r="D72" s="532"/>
      <c r="E72" s="532" t="s">
        <v>759</v>
      </c>
      <c r="F72" s="628"/>
      <c r="G72" s="629"/>
    </row>
    <row r="73" spans="1:7" ht="15.75" thickBot="1">
      <c r="A73" s="630" t="s">
        <v>760</v>
      </c>
      <c r="B73" s="631"/>
      <c r="C73" s="632"/>
      <c r="D73" s="535">
        <f>7338388.85</f>
        <v>7338388.8499999996</v>
      </c>
      <c r="E73" s="443">
        <v>0.15</v>
      </c>
      <c r="F73" s="633">
        <v>24.43</v>
      </c>
      <c r="G73" s="634"/>
    </row>
    <row r="74" spans="1:7" ht="15.75" thickBot="1">
      <c r="A74" s="440"/>
      <c r="B74" s="440"/>
      <c r="C74" s="440"/>
      <c r="D74" s="440"/>
      <c r="E74" s="440"/>
      <c r="F74" s="440"/>
      <c r="G74" s="440"/>
    </row>
    <row r="75" spans="1:7" ht="15.75" thickBot="1">
      <c r="A75" s="635" t="s">
        <v>761</v>
      </c>
      <c r="B75" s="626"/>
      <c r="C75" s="626"/>
      <c r="D75" s="626" t="s">
        <v>762</v>
      </c>
      <c r="E75" s="626"/>
      <c r="F75" s="626"/>
      <c r="G75" s="627"/>
    </row>
    <row r="76" spans="1:7" ht="15.75" thickBot="1">
      <c r="A76" s="615" t="s">
        <v>1209</v>
      </c>
      <c r="B76" s="616"/>
      <c r="C76" s="616"/>
      <c r="D76" s="617">
        <v>0</v>
      </c>
      <c r="E76" s="617"/>
      <c r="F76" s="617"/>
      <c r="G76" s="618"/>
    </row>
    <row r="77" spans="1:7">
      <c r="A77" s="614" t="s">
        <v>2906</v>
      </c>
    </row>
    <row r="78" spans="1:7">
      <c r="A78" s="614" t="s">
        <v>2905</v>
      </c>
    </row>
    <row r="83" spans="2:9">
      <c r="B83" s="612" t="s">
        <v>99</v>
      </c>
      <c r="C83" s="54"/>
      <c r="D83" s="55" t="s">
        <v>100</v>
      </c>
      <c r="E83" s="56"/>
      <c r="F83" s="475" t="s">
        <v>101</v>
      </c>
      <c r="G83" s="55"/>
      <c r="I83" s="475"/>
    </row>
    <row r="84" spans="2:9">
      <c r="B84" s="612" t="s">
        <v>102</v>
      </c>
      <c r="C84" s="54"/>
      <c r="D84" s="55" t="s">
        <v>103</v>
      </c>
      <c r="E84" s="56"/>
      <c r="F84" s="475" t="s">
        <v>104</v>
      </c>
      <c r="G84" s="55"/>
      <c r="I84" s="475"/>
    </row>
  </sheetData>
  <mergeCells count="114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35:C35"/>
    <mergeCell ref="D35:G35"/>
    <mergeCell ref="B36:C36"/>
    <mergeCell ref="D36:G36"/>
    <mergeCell ref="D37:G37"/>
    <mergeCell ref="A32:C32"/>
    <mergeCell ref="D32:G32"/>
    <mergeCell ref="B33:C33"/>
    <mergeCell ref="D33:G33"/>
    <mergeCell ref="B34:C34"/>
    <mergeCell ref="D34:G34"/>
    <mergeCell ref="B37:C37"/>
    <mergeCell ref="B41:C41"/>
    <mergeCell ref="D41:G41"/>
    <mergeCell ref="F45:G45"/>
    <mergeCell ref="F46:G46"/>
    <mergeCell ref="D38:G38"/>
    <mergeCell ref="B39:C39"/>
    <mergeCell ref="D39:G39"/>
    <mergeCell ref="B40:C40"/>
    <mergeCell ref="D40:G40"/>
    <mergeCell ref="A38:C38"/>
    <mergeCell ref="B42:C42"/>
    <mergeCell ref="D42:G42"/>
    <mergeCell ref="B43:C43"/>
    <mergeCell ref="D43:G43"/>
    <mergeCell ref="A45:C48"/>
    <mergeCell ref="A60:C60"/>
    <mergeCell ref="F47:G47"/>
    <mergeCell ref="F48:G48"/>
    <mergeCell ref="A50:C50"/>
    <mergeCell ref="A49:C49"/>
    <mergeCell ref="F49:G49"/>
    <mergeCell ref="F50:G50"/>
    <mergeCell ref="A52:C52"/>
    <mergeCell ref="A53:C53"/>
    <mergeCell ref="B54:C54"/>
    <mergeCell ref="B57:C57"/>
    <mergeCell ref="A65:C65"/>
    <mergeCell ref="F65:G65"/>
    <mergeCell ref="A66:C66"/>
    <mergeCell ref="F66:G66"/>
    <mergeCell ref="A68:C68"/>
    <mergeCell ref="F68:G68"/>
    <mergeCell ref="A62:C62"/>
    <mergeCell ref="A63:C63"/>
    <mergeCell ref="F63:G63"/>
    <mergeCell ref="A64:C64"/>
    <mergeCell ref="F64:G64"/>
    <mergeCell ref="E62:G62"/>
    <mergeCell ref="A67:C67"/>
    <mergeCell ref="F67:G67"/>
    <mergeCell ref="A76:C76"/>
    <mergeCell ref="D76:G76"/>
    <mergeCell ref="A72:C72"/>
    <mergeCell ref="A70:C70"/>
    <mergeCell ref="E70:G70"/>
    <mergeCell ref="A71:C71"/>
    <mergeCell ref="F71:G71"/>
    <mergeCell ref="F72:G72"/>
    <mergeCell ref="A73:C73"/>
    <mergeCell ref="F73:G73"/>
    <mergeCell ref="A75:C75"/>
    <mergeCell ref="D75:G7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/>
  </sheetViews>
  <sheetFormatPr defaultRowHeight="15"/>
  <cols>
    <col min="1" max="1" width="55.7109375" customWidth="1"/>
    <col min="2" max="2" width="40.7109375" customWidth="1"/>
    <col min="3" max="3" width="18.7109375" customWidth="1"/>
    <col min="4" max="6" width="12.7109375" customWidth="1"/>
  </cols>
  <sheetData>
    <row r="1" spans="1:5" s="3" customFormat="1" ht="8.25"/>
    <row r="2" spans="1:5">
      <c r="A2" s="659" t="s">
        <v>1745</v>
      </c>
      <c r="B2" s="659"/>
      <c r="C2" s="659"/>
    </row>
    <row r="3" spans="1:5">
      <c r="A3" s="659" t="s">
        <v>793</v>
      </c>
      <c r="B3" s="659"/>
      <c r="C3" s="659"/>
    </row>
    <row r="4" spans="1:5">
      <c r="A4" s="660" t="s">
        <v>1746</v>
      </c>
      <c r="B4" s="660"/>
      <c r="C4" s="660"/>
    </row>
    <row r="5" spans="1:5">
      <c r="A5" s="659" t="s">
        <v>794</v>
      </c>
      <c r="B5" s="659"/>
      <c r="C5" s="659"/>
    </row>
    <row r="6" spans="1:5">
      <c r="A6" s="659" t="s">
        <v>1747</v>
      </c>
      <c r="B6" s="659"/>
      <c r="C6" s="659"/>
    </row>
    <row r="7" spans="1:5" s="3" customFormat="1" ht="8.25"/>
    <row r="8" spans="1:5" s="1" customFormat="1" ht="11.25">
      <c r="A8" s="585" t="s">
        <v>1748</v>
      </c>
      <c r="C8" s="455" t="s">
        <v>766</v>
      </c>
    </row>
    <row r="9" spans="1:5" s="1" customFormat="1" ht="11.25">
      <c r="A9" s="540" t="s">
        <v>1749</v>
      </c>
      <c r="B9" s="662" t="s">
        <v>1750</v>
      </c>
      <c r="C9" s="663"/>
    </row>
    <row r="10" spans="1:5" s="1" customFormat="1" ht="11.25">
      <c r="A10" s="541" t="s">
        <v>1751</v>
      </c>
      <c r="B10" s="664">
        <v>121397034.65000001</v>
      </c>
      <c r="C10" s="665"/>
      <c r="D10" s="354"/>
    </row>
    <row r="11" spans="1:5" s="1" customFormat="1" ht="11.25">
      <c r="A11" s="594" t="s">
        <v>719</v>
      </c>
      <c r="B11" s="666">
        <v>120017034.65000001</v>
      </c>
      <c r="C11" s="667"/>
    </row>
    <row r="12" spans="1:5" s="1" customFormat="1" ht="11.25">
      <c r="A12" s="542" t="s">
        <v>720</v>
      </c>
      <c r="B12" s="668">
        <v>120017034.65000001</v>
      </c>
      <c r="C12" s="669"/>
    </row>
    <row r="13" spans="1:5" s="3" customFormat="1" ht="8.25"/>
    <row r="14" spans="1:5" s="1" customFormat="1" ht="11.25">
      <c r="A14" s="540" t="s">
        <v>795</v>
      </c>
      <c r="B14" s="586" t="s">
        <v>797</v>
      </c>
      <c r="C14" s="587" t="s">
        <v>798</v>
      </c>
    </row>
    <row r="15" spans="1:5" s="1" customFormat="1" ht="11.25">
      <c r="A15" s="541" t="s">
        <v>1752</v>
      </c>
      <c r="B15" s="588">
        <v>76709830.109999999</v>
      </c>
      <c r="C15" s="589">
        <f>(B15/B12)*100</f>
        <v>63.91578523307566</v>
      </c>
      <c r="E15" s="371"/>
    </row>
    <row r="16" spans="1:5" s="1" customFormat="1" ht="11.25">
      <c r="A16" s="594" t="s">
        <v>1753</v>
      </c>
      <c r="B16" s="590">
        <f>B12*0.54</f>
        <v>64809198.71100001</v>
      </c>
      <c r="C16" s="591">
        <v>54</v>
      </c>
    </row>
    <row r="17" spans="1:3" s="1" customFormat="1" ht="11.25">
      <c r="A17" s="594" t="s">
        <v>1754</v>
      </c>
      <c r="B17" s="590">
        <f>B12*0.513</f>
        <v>61568738.775450006</v>
      </c>
      <c r="C17" s="591">
        <v>51.3</v>
      </c>
    </row>
    <row r="18" spans="1:3" s="1" customFormat="1" ht="11.25">
      <c r="A18" s="542" t="s">
        <v>1755</v>
      </c>
      <c r="B18" s="592">
        <f>B12*0.486</f>
        <v>58328278.839900002</v>
      </c>
      <c r="C18" s="593">
        <v>48.6</v>
      </c>
    </row>
    <row r="19" spans="1:3" s="3" customFormat="1" ht="8.25"/>
    <row r="20" spans="1:3" s="1" customFormat="1" ht="11.25">
      <c r="A20" s="540" t="s">
        <v>1756</v>
      </c>
      <c r="B20" s="586" t="s">
        <v>1757</v>
      </c>
      <c r="C20" s="587" t="s">
        <v>798</v>
      </c>
    </row>
    <row r="21" spans="1:3" s="1" customFormat="1" ht="11.25">
      <c r="A21" s="541" t="s">
        <v>2901</v>
      </c>
      <c r="B21" s="588" t="s">
        <v>1758</v>
      </c>
      <c r="C21" s="589" t="s">
        <v>1759</v>
      </c>
    </row>
    <row r="22" spans="1:3" s="1" customFormat="1" ht="11.25">
      <c r="A22" s="542" t="s">
        <v>1760</v>
      </c>
      <c r="B22" s="592">
        <v>0</v>
      </c>
      <c r="C22" s="593">
        <v>0</v>
      </c>
    </row>
    <row r="23" spans="1:3" s="3" customFormat="1" ht="8.25"/>
    <row r="24" spans="1:3" s="1" customFormat="1" ht="11.25">
      <c r="A24" s="540" t="s">
        <v>1761</v>
      </c>
      <c r="B24" s="586" t="s">
        <v>1757</v>
      </c>
      <c r="C24" s="587" t="s">
        <v>798</v>
      </c>
    </row>
    <row r="25" spans="1:3" s="1" customFormat="1" ht="11.25">
      <c r="A25" s="541" t="s">
        <v>1762</v>
      </c>
      <c r="B25" s="588">
        <v>0</v>
      </c>
      <c r="C25" s="589">
        <v>0</v>
      </c>
    </row>
    <row r="26" spans="1:3" s="1" customFormat="1" ht="11.25">
      <c r="A26" s="542" t="s">
        <v>1760</v>
      </c>
      <c r="B26" s="592">
        <v>0</v>
      </c>
      <c r="C26" s="593">
        <v>0</v>
      </c>
    </row>
    <row r="27" spans="1:3" s="3" customFormat="1" ht="8.25"/>
    <row r="28" spans="1:3" s="1" customFormat="1" ht="11.25">
      <c r="A28" s="540" t="s">
        <v>1763</v>
      </c>
      <c r="B28" s="586" t="s">
        <v>797</v>
      </c>
      <c r="C28" s="587" t="s">
        <v>798</v>
      </c>
    </row>
    <row r="29" spans="1:3" s="1" customFormat="1" ht="11.25">
      <c r="A29" s="541" t="s">
        <v>1764</v>
      </c>
      <c r="B29" s="588">
        <v>0</v>
      </c>
      <c r="C29" s="589">
        <v>0</v>
      </c>
    </row>
    <row r="30" spans="1:3" s="1" customFormat="1" ht="11.25">
      <c r="A30" s="594" t="s">
        <v>1765</v>
      </c>
      <c r="B30" s="8"/>
      <c r="C30" s="12"/>
    </row>
    <row r="31" spans="1:3" s="1" customFormat="1" ht="11.25">
      <c r="A31" s="594" t="s">
        <v>1766</v>
      </c>
      <c r="B31" s="590">
        <v>0</v>
      </c>
      <c r="C31" s="591">
        <v>0</v>
      </c>
    </row>
    <row r="32" spans="1:3" s="1" customFormat="1" ht="11.25">
      <c r="A32" s="594" t="s">
        <v>1767</v>
      </c>
      <c r="B32" s="590">
        <v>0</v>
      </c>
      <c r="C32" s="591">
        <v>0</v>
      </c>
    </row>
    <row r="33" spans="1:6" s="1" customFormat="1" ht="11.25">
      <c r="A33" s="594" t="s">
        <v>1765</v>
      </c>
      <c r="B33" s="8"/>
      <c r="C33" s="12"/>
    </row>
    <row r="34" spans="1:6" s="1" customFormat="1" ht="11.25">
      <c r="A34" s="542" t="s">
        <v>1768</v>
      </c>
      <c r="B34" s="592">
        <v>0</v>
      </c>
      <c r="C34" s="593">
        <v>0</v>
      </c>
    </row>
    <row r="35" spans="1:6">
      <c r="A35" s="611" t="s">
        <v>2902</v>
      </c>
    </row>
    <row r="36" spans="1:6">
      <c r="A36" s="1"/>
      <c r="B36" s="1"/>
      <c r="C36" s="1"/>
      <c r="D36" s="1"/>
    </row>
    <row r="37" spans="1:6">
      <c r="A37" s="1"/>
      <c r="B37" s="1"/>
      <c r="C37" s="1"/>
      <c r="D37" s="1"/>
    </row>
    <row r="38" spans="1:6">
      <c r="A38" s="1"/>
      <c r="B38" s="1"/>
      <c r="C38" s="1"/>
      <c r="D38" s="1"/>
    </row>
    <row r="39" spans="1:6">
      <c r="A39" s="1"/>
      <c r="B39" s="1"/>
      <c r="C39" s="1"/>
      <c r="D39" s="1"/>
    </row>
    <row r="40" spans="1:6">
      <c r="A40" s="55" t="s">
        <v>99</v>
      </c>
      <c r="B40" s="55" t="s">
        <v>100</v>
      </c>
      <c r="C40" s="475" t="s">
        <v>101</v>
      </c>
      <c r="D40" s="1"/>
      <c r="F40" s="55"/>
    </row>
    <row r="41" spans="1:6">
      <c r="A41" s="55" t="s">
        <v>102</v>
      </c>
      <c r="B41" s="55" t="s">
        <v>103</v>
      </c>
      <c r="C41" s="613" t="s">
        <v>104</v>
      </c>
      <c r="D41" s="1"/>
      <c r="F41" s="55"/>
    </row>
  </sheetData>
  <mergeCells count="9">
    <mergeCell ref="B9:C9"/>
    <mergeCell ref="B10:C10"/>
    <mergeCell ref="B11:C11"/>
    <mergeCell ref="B12:C12"/>
    <mergeCell ref="A2:C2"/>
    <mergeCell ref="A3:C3"/>
    <mergeCell ref="A4:C4"/>
    <mergeCell ref="A5:C5"/>
    <mergeCell ref="A6:C6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G26" sqref="G26"/>
    </sheetView>
  </sheetViews>
  <sheetFormatPr defaultRowHeight="15"/>
  <cols>
    <col min="1" max="1" width="32.7109375" customWidth="1"/>
    <col min="2" max="2" width="12" bestFit="1" customWidth="1"/>
    <col min="3" max="3" width="13.5703125" bestFit="1" customWidth="1"/>
    <col min="4" max="4" width="11.140625" bestFit="1" customWidth="1"/>
    <col min="5" max="5" width="9" bestFit="1" customWidth="1"/>
    <col min="6" max="6" width="12" bestFit="1" customWidth="1"/>
    <col min="7" max="7" width="11.140625" bestFit="1" customWidth="1"/>
    <col min="8" max="8" width="13.5703125" bestFit="1" customWidth="1"/>
    <col min="9" max="10" width="9.85546875" bestFit="1" customWidth="1"/>
    <col min="11" max="11" width="8.85546875" bestFit="1" customWidth="1"/>
    <col min="12" max="12" width="11.140625" bestFit="1" customWidth="1"/>
    <col min="13" max="13" width="12" bestFit="1" customWidth="1"/>
  </cols>
  <sheetData>
    <row r="2" spans="1:13">
      <c r="A2" s="659" t="s">
        <v>698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</row>
    <row r="3" spans="1:13">
      <c r="A3" s="659" t="s">
        <v>655</v>
      </c>
      <c r="B3" s="659"/>
      <c r="C3" s="659"/>
      <c r="D3" s="659"/>
      <c r="E3" s="659"/>
      <c r="F3" s="659"/>
      <c r="G3" s="659"/>
      <c r="H3" s="659"/>
      <c r="I3" s="659"/>
      <c r="J3" s="659"/>
      <c r="K3" s="659"/>
      <c r="L3" s="659"/>
      <c r="M3" s="659"/>
    </row>
    <row r="4" spans="1:13">
      <c r="A4" s="660" t="s">
        <v>764</v>
      </c>
      <c r="B4" s="660"/>
      <c r="C4" s="660"/>
      <c r="D4" s="660"/>
      <c r="E4" s="660"/>
      <c r="F4" s="660"/>
      <c r="G4" s="660"/>
      <c r="H4" s="660"/>
      <c r="I4" s="660"/>
      <c r="J4" s="660"/>
      <c r="K4" s="660"/>
      <c r="L4" s="660"/>
      <c r="M4" s="660"/>
    </row>
    <row r="5" spans="1:13">
      <c r="A5" s="659" t="s">
        <v>700</v>
      </c>
      <c r="B5" s="659"/>
      <c r="C5" s="659"/>
      <c r="D5" s="659"/>
      <c r="E5" s="659"/>
      <c r="F5" s="659"/>
      <c r="G5" s="659"/>
      <c r="H5" s="659"/>
      <c r="I5" s="659"/>
      <c r="J5" s="659"/>
      <c r="K5" s="659"/>
      <c r="L5" s="659"/>
      <c r="M5" s="659"/>
    </row>
    <row r="6" spans="1:13">
      <c r="A6" s="659" t="s">
        <v>1744</v>
      </c>
      <c r="B6" s="659"/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</row>
    <row r="8" spans="1:13" ht="15.75" thickBot="1">
      <c r="A8" s="656" t="s">
        <v>765</v>
      </c>
      <c r="B8" s="656"/>
      <c r="C8" s="656"/>
      <c r="D8" s="656"/>
      <c r="E8" s="656"/>
      <c r="F8" s="656"/>
      <c r="G8" s="656"/>
      <c r="H8" s="656"/>
      <c r="I8" s="656"/>
      <c r="J8" s="656"/>
      <c r="K8" s="656"/>
      <c r="L8" s="656"/>
      <c r="M8" s="455" t="s">
        <v>766</v>
      </c>
    </row>
    <row r="9" spans="1:13">
      <c r="A9" s="622" t="s">
        <v>767</v>
      </c>
      <c r="B9" s="670" t="s">
        <v>743</v>
      </c>
      <c r="C9" s="671"/>
      <c r="D9" s="671"/>
      <c r="E9" s="671"/>
      <c r="F9" s="671"/>
      <c r="G9" s="670" t="s">
        <v>768</v>
      </c>
      <c r="H9" s="622"/>
      <c r="I9" s="622"/>
      <c r="J9" s="622"/>
      <c r="K9" s="622"/>
      <c r="L9" s="622"/>
      <c r="M9" s="670" t="s">
        <v>769</v>
      </c>
    </row>
    <row r="10" spans="1:13" ht="15.75" thickBot="1">
      <c r="A10" s="620"/>
      <c r="B10" s="672"/>
      <c r="C10" s="673"/>
      <c r="D10" s="673"/>
      <c r="E10" s="673"/>
      <c r="F10" s="673"/>
      <c r="G10" s="674"/>
      <c r="H10" s="620"/>
      <c r="I10" s="620"/>
      <c r="J10" s="620"/>
      <c r="K10" s="620"/>
      <c r="L10" s="620"/>
      <c r="M10" s="674"/>
    </row>
    <row r="11" spans="1:13" ht="15.75" thickBot="1">
      <c r="A11" s="623"/>
      <c r="B11" s="624" t="s">
        <v>770</v>
      </c>
      <c r="C11" s="624"/>
      <c r="D11" s="652" t="s">
        <v>771</v>
      </c>
      <c r="E11" s="652" t="s">
        <v>772</v>
      </c>
      <c r="F11" s="652" t="s">
        <v>742</v>
      </c>
      <c r="G11" s="624" t="s">
        <v>770</v>
      </c>
      <c r="H11" s="624"/>
      <c r="I11" s="652" t="s">
        <v>773</v>
      </c>
      <c r="J11" s="652" t="s">
        <v>771</v>
      </c>
      <c r="K11" s="652" t="s">
        <v>772</v>
      </c>
      <c r="L11" s="652" t="s">
        <v>742</v>
      </c>
      <c r="M11" s="670"/>
    </row>
    <row r="12" spans="1:13">
      <c r="A12" s="621"/>
      <c r="B12" s="532" t="s">
        <v>774</v>
      </c>
      <c r="C12" s="532" t="s">
        <v>775</v>
      </c>
      <c r="D12" s="675"/>
      <c r="E12" s="655"/>
      <c r="F12" s="655"/>
      <c r="G12" s="532" t="s">
        <v>774</v>
      </c>
      <c r="H12" s="532" t="s">
        <v>775</v>
      </c>
      <c r="I12" s="655"/>
      <c r="J12" s="655"/>
      <c r="K12" s="655"/>
      <c r="L12" s="655"/>
      <c r="M12" s="674"/>
    </row>
    <row r="13" spans="1:13">
      <c r="A13" s="621"/>
      <c r="B13" s="532" t="s">
        <v>776</v>
      </c>
      <c r="C13" s="532" t="s">
        <v>1648</v>
      </c>
      <c r="D13" s="675"/>
      <c r="E13" s="655"/>
      <c r="F13" s="655"/>
      <c r="G13" s="532" t="s">
        <v>776</v>
      </c>
      <c r="H13" s="532" t="s">
        <v>1648</v>
      </c>
      <c r="I13" s="655"/>
      <c r="J13" s="655"/>
      <c r="K13" s="655"/>
      <c r="L13" s="655"/>
      <c r="M13" s="674"/>
    </row>
    <row r="14" spans="1:13" ht="15.75" thickBot="1">
      <c r="A14" s="621"/>
      <c r="B14" s="532" t="s">
        <v>733</v>
      </c>
      <c r="C14" s="532" t="s">
        <v>734</v>
      </c>
      <c r="D14" s="532" t="s">
        <v>777</v>
      </c>
      <c r="E14" s="532" t="s">
        <v>778</v>
      </c>
      <c r="F14" s="532" t="s">
        <v>779</v>
      </c>
      <c r="G14" s="532" t="s">
        <v>780</v>
      </c>
      <c r="H14" s="532" t="s">
        <v>781</v>
      </c>
      <c r="I14" s="532" t="s">
        <v>782</v>
      </c>
      <c r="J14" s="532" t="s">
        <v>783</v>
      </c>
      <c r="K14" s="532" t="s">
        <v>784</v>
      </c>
      <c r="L14" s="532" t="s">
        <v>785</v>
      </c>
      <c r="M14" s="533" t="s">
        <v>786</v>
      </c>
    </row>
    <row r="15" spans="1:13">
      <c r="A15" s="534" t="s">
        <v>787</v>
      </c>
      <c r="B15" s="479">
        <v>1359877.95</v>
      </c>
      <c r="C15" s="479">
        <v>4179911.12</v>
      </c>
      <c r="D15" s="479">
        <v>3481157.41</v>
      </c>
      <c r="E15" s="479">
        <v>18354.52</v>
      </c>
      <c r="F15" s="479">
        <v>2040277.14</v>
      </c>
      <c r="G15" s="479">
        <v>1319811.21</v>
      </c>
      <c r="H15" s="479">
        <v>1831554.71</v>
      </c>
      <c r="I15" s="479">
        <v>725684.99</v>
      </c>
      <c r="J15" s="479">
        <v>691261.35</v>
      </c>
      <c r="K15" s="479">
        <v>36</v>
      </c>
      <c r="L15" s="479">
        <v>2460068.5699999998</v>
      </c>
      <c r="M15" s="456">
        <v>4500345.71</v>
      </c>
    </row>
    <row r="16" spans="1:13">
      <c r="A16" s="457" t="s">
        <v>788</v>
      </c>
      <c r="B16" s="480">
        <v>1359877.95</v>
      </c>
      <c r="C16" s="480">
        <v>4177488.54</v>
      </c>
      <c r="D16" s="480">
        <v>3478734.83</v>
      </c>
      <c r="E16" s="480">
        <v>18354.52</v>
      </c>
      <c r="F16" s="480">
        <v>2040277.14</v>
      </c>
      <c r="G16" s="480">
        <v>1319811.21</v>
      </c>
      <c r="H16" s="480">
        <v>1831554.71</v>
      </c>
      <c r="I16" s="480">
        <v>725684.99</v>
      </c>
      <c r="J16" s="480">
        <v>691261.35</v>
      </c>
      <c r="K16" s="480">
        <v>36</v>
      </c>
      <c r="L16" s="480">
        <v>2460068.5699999998</v>
      </c>
      <c r="M16" s="458">
        <v>4500345.71</v>
      </c>
    </row>
    <row r="17" spans="1:13">
      <c r="A17" s="457" t="s">
        <v>789</v>
      </c>
      <c r="B17" s="480">
        <v>0</v>
      </c>
      <c r="C17" s="480">
        <v>2422.58</v>
      </c>
      <c r="D17" s="480">
        <v>2422.58</v>
      </c>
      <c r="E17" s="480">
        <v>0</v>
      </c>
      <c r="F17" s="480">
        <v>0</v>
      </c>
      <c r="G17" s="480">
        <v>0</v>
      </c>
      <c r="H17" s="480">
        <v>0</v>
      </c>
      <c r="I17" s="480">
        <v>0</v>
      </c>
      <c r="J17" s="480">
        <v>0</v>
      </c>
      <c r="K17" s="480">
        <v>0</v>
      </c>
      <c r="L17" s="480">
        <v>0</v>
      </c>
      <c r="M17" s="458">
        <v>0</v>
      </c>
    </row>
    <row r="18" spans="1:13">
      <c r="A18" s="459" t="s">
        <v>790</v>
      </c>
      <c r="B18" s="480">
        <v>0</v>
      </c>
      <c r="C18" s="480">
        <v>2422.58</v>
      </c>
      <c r="D18" s="480">
        <v>2422.58</v>
      </c>
      <c r="E18" s="480">
        <v>0</v>
      </c>
      <c r="F18" s="480">
        <v>0</v>
      </c>
      <c r="G18" s="480">
        <v>0</v>
      </c>
      <c r="H18" s="480">
        <v>0</v>
      </c>
      <c r="I18" s="480">
        <v>0</v>
      </c>
      <c r="J18" s="480">
        <v>0</v>
      </c>
      <c r="K18" s="480">
        <v>0</v>
      </c>
      <c r="L18" s="480">
        <v>0</v>
      </c>
      <c r="M18" s="458">
        <v>0</v>
      </c>
    </row>
    <row r="19" spans="1:13">
      <c r="A19" s="537" t="s">
        <v>791</v>
      </c>
      <c r="B19" s="480">
        <v>18226474.579999998</v>
      </c>
      <c r="C19" s="480">
        <v>1564234.89</v>
      </c>
      <c r="D19" s="480">
        <v>2347582.41</v>
      </c>
      <c r="E19" s="480">
        <v>0</v>
      </c>
      <c r="F19" s="480">
        <v>17443127.059999999</v>
      </c>
      <c r="G19" s="480">
        <v>0</v>
      </c>
      <c r="H19" s="480">
        <v>0</v>
      </c>
      <c r="I19" s="480">
        <v>0</v>
      </c>
      <c r="J19" s="480">
        <v>0</v>
      </c>
      <c r="K19" s="480">
        <v>0</v>
      </c>
      <c r="L19" s="480">
        <v>0</v>
      </c>
      <c r="M19" s="458">
        <v>17443127.059999999</v>
      </c>
    </row>
    <row r="20" spans="1:13" ht="15.75" thickBot="1">
      <c r="A20" s="457" t="s">
        <v>788</v>
      </c>
      <c r="B20" s="480">
        <v>18226474.579999998</v>
      </c>
      <c r="C20" s="480">
        <v>1564234.89</v>
      </c>
      <c r="D20" s="480">
        <v>2347582.41</v>
      </c>
      <c r="E20" s="480">
        <v>0</v>
      </c>
      <c r="F20" s="480">
        <v>17443127.059999999</v>
      </c>
      <c r="G20" s="480">
        <v>0</v>
      </c>
      <c r="H20" s="480">
        <v>0</v>
      </c>
      <c r="I20" s="480">
        <v>0</v>
      </c>
      <c r="J20" s="480">
        <v>0</v>
      </c>
      <c r="K20" s="480">
        <v>0</v>
      </c>
      <c r="L20" s="480">
        <v>0</v>
      </c>
      <c r="M20" s="458">
        <v>17443127.059999999</v>
      </c>
    </row>
    <row r="21" spans="1:13" ht="15.75" thickBot="1">
      <c r="A21" s="460" t="s">
        <v>792</v>
      </c>
      <c r="B21" s="461">
        <v>19586352.530000001</v>
      </c>
      <c r="C21" s="461">
        <v>5744146.0099999998</v>
      </c>
      <c r="D21" s="461">
        <v>5828739.8200000003</v>
      </c>
      <c r="E21" s="461">
        <v>18354.52</v>
      </c>
      <c r="F21" s="461">
        <v>19483404.199999999</v>
      </c>
      <c r="G21" s="461">
        <v>1319811.21</v>
      </c>
      <c r="H21" s="461">
        <v>1831554.71</v>
      </c>
      <c r="I21" s="461">
        <v>725684.99</v>
      </c>
      <c r="J21" s="461">
        <v>691261.35</v>
      </c>
      <c r="K21" s="461">
        <v>36</v>
      </c>
      <c r="L21" s="461">
        <v>2460068.5699999998</v>
      </c>
      <c r="M21" s="462">
        <v>21943472.77</v>
      </c>
    </row>
  </sheetData>
  <mergeCells count="19">
    <mergeCell ref="A8:L8"/>
    <mergeCell ref="A2:M2"/>
    <mergeCell ref="A3:M3"/>
    <mergeCell ref="A4:M4"/>
    <mergeCell ref="A5:M5"/>
    <mergeCell ref="A6:M6"/>
    <mergeCell ref="A9:A14"/>
    <mergeCell ref="B9:F10"/>
    <mergeCell ref="G9:L10"/>
    <mergeCell ref="M9:M13"/>
    <mergeCell ref="B11:C11"/>
    <mergeCell ref="D11:D13"/>
    <mergeCell ref="E11:E13"/>
    <mergeCell ref="F11:F13"/>
    <mergeCell ref="G11:H11"/>
    <mergeCell ref="I11:I13"/>
    <mergeCell ref="J11:J13"/>
    <mergeCell ref="K11:K13"/>
    <mergeCell ref="L11:L1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zoomScale="130" zoomScaleNormal="130" workbookViewId="0">
      <selection activeCell="A6" sqref="A6"/>
    </sheetView>
  </sheetViews>
  <sheetFormatPr defaultRowHeight="11.25"/>
  <cols>
    <col min="1" max="1" width="49.42578125" style="1" bestFit="1" customWidth="1"/>
    <col min="2" max="2" width="10.5703125" style="1" customWidth="1"/>
    <col min="3" max="3" width="12.28515625" style="1" bestFit="1" customWidth="1"/>
    <col min="4" max="5" width="11.42578125" style="1" bestFit="1" customWidth="1"/>
    <col min="6" max="6" width="10.5703125" style="1" bestFit="1" customWidth="1"/>
    <col min="7" max="8" width="11.42578125" style="1" bestFit="1" customWidth="1"/>
    <col min="9" max="10" width="10.5703125" style="1" bestFit="1" customWidth="1"/>
    <col min="11" max="11" width="11.42578125" style="1" bestFit="1" customWidth="1"/>
    <col min="12" max="12" width="10.5703125" style="1" bestFit="1" customWidth="1"/>
    <col min="13" max="13" width="11.42578125" style="1" bestFit="1" customWidth="1"/>
    <col min="14" max="14" width="10.5703125" style="1" bestFit="1" customWidth="1"/>
    <col min="15" max="15" width="11.42578125" style="1" bestFit="1" customWidth="1"/>
    <col min="16" max="16" width="11" style="1" bestFit="1" customWidth="1"/>
    <col min="17" max="16384" width="9.140625" style="1"/>
  </cols>
  <sheetData>
    <row r="1" spans="1:21">
      <c r="B1" s="2" t="s">
        <v>1</v>
      </c>
      <c r="E1" s="2" t="s">
        <v>800</v>
      </c>
      <c r="H1" s="66" t="s">
        <v>478</v>
      </c>
      <c r="I1" s="2" t="s">
        <v>1</v>
      </c>
      <c r="M1" s="2" t="s">
        <v>800</v>
      </c>
      <c r="U1" s="66" t="s">
        <v>479</v>
      </c>
    </row>
    <row r="2" spans="1:21">
      <c r="A2" s="11"/>
      <c r="B2" s="6"/>
      <c r="C2" s="676" t="s">
        <v>10</v>
      </c>
      <c r="D2" s="314">
        <v>44652</v>
      </c>
      <c r="E2" s="314">
        <v>44621</v>
      </c>
      <c r="F2" s="314">
        <v>44593</v>
      </c>
      <c r="G2" s="314">
        <v>44562</v>
      </c>
      <c r="H2" s="314">
        <v>44531</v>
      </c>
      <c r="I2" s="314">
        <v>44501</v>
      </c>
      <c r="J2" s="314">
        <v>44470</v>
      </c>
      <c r="K2" s="314">
        <v>44440</v>
      </c>
      <c r="L2" s="314">
        <v>44409</v>
      </c>
      <c r="M2" s="314">
        <v>44378</v>
      </c>
      <c r="N2" s="314">
        <v>44348</v>
      </c>
      <c r="O2" s="314">
        <v>44317</v>
      </c>
    </row>
    <row r="3" spans="1:21">
      <c r="A3" s="12" t="s">
        <v>0</v>
      </c>
      <c r="B3" s="8"/>
      <c r="C3" s="677"/>
      <c r="D3" s="315" t="s">
        <v>38</v>
      </c>
      <c r="E3" s="43" t="s">
        <v>39</v>
      </c>
      <c r="F3" s="41" t="s">
        <v>40</v>
      </c>
      <c r="G3" s="43" t="s">
        <v>449</v>
      </c>
      <c r="H3" s="41" t="s">
        <v>450</v>
      </c>
      <c r="I3" s="43" t="s">
        <v>451</v>
      </c>
      <c r="J3" s="41" t="s">
        <v>452</v>
      </c>
      <c r="K3" s="43" t="s">
        <v>453</v>
      </c>
      <c r="L3" s="41" t="s">
        <v>454</v>
      </c>
      <c r="M3" s="43" t="s">
        <v>455</v>
      </c>
      <c r="N3" s="41" t="s">
        <v>456</v>
      </c>
      <c r="O3" s="43" t="s">
        <v>457</v>
      </c>
    </row>
    <row r="4" spans="1:21">
      <c r="A4" s="9" t="s">
        <v>44</v>
      </c>
      <c r="B4" s="14" t="s">
        <v>45</v>
      </c>
      <c r="C4" s="13">
        <f>SUM(D4:O4)</f>
        <v>0</v>
      </c>
      <c r="D4" s="374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1">
      <c r="A5" s="5" t="s">
        <v>2</v>
      </c>
      <c r="B5" s="5"/>
      <c r="C5" s="13">
        <f>SUM(D5:O5)</f>
        <v>132830343.76000001</v>
      </c>
      <c r="D5" s="62">
        <f t="shared" ref="D5" si="0">D6-D7</f>
        <v>11103679.35</v>
      </c>
      <c r="E5" s="62">
        <f t="shared" ref="E5:O5" si="1">E6-E7</f>
        <v>11527853.43</v>
      </c>
      <c r="F5" s="62">
        <f t="shared" si="1"/>
        <v>11080171.5</v>
      </c>
      <c r="G5" s="62">
        <f t="shared" si="1"/>
        <v>11182974.76</v>
      </c>
      <c r="H5" s="62">
        <f t="shared" si="1"/>
        <v>16377826.710000001</v>
      </c>
      <c r="I5" s="62">
        <f t="shared" si="1"/>
        <v>11336687.890000001</v>
      </c>
      <c r="J5" s="62">
        <f t="shared" si="1"/>
        <v>11215124.91</v>
      </c>
      <c r="K5" s="62">
        <f t="shared" si="1"/>
        <v>8599619.8900000006</v>
      </c>
      <c r="L5" s="62">
        <f t="shared" si="1"/>
        <v>9409782.5599999987</v>
      </c>
      <c r="M5" s="62">
        <f t="shared" si="1"/>
        <v>12193906.34</v>
      </c>
      <c r="N5" s="62">
        <f t="shared" si="1"/>
        <v>8870336.4799999986</v>
      </c>
      <c r="O5" s="62">
        <f t="shared" si="1"/>
        <v>9932379.9400000013</v>
      </c>
      <c r="P5" s="371"/>
    </row>
    <row r="6" spans="1:21">
      <c r="A6" s="5" t="s">
        <v>3</v>
      </c>
      <c r="B6" s="10" t="s">
        <v>46</v>
      </c>
      <c r="C6" s="13">
        <f>SUM(D6:O6)</f>
        <v>149891307.30999997</v>
      </c>
      <c r="D6" s="62">
        <v>12445410.869999999</v>
      </c>
      <c r="E6" s="62">
        <v>12688905.859999999</v>
      </c>
      <c r="F6" s="62">
        <v>12723514.17</v>
      </c>
      <c r="G6" s="62">
        <f>12843050.92</f>
        <v>12843050.92</v>
      </c>
      <c r="H6" s="62">
        <f>18101953.5</f>
        <v>18101953.5</v>
      </c>
      <c r="I6" s="62">
        <f>12785520.99</f>
        <v>12785520.99</v>
      </c>
      <c r="J6" s="62">
        <v>13127307.9</v>
      </c>
      <c r="K6" s="62">
        <v>9720598.4900000002</v>
      </c>
      <c r="L6" s="62">
        <f>10728421.86</f>
        <v>10728421.859999999</v>
      </c>
      <c r="M6" s="62">
        <v>13657496.41</v>
      </c>
      <c r="N6" s="62">
        <f>9968466.03</f>
        <v>9968466.0299999993</v>
      </c>
      <c r="O6" s="62">
        <v>11100660.310000001</v>
      </c>
      <c r="P6" s="371"/>
    </row>
    <row r="7" spans="1:21">
      <c r="A7" s="5" t="s">
        <v>4</v>
      </c>
      <c r="B7" s="10" t="s">
        <v>47</v>
      </c>
      <c r="C7" s="13">
        <f>SUM(D7:O7)</f>
        <v>17060963.550000001</v>
      </c>
      <c r="D7" s="62">
        <v>1341731.52</v>
      </c>
      <c r="E7" s="62">
        <f>1161052.43</f>
        <v>1161052.43</v>
      </c>
      <c r="F7" s="316">
        <f>1643342.67</f>
        <v>1643342.67</v>
      </c>
      <c r="G7" s="316">
        <f>1660076.16</f>
        <v>1660076.16</v>
      </c>
      <c r="H7" s="316">
        <f>1724126.79</f>
        <v>1724126.79</v>
      </c>
      <c r="I7" s="316">
        <f>1448833.1</f>
        <v>1448833.1</v>
      </c>
      <c r="J7" s="316">
        <v>1912182.99</v>
      </c>
      <c r="K7" s="316">
        <f>1120978.6</f>
        <v>1120978.6000000001</v>
      </c>
      <c r="L7" s="316">
        <f>1318639.3</f>
        <v>1318639.3</v>
      </c>
      <c r="M7" s="316">
        <v>1463590.07</v>
      </c>
      <c r="N7" s="316">
        <f>1098129.55</f>
        <v>1098129.55</v>
      </c>
      <c r="O7" s="316">
        <f>1168280.37</f>
        <v>1168280.3700000001</v>
      </c>
    </row>
    <row r="8" spans="1:21" s="2" customFormat="1">
      <c r="A8" s="9" t="s">
        <v>5</v>
      </c>
      <c r="B8" s="15"/>
      <c r="C8" s="16">
        <f>SUM(D8:O8)</f>
        <v>11433309.109999999</v>
      </c>
      <c r="D8" s="16">
        <f t="shared" ref="D8" si="2">SUM(D9:D30)</f>
        <v>1160163.1099999999</v>
      </c>
      <c r="E8" s="16">
        <f t="shared" ref="E8:O8" si="3">SUM(E9:E30)</f>
        <v>1446121.91</v>
      </c>
      <c r="F8" s="16">
        <f t="shared" si="3"/>
        <v>798750.23999999987</v>
      </c>
      <c r="G8" s="16">
        <f t="shared" si="3"/>
        <v>669486.64999999991</v>
      </c>
      <c r="H8" s="16">
        <f t="shared" si="3"/>
        <v>1700784.6300000001</v>
      </c>
      <c r="I8" s="16">
        <f t="shared" si="3"/>
        <v>1208448.18</v>
      </c>
      <c r="J8" s="16">
        <f t="shared" si="3"/>
        <v>758296.15999999992</v>
      </c>
      <c r="K8" s="16">
        <f t="shared" si="3"/>
        <v>789004.9700000002</v>
      </c>
      <c r="L8" s="16">
        <f t="shared" si="3"/>
        <v>672336.2</v>
      </c>
      <c r="M8" s="16">
        <f t="shared" si="3"/>
        <v>678619.85000000009</v>
      </c>
      <c r="N8" s="16">
        <f t="shared" si="3"/>
        <v>698021.14999999991</v>
      </c>
      <c r="O8" s="16">
        <f t="shared" si="3"/>
        <v>853276.06</v>
      </c>
    </row>
    <row r="9" spans="1:21" s="2" customFormat="1">
      <c r="A9" s="334" t="s">
        <v>473</v>
      </c>
      <c r="B9" s="10" t="s">
        <v>475</v>
      </c>
      <c r="C9" s="13">
        <f t="shared" ref="C9:C36" si="4">SUM(D9:O9)</f>
        <v>0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1:21" s="2" customFormat="1">
      <c r="A10" s="334" t="s">
        <v>474</v>
      </c>
      <c r="B10" s="10" t="s">
        <v>476</v>
      </c>
      <c r="C10" s="13">
        <f>SUM(D10:O10)</f>
        <v>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21">
      <c r="A11" s="7" t="s">
        <v>6</v>
      </c>
      <c r="B11" s="335"/>
      <c r="C11" s="336"/>
      <c r="D11" s="336"/>
      <c r="E11" s="336"/>
      <c r="F11" s="336"/>
      <c r="G11" s="336"/>
      <c r="H11" s="336"/>
      <c r="I11" s="336"/>
      <c r="J11" s="336"/>
      <c r="K11" s="336"/>
      <c r="L11" s="336"/>
      <c r="M11" s="336"/>
      <c r="N11" s="336"/>
      <c r="O11" s="336"/>
    </row>
    <row r="12" spans="1:21" s="2" customFormat="1">
      <c r="A12" s="9" t="s">
        <v>7</v>
      </c>
      <c r="B12" s="30" t="s">
        <v>30</v>
      </c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</row>
    <row r="13" spans="1:21" s="2" customFormat="1">
      <c r="A13" s="5" t="s">
        <v>462</v>
      </c>
      <c r="B13" s="10" t="s">
        <v>463</v>
      </c>
      <c r="C13" s="13">
        <f t="shared" si="4"/>
        <v>5363113.8800000008</v>
      </c>
      <c r="D13" s="318">
        <f>396941.18+122332.93+8653.19</f>
        <v>527927.29999999993</v>
      </c>
      <c r="E13" s="318">
        <f>399169.03+121136.46+9403.71</f>
        <v>529709.20000000007</v>
      </c>
      <c r="F13" s="318">
        <f>308768.59+87226.15+5073.55</f>
        <v>401068.29</v>
      </c>
      <c r="G13" s="318">
        <f>234624.7+88797.03+5451.67</f>
        <v>328873.39999999997</v>
      </c>
      <c r="H13" s="318">
        <f>653486.68+91787.64+94059.92</f>
        <v>839334.24000000011</v>
      </c>
      <c r="I13" s="318">
        <f>293422.03+89308.42+5470.32</f>
        <v>388200.77</v>
      </c>
      <c r="J13" s="318">
        <f>293539.42+89308.42+5470.32</f>
        <v>388318.16</v>
      </c>
      <c r="K13" s="318">
        <f>299513.45+89308.42+5470.32</f>
        <v>394292.19</v>
      </c>
      <c r="L13" s="318">
        <f>294469.34+89696.81+5886.79</f>
        <v>390052.94</v>
      </c>
      <c r="M13" s="318">
        <f>296366.8+88943.6+5398.89</f>
        <v>390709.29000000004</v>
      </c>
      <c r="N13" s="318">
        <f>298472.38+5398.89+88625.3</f>
        <v>392496.57</v>
      </c>
      <c r="O13" s="318">
        <f>298361.17+88371.47+5398.89</f>
        <v>392131.53</v>
      </c>
    </row>
    <row r="14" spans="1:21" s="2" customFormat="1">
      <c r="A14" s="5" t="s">
        <v>464</v>
      </c>
      <c r="B14" s="10" t="s">
        <v>465</v>
      </c>
      <c r="C14" s="317">
        <f t="shared" si="4"/>
        <v>1660976.8399999999</v>
      </c>
      <c r="D14" s="62">
        <f>89933.51+64765.37</f>
        <v>154698.88</v>
      </c>
      <c r="E14" s="62">
        <f>88953.59+64175.16-64.35</f>
        <v>153064.4</v>
      </c>
      <c r="F14" s="62">
        <f>75311.11+55781.06</f>
        <v>131092.16999999998</v>
      </c>
      <c r="G14" s="62">
        <f>86934.48+53366.32</f>
        <v>140300.79999999999</v>
      </c>
      <c r="H14" s="62">
        <f>78489.05+53390.9</f>
        <v>131879.95000000001</v>
      </c>
      <c r="I14" s="62">
        <f>79522.33+53379.19</f>
        <v>132901.52000000002</v>
      </c>
      <c r="J14" s="62">
        <f>97373.51+54029.42</f>
        <v>151402.93</v>
      </c>
      <c r="K14" s="62">
        <f>78297.89+53855.24</f>
        <v>132153.13</v>
      </c>
      <c r="L14" s="62">
        <f>79675.55+54607.44</f>
        <v>134282.99</v>
      </c>
      <c r="M14" s="62">
        <f>79600.29+53390.39</f>
        <v>132990.68</v>
      </c>
      <c r="N14" s="62">
        <f>80247.08+53261.04</f>
        <v>133508.12</v>
      </c>
      <c r="O14" s="62">
        <f>79557.62+53143.65</f>
        <v>132701.26999999999</v>
      </c>
    </row>
    <row r="15" spans="1:21">
      <c r="A15" s="5" t="s">
        <v>8</v>
      </c>
      <c r="B15" s="10"/>
      <c r="C15" s="317">
        <f t="shared" si="4"/>
        <v>0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spans="1:21">
      <c r="A16" s="10" t="s">
        <v>653</v>
      </c>
      <c r="B16" s="10" t="s">
        <v>460</v>
      </c>
      <c r="C16" s="13">
        <f t="shared" si="4"/>
        <v>556198.90999999992</v>
      </c>
      <c r="D16" s="62">
        <v>46260.45</v>
      </c>
      <c r="E16" s="62">
        <v>46260.45</v>
      </c>
      <c r="F16" s="62">
        <f>41994.23</f>
        <v>41994.23</v>
      </c>
      <c r="G16" s="62">
        <f>41994.23</f>
        <v>41994.23</v>
      </c>
      <c r="H16" s="62">
        <v>90184.06</v>
      </c>
      <c r="I16" s="62">
        <f>41374.67</f>
        <v>41374.67</v>
      </c>
      <c r="J16" s="62">
        <v>41374.67</v>
      </c>
      <c r="K16" s="62">
        <v>41374.67</v>
      </c>
      <c r="L16" s="62">
        <f>41374.67</f>
        <v>41374.67</v>
      </c>
      <c r="M16" s="62">
        <v>41374.67</v>
      </c>
      <c r="N16" s="62">
        <v>41374.67</v>
      </c>
      <c r="O16" s="62">
        <f>41257.47</f>
        <v>41257.47</v>
      </c>
    </row>
    <row r="17" spans="1:15">
      <c r="A17" s="5" t="s">
        <v>9</v>
      </c>
      <c r="B17" s="10"/>
      <c r="C17" s="13">
        <f t="shared" si="4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 t="s">
        <v>1202</v>
      </c>
      <c r="B18" s="10" t="s">
        <v>31</v>
      </c>
      <c r="C18" s="317">
        <f t="shared" si="4"/>
        <v>2240565.9</v>
      </c>
      <c r="D18" s="62">
        <f>416112.89-137141.35</f>
        <v>278971.54000000004</v>
      </c>
      <c r="E18" s="62">
        <f>619278.08</f>
        <v>619278.07999999996</v>
      </c>
      <c r="F18" s="62">
        <f>346111.52-258485.56</f>
        <v>87625.960000000021</v>
      </c>
      <c r="G18" s="62">
        <f>170931.46-130848.46</f>
        <v>40082.999999999985</v>
      </c>
      <c r="H18" s="62">
        <f>468274.43</f>
        <v>468274.43</v>
      </c>
      <c r="I18" s="62">
        <f>559892.02-(2703.66+30050.01)</f>
        <v>527138.35</v>
      </c>
      <c r="J18" s="62">
        <f>356724.71-334520.02</f>
        <v>22204.690000000002</v>
      </c>
      <c r="K18" s="62">
        <f>207190.52-117856.34</f>
        <v>89334.18</v>
      </c>
      <c r="L18" s="62">
        <f>93050.89-139895.26</f>
        <v>-46844.37000000001</v>
      </c>
      <c r="M18" s="62">
        <f>73898.94-87402.27</f>
        <v>-13503.330000000002</v>
      </c>
      <c r="N18" s="62">
        <f>48213.11-50509.62</f>
        <v>-2296.510000000002</v>
      </c>
      <c r="O18" s="62">
        <f>196118.17-25818.29</f>
        <v>170299.88</v>
      </c>
    </row>
    <row r="19" spans="1:15">
      <c r="A19" s="5" t="s">
        <v>1204</v>
      </c>
      <c r="B19" s="10" t="s">
        <v>32</v>
      </c>
      <c r="C19" s="317">
        <f t="shared" si="4"/>
        <v>23359.739999999998</v>
      </c>
      <c r="D19" s="62">
        <v>2761.09</v>
      </c>
      <c r="E19" s="62"/>
      <c r="F19" s="62">
        <v>2761.09</v>
      </c>
      <c r="G19" s="62"/>
      <c r="H19" s="62">
        <v>12818.13</v>
      </c>
      <c r="I19" s="62"/>
      <c r="J19" s="62"/>
      <c r="K19" s="62"/>
      <c r="L19" s="62"/>
      <c r="M19" s="62">
        <v>1056.75</v>
      </c>
      <c r="N19" s="62">
        <v>1981.34</v>
      </c>
      <c r="O19" s="62">
        <v>1981.34</v>
      </c>
    </row>
    <row r="20" spans="1:15">
      <c r="A20" s="5" t="s">
        <v>12</v>
      </c>
      <c r="B20" s="10" t="s">
        <v>458</v>
      </c>
      <c r="C20" s="13">
        <f t="shared" si="4"/>
        <v>0</v>
      </c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7"/>
      <c r="O20" s="7"/>
    </row>
    <row r="21" spans="1:15">
      <c r="A21" s="10" t="s">
        <v>13</v>
      </c>
      <c r="B21" s="10" t="s">
        <v>461</v>
      </c>
      <c r="C21" s="317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pans="1:15">
      <c r="A22" s="5" t="s">
        <v>14</v>
      </c>
      <c r="B22" s="10" t="s">
        <v>33</v>
      </c>
      <c r="C22" s="13">
        <f t="shared" si="4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5" t="s">
        <v>15</v>
      </c>
      <c r="B23" s="10"/>
      <c r="C23" s="13">
        <f t="shared" si="4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10" t="s">
        <v>654</v>
      </c>
      <c r="B24" s="10" t="s">
        <v>459</v>
      </c>
      <c r="C24" s="317">
        <f>SUM(D24:O24)</f>
        <v>62368.470000000008</v>
      </c>
      <c r="D24" s="62">
        <f>11006.74</f>
        <v>11006.74</v>
      </c>
      <c r="E24" s="62">
        <v>10154.58</v>
      </c>
      <c r="F24" s="62">
        <v>8239.4699999999993</v>
      </c>
      <c r="G24" s="62">
        <f>2785.15</f>
        <v>2785.15</v>
      </c>
      <c r="H24" s="62">
        <f>7750.51</f>
        <v>7750.51</v>
      </c>
      <c r="I24" s="62">
        <f>3451.15</f>
        <v>3451.15</v>
      </c>
      <c r="J24" s="62">
        <v>3251.51</v>
      </c>
      <c r="K24" s="62">
        <v>3466.3</v>
      </c>
      <c r="L24" s="62">
        <f>3240.91</f>
        <v>3240.91</v>
      </c>
      <c r="M24" s="62">
        <f>2716.37</f>
        <v>2716.37</v>
      </c>
      <c r="N24" s="62">
        <f>3681.13</f>
        <v>3681.13</v>
      </c>
      <c r="O24" s="62">
        <f>2624.65</f>
        <v>2624.65</v>
      </c>
    </row>
    <row r="25" spans="1:15">
      <c r="A25" s="10" t="s">
        <v>1203</v>
      </c>
      <c r="B25" s="10" t="s">
        <v>34</v>
      </c>
      <c r="C25" s="317">
        <f t="shared" si="4"/>
        <v>1526725.3699999999</v>
      </c>
      <c r="D25" s="100">
        <f>138537.11</f>
        <v>138537.10999999999</v>
      </c>
      <c r="E25" s="100">
        <f>127979.54-40324.34</f>
        <v>87655.2</v>
      </c>
      <c r="F25" s="100">
        <v>125969.03</v>
      </c>
      <c r="G25" s="100">
        <f>115450.07</f>
        <v>115450.07</v>
      </c>
      <c r="H25" s="100">
        <f>150593.31-50</f>
        <v>150543.31</v>
      </c>
      <c r="I25" s="100">
        <f>115381.72</f>
        <v>115381.72</v>
      </c>
      <c r="J25" s="100">
        <v>151744.20000000001</v>
      </c>
      <c r="K25" s="100">
        <f>128384.5</f>
        <v>128384.5</v>
      </c>
      <c r="L25" s="100">
        <f>150351.34-122.28</f>
        <v>150229.06</v>
      </c>
      <c r="M25" s="100">
        <f>123275.42</f>
        <v>123275.42</v>
      </c>
      <c r="N25" s="100">
        <f>127275.83</f>
        <v>127275.83</v>
      </c>
      <c r="O25" s="100">
        <f>112279.92</f>
        <v>112279.92</v>
      </c>
    </row>
    <row r="26" spans="1:15">
      <c r="A26" s="5" t="s">
        <v>16</v>
      </c>
      <c r="B26" s="10"/>
      <c r="C26" s="13">
        <f t="shared" si="4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5" t="s">
        <v>17</v>
      </c>
      <c r="B27" s="10" t="s">
        <v>35</v>
      </c>
      <c r="C27" s="13">
        <f t="shared" si="4"/>
        <v>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 t="s">
        <v>18</v>
      </c>
      <c r="B28" s="10" t="s">
        <v>37</v>
      </c>
      <c r="C28" s="13">
        <f t="shared" si="4"/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 t="s">
        <v>19</v>
      </c>
      <c r="B29" s="10" t="s">
        <v>36</v>
      </c>
      <c r="C29" s="13">
        <f t="shared" si="4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 t="s">
        <v>20</v>
      </c>
      <c r="B30" s="10"/>
      <c r="C30" s="13">
        <f t="shared" si="4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s="2" customFormat="1">
      <c r="A31" s="9" t="s">
        <v>21</v>
      </c>
      <c r="B31" s="15"/>
      <c r="C31" s="16">
        <f>SUM(D31:O31)</f>
        <v>121397034.64999998</v>
      </c>
      <c r="D31" s="17">
        <f>D5-D8</f>
        <v>9943516.2400000002</v>
      </c>
      <c r="E31" s="17">
        <f t="shared" ref="E31" si="5">E5-E8</f>
        <v>10081731.52</v>
      </c>
      <c r="F31" s="17">
        <f t="shared" ref="F31:O31" si="6">F5-F8</f>
        <v>10281421.26</v>
      </c>
      <c r="G31" s="17">
        <f t="shared" si="6"/>
        <v>10513488.109999999</v>
      </c>
      <c r="H31" s="17">
        <f t="shared" si="6"/>
        <v>14677042.08</v>
      </c>
      <c r="I31" s="17">
        <f t="shared" si="6"/>
        <v>10128239.710000001</v>
      </c>
      <c r="J31" s="17">
        <f t="shared" si="6"/>
        <v>10456828.75</v>
      </c>
      <c r="K31" s="17">
        <f t="shared" si="6"/>
        <v>7810614.9199999999</v>
      </c>
      <c r="L31" s="17">
        <f t="shared" si="6"/>
        <v>8737446.3599999994</v>
      </c>
      <c r="M31" s="17">
        <f t="shared" si="6"/>
        <v>11515286.49</v>
      </c>
      <c r="N31" s="17">
        <f t="shared" si="6"/>
        <v>8172315.3299999982</v>
      </c>
      <c r="O31" s="17">
        <f t="shared" si="6"/>
        <v>9079103.8800000008</v>
      </c>
    </row>
    <row r="32" spans="1:15">
      <c r="A32" s="5" t="s">
        <v>22</v>
      </c>
      <c r="B32" s="5"/>
      <c r="C32" s="13">
        <f t="shared" si="4"/>
        <v>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5" t="s">
        <v>23</v>
      </c>
      <c r="B33" s="5"/>
      <c r="C33" s="13">
        <f t="shared" si="4"/>
        <v>121397034.64999998</v>
      </c>
      <c r="D33" s="18">
        <f t="shared" ref="D33" si="7">D31+D32</f>
        <v>9943516.2400000002</v>
      </c>
      <c r="E33" s="18">
        <f t="shared" ref="E33:O33" si="8">E31+E32</f>
        <v>10081731.52</v>
      </c>
      <c r="F33" s="18">
        <f t="shared" si="8"/>
        <v>10281421.26</v>
      </c>
      <c r="G33" s="18">
        <f t="shared" si="8"/>
        <v>10513488.109999999</v>
      </c>
      <c r="H33" s="18">
        <f t="shared" si="8"/>
        <v>14677042.08</v>
      </c>
      <c r="I33" s="18">
        <f t="shared" si="8"/>
        <v>10128239.710000001</v>
      </c>
      <c r="J33" s="18">
        <f t="shared" si="8"/>
        <v>10456828.75</v>
      </c>
      <c r="K33" s="18">
        <f t="shared" si="8"/>
        <v>7810614.9199999999</v>
      </c>
      <c r="L33" s="18">
        <f t="shared" si="8"/>
        <v>8737446.3599999994</v>
      </c>
      <c r="M33" s="18">
        <f t="shared" si="8"/>
        <v>11515286.49</v>
      </c>
      <c r="N33" s="18">
        <f t="shared" si="8"/>
        <v>8172315.3299999982</v>
      </c>
      <c r="O33" s="18">
        <f t="shared" si="8"/>
        <v>9079103.8800000008</v>
      </c>
    </row>
    <row r="34" spans="1:15">
      <c r="A34" s="5" t="s">
        <v>24</v>
      </c>
      <c r="B34" s="5"/>
      <c r="C34" s="13">
        <f>SUM(D34:O34)</f>
        <v>1030000</v>
      </c>
      <c r="D34" s="62">
        <v>50000</v>
      </c>
      <c r="E34" s="62"/>
      <c r="F34" s="62"/>
      <c r="G34" s="62"/>
      <c r="H34" s="62"/>
      <c r="I34" s="62">
        <v>100000</v>
      </c>
      <c r="J34" s="62">
        <f>880000</f>
        <v>880000</v>
      </c>
      <c r="K34" s="62"/>
      <c r="L34" s="62"/>
      <c r="M34" s="62"/>
      <c r="N34" s="62"/>
      <c r="O34" s="62"/>
    </row>
    <row r="35" spans="1:15">
      <c r="A35" s="5" t="s">
        <v>583</v>
      </c>
      <c r="B35" s="5"/>
      <c r="C35" s="13">
        <f>SUM(D35:O35)</f>
        <v>120367034.64999998</v>
      </c>
      <c r="D35" s="18">
        <f t="shared" ref="D35:E35" si="9">D33-D34</f>
        <v>9893516.2400000002</v>
      </c>
      <c r="E35" s="18">
        <f t="shared" si="9"/>
        <v>10081731.52</v>
      </c>
      <c r="F35" s="18">
        <f t="shared" ref="F35:O35" si="10">F33-F34</f>
        <v>10281421.26</v>
      </c>
      <c r="G35" s="18">
        <f t="shared" si="10"/>
        <v>10513488.109999999</v>
      </c>
      <c r="H35" s="18">
        <f t="shared" si="10"/>
        <v>14677042.08</v>
      </c>
      <c r="I35" s="18">
        <f t="shared" si="10"/>
        <v>10028239.710000001</v>
      </c>
      <c r="J35" s="18">
        <f t="shared" si="10"/>
        <v>9576828.75</v>
      </c>
      <c r="K35" s="18">
        <f t="shared" si="10"/>
        <v>7810614.9199999999</v>
      </c>
      <c r="L35" s="18">
        <f t="shared" si="10"/>
        <v>8737446.3599999994</v>
      </c>
      <c r="M35" s="18">
        <f t="shared" si="10"/>
        <v>11515286.49</v>
      </c>
      <c r="N35" s="18">
        <f t="shared" si="10"/>
        <v>8172315.3299999982</v>
      </c>
      <c r="O35" s="18">
        <f t="shared" si="10"/>
        <v>9079103.8800000008</v>
      </c>
    </row>
    <row r="36" spans="1:15">
      <c r="A36" s="5" t="s">
        <v>25</v>
      </c>
      <c r="B36" s="5"/>
      <c r="C36" s="13">
        <f t="shared" si="4"/>
        <v>350000</v>
      </c>
      <c r="D36" s="5"/>
      <c r="E36" s="5"/>
      <c r="F36" s="5"/>
      <c r="G36" s="5"/>
      <c r="H36" s="5"/>
      <c r="I36" s="5"/>
      <c r="J36" s="5"/>
      <c r="K36" s="5"/>
      <c r="L36" s="5"/>
      <c r="M36" s="62">
        <v>350000</v>
      </c>
      <c r="N36" s="5"/>
      <c r="O36" s="5"/>
    </row>
    <row r="37" spans="1:15" s="2" customFormat="1">
      <c r="A37" s="9" t="s">
        <v>26</v>
      </c>
      <c r="B37" s="9"/>
      <c r="C37" s="16">
        <f>SUM(D37:O37)</f>
        <v>120017034.64999998</v>
      </c>
      <c r="D37" s="17">
        <f>D35-D36</f>
        <v>9893516.2400000002</v>
      </c>
      <c r="E37" s="17">
        <f>E35-E36</f>
        <v>10081731.52</v>
      </c>
      <c r="F37" s="17">
        <f t="shared" ref="F37:O37" si="11">F35-F36</f>
        <v>10281421.26</v>
      </c>
      <c r="G37" s="17">
        <f t="shared" si="11"/>
        <v>10513488.109999999</v>
      </c>
      <c r="H37" s="17">
        <f t="shared" si="11"/>
        <v>14677042.08</v>
      </c>
      <c r="I37" s="17">
        <f t="shared" si="11"/>
        <v>10028239.710000001</v>
      </c>
      <c r="J37" s="17">
        <f t="shared" si="11"/>
        <v>9576828.75</v>
      </c>
      <c r="K37" s="17">
        <f t="shared" si="11"/>
        <v>7810614.9199999999</v>
      </c>
      <c r="L37" s="17">
        <f t="shared" si="11"/>
        <v>8737446.3599999994</v>
      </c>
      <c r="M37" s="17">
        <f t="shared" si="11"/>
        <v>11165286.49</v>
      </c>
      <c r="N37" s="17">
        <f t="shared" si="11"/>
        <v>8172315.3299999982</v>
      </c>
      <c r="O37" s="17">
        <f t="shared" si="11"/>
        <v>9079103.8800000008</v>
      </c>
    </row>
    <row r="38" spans="1:15" s="3" customFormat="1" ht="8.25">
      <c r="A38" s="3" t="s">
        <v>691</v>
      </c>
      <c r="B38" s="342"/>
      <c r="C38" s="340">
        <v>120017034.65000001</v>
      </c>
      <c r="D38" s="340">
        <f>9943516.24-D37</f>
        <v>50000</v>
      </c>
      <c r="E38" s="340">
        <f>10081731.52-E37</f>
        <v>0</v>
      </c>
      <c r="F38" s="340">
        <f>10281421.26-F37</f>
        <v>0</v>
      </c>
      <c r="G38" s="340">
        <f>10513488.11-G37</f>
        <v>0</v>
      </c>
      <c r="H38" s="340">
        <f>14677042.08-H37</f>
        <v>0</v>
      </c>
      <c r="I38" s="340">
        <f>10128239.71-I37</f>
        <v>100000</v>
      </c>
      <c r="J38" s="340">
        <f>10456828.75-J37</f>
        <v>880000</v>
      </c>
      <c r="K38" s="340">
        <f>7810614.92-K37</f>
        <v>0</v>
      </c>
      <c r="L38" s="340">
        <f>8737446.36-L37</f>
        <v>0</v>
      </c>
      <c r="M38" s="340">
        <f>11515286.49-M37</f>
        <v>350000</v>
      </c>
      <c r="N38" s="340">
        <f>8172315.33-N37</f>
        <v>0</v>
      </c>
      <c r="O38" s="340">
        <f>9079103.88-O37</f>
        <v>0</v>
      </c>
    </row>
    <row r="39" spans="1:15" s="24" customFormat="1" ht="8.25">
      <c r="A39" s="24" t="s">
        <v>27</v>
      </c>
      <c r="C39" s="504"/>
    </row>
    <row r="40" spans="1:15" s="24" customFormat="1" ht="8.25">
      <c r="A40" s="24" t="s">
        <v>28</v>
      </c>
    </row>
    <row r="41" spans="1:15" s="24" customFormat="1" ht="8.25">
      <c r="A41" s="24" t="s">
        <v>29</v>
      </c>
    </row>
    <row r="42" spans="1:15">
      <c r="C42" s="354"/>
    </row>
    <row r="44" spans="1:15">
      <c r="A44" s="55" t="s">
        <v>99</v>
      </c>
      <c r="B44" s="54"/>
      <c r="C44" s="56" t="s">
        <v>100</v>
      </c>
      <c r="D44" s="56"/>
      <c r="E44" s="57"/>
      <c r="F44" s="55"/>
      <c r="G44" s="58" t="s">
        <v>101</v>
      </c>
      <c r="H44" s="58"/>
    </row>
    <row r="45" spans="1:15">
      <c r="A45" s="55" t="s">
        <v>102</v>
      </c>
      <c r="B45" s="54"/>
      <c r="C45" s="56" t="s">
        <v>103</v>
      </c>
      <c r="D45" s="56"/>
      <c r="E45" s="57"/>
      <c r="F45" s="55"/>
      <c r="G45" s="58" t="s">
        <v>104</v>
      </c>
      <c r="H45" s="58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60"/>
  <sheetViews>
    <sheetView workbookViewId="0">
      <selection activeCell="C68" sqref="C68"/>
    </sheetView>
  </sheetViews>
  <sheetFormatPr defaultRowHeight="8.25"/>
  <cols>
    <col min="1" max="1" width="31.140625" style="3" customWidth="1"/>
    <col min="2" max="6" width="9.140625" style="3"/>
    <col min="7" max="7" width="9.28515625" style="3" bestFit="1" customWidth="1"/>
    <col min="8" max="8" width="12.7109375" style="3" customWidth="1"/>
    <col min="9" max="9" width="11" style="3" customWidth="1"/>
    <col min="10" max="10" width="11.85546875" style="3" bestFit="1" customWidth="1"/>
    <col min="11" max="11" width="11.7109375" style="3" customWidth="1"/>
    <col min="12" max="12" width="11.42578125" style="3" customWidth="1"/>
    <col min="13" max="13" width="11.42578125" style="3" bestFit="1" customWidth="1"/>
    <col min="14" max="14" width="11.140625" style="3" bestFit="1" customWidth="1"/>
    <col min="15" max="15" width="10.85546875" style="3" bestFit="1" customWidth="1"/>
    <col min="16" max="16" width="11.42578125" style="3" customWidth="1"/>
    <col min="17" max="17" width="11.140625" style="3" bestFit="1" customWidth="1"/>
    <col min="18" max="18" width="12.42578125" style="3" customWidth="1"/>
    <col min="19" max="19" width="11.85546875" style="3" bestFit="1" customWidth="1"/>
    <col min="20" max="20" width="11.7109375" style="3" bestFit="1" customWidth="1"/>
    <col min="21" max="21" width="10.42578125" style="3" bestFit="1" customWidth="1"/>
    <col min="22" max="16384" width="9.140625" style="3"/>
  </cols>
  <sheetData>
    <row r="1" spans="1:23" ht="11.25">
      <c r="B1" s="24" t="s">
        <v>48</v>
      </c>
      <c r="H1" s="2" t="s">
        <v>800</v>
      </c>
      <c r="I1" s="2"/>
      <c r="K1" s="342" t="s">
        <v>478</v>
      </c>
      <c r="L1" s="411"/>
      <c r="M1" s="24" t="s">
        <v>48</v>
      </c>
      <c r="R1" s="2" t="s">
        <v>800</v>
      </c>
      <c r="W1" s="342" t="s">
        <v>479</v>
      </c>
    </row>
    <row r="2" spans="1:23">
      <c r="A2" s="35" t="s">
        <v>49</v>
      </c>
      <c r="B2" s="35"/>
      <c r="C2" s="35"/>
      <c r="D2" s="35"/>
      <c r="E2" s="35"/>
      <c r="F2" s="35"/>
      <c r="G2" s="35"/>
      <c r="H2" s="340"/>
      <c r="L2" s="411"/>
      <c r="M2" s="340"/>
      <c r="N2" s="340"/>
    </row>
    <row r="3" spans="1:23">
      <c r="A3" s="22" t="s">
        <v>50</v>
      </c>
      <c r="B3" s="25" t="s">
        <v>480</v>
      </c>
      <c r="C3" s="25"/>
      <c r="D3" s="25"/>
      <c r="E3" s="25"/>
      <c r="F3" s="25"/>
      <c r="G3" s="25"/>
      <c r="H3" s="47" t="s">
        <v>93</v>
      </c>
      <c r="I3" s="42">
        <f>RCL!D2</f>
        <v>44652</v>
      </c>
      <c r="J3" s="44">
        <f>RCL!E2</f>
        <v>44621</v>
      </c>
      <c r="K3" s="42">
        <f>RCL!F2</f>
        <v>44593</v>
      </c>
      <c r="L3" s="42">
        <f>RCL!G2</f>
        <v>44562</v>
      </c>
      <c r="M3" s="44">
        <f>RCL!H2</f>
        <v>44531</v>
      </c>
      <c r="N3" s="42">
        <f>RCL!I2</f>
        <v>44501</v>
      </c>
      <c r="O3" s="44">
        <f>RCL!J2</f>
        <v>44470</v>
      </c>
      <c r="P3" s="42">
        <f>RCL!K2</f>
        <v>44440</v>
      </c>
      <c r="Q3" s="44">
        <f>RCL!L2</f>
        <v>44409</v>
      </c>
      <c r="R3" s="42">
        <f>RCL!M2</f>
        <v>44378</v>
      </c>
      <c r="S3" s="44">
        <f>RCL!N2</f>
        <v>44348</v>
      </c>
      <c r="T3" s="42">
        <f>RCL!O2</f>
        <v>44317</v>
      </c>
    </row>
    <row r="4" spans="1:23">
      <c r="A4" s="10" t="s">
        <v>44</v>
      </c>
      <c r="B4" s="343" t="s">
        <v>96</v>
      </c>
      <c r="C4" s="25"/>
      <c r="D4" s="25"/>
      <c r="E4" s="25"/>
      <c r="F4" s="25"/>
      <c r="G4" s="32" t="s">
        <v>84</v>
      </c>
      <c r="H4" s="48" t="s">
        <v>94</v>
      </c>
      <c r="I4" s="43" t="s">
        <v>38</v>
      </c>
      <c r="J4" s="41" t="s">
        <v>39</v>
      </c>
      <c r="K4" s="43" t="s">
        <v>40</v>
      </c>
      <c r="L4" s="43" t="s">
        <v>41</v>
      </c>
      <c r="M4" s="41" t="s">
        <v>42</v>
      </c>
      <c r="N4" s="43" t="s">
        <v>43</v>
      </c>
      <c r="O4" s="41" t="s">
        <v>87</v>
      </c>
      <c r="P4" s="43" t="s">
        <v>88</v>
      </c>
      <c r="Q4" s="41" t="s">
        <v>89</v>
      </c>
      <c r="R4" s="43" t="s">
        <v>90</v>
      </c>
      <c r="S4" s="41" t="s">
        <v>91</v>
      </c>
      <c r="T4" s="43" t="s">
        <v>92</v>
      </c>
    </row>
    <row r="5" spans="1:23" s="24" customFormat="1">
      <c r="A5" s="40" t="s">
        <v>51</v>
      </c>
      <c r="B5" s="36"/>
      <c r="C5" s="37"/>
      <c r="D5" s="37"/>
      <c r="E5" s="37"/>
      <c r="F5" s="37"/>
      <c r="G5" s="37"/>
      <c r="H5" s="338">
        <f>SUM(I5:T5)</f>
        <v>103206427.91</v>
      </c>
      <c r="I5" s="167">
        <f>I6+I7</f>
        <v>9800939.4299999997</v>
      </c>
      <c r="J5" s="167">
        <f>J6+J7</f>
        <v>9594937.8899999987</v>
      </c>
      <c r="K5" s="167">
        <f t="shared" ref="K5:L5" si="0">K6+K7</f>
        <v>9521281.9600000009</v>
      </c>
      <c r="L5" s="167">
        <f t="shared" si="0"/>
        <v>7830866.4000000004</v>
      </c>
      <c r="M5" s="167">
        <f>M6+M7</f>
        <v>15244093.890000001</v>
      </c>
      <c r="N5" s="167">
        <f t="shared" ref="N5:T5" si="1">N6+N7</f>
        <v>7378248.6099999994</v>
      </c>
      <c r="O5" s="167">
        <f t="shared" si="1"/>
        <v>7307481.9400000004</v>
      </c>
      <c r="P5" s="167">
        <f t="shared" si="1"/>
        <v>7201087.4400000004</v>
      </c>
      <c r="Q5" s="167">
        <f t="shared" si="1"/>
        <v>7291245.2999999998</v>
      </c>
      <c r="R5" s="167">
        <f t="shared" si="1"/>
        <v>7457935.1899999995</v>
      </c>
      <c r="S5" s="167">
        <f t="shared" si="1"/>
        <v>7299492.0199999996</v>
      </c>
      <c r="T5" s="167">
        <f t="shared" si="1"/>
        <v>7278817.8399999999</v>
      </c>
      <c r="V5" s="3"/>
      <c r="W5" s="3"/>
    </row>
    <row r="6" spans="1:23">
      <c r="A6" s="10" t="s">
        <v>52</v>
      </c>
      <c r="B6" s="22"/>
      <c r="C6" s="25"/>
      <c r="D6" s="25"/>
      <c r="E6" s="25"/>
      <c r="F6" s="25"/>
      <c r="G6" s="23" t="s">
        <v>110</v>
      </c>
      <c r="H6" s="46">
        <f>SUM(I6:T6)</f>
        <v>102026304</v>
      </c>
      <c r="I6" s="45">
        <v>9800939.4299999997</v>
      </c>
      <c r="J6" s="45">
        <f>9512897.79</f>
        <v>9512897.7899999991</v>
      </c>
      <c r="K6" s="45">
        <v>9453129.1600000001</v>
      </c>
      <c r="L6" s="45">
        <v>7753844.4000000004</v>
      </c>
      <c r="M6" s="45">
        <f>15177341.49</f>
        <v>15177341.49</v>
      </c>
      <c r="N6" s="45">
        <f>7311846.31</f>
        <v>7311846.3099999996</v>
      </c>
      <c r="O6" s="45">
        <v>7235984.9400000004</v>
      </c>
      <c r="P6" s="45">
        <f>7106261.44</f>
        <v>7106261.4400000004</v>
      </c>
      <c r="Q6" s="45">
        <f>7167386.63</f>
        <v>7167386.6299999999</v>
      </c>
      <c r="R6" s="45">
        <f>7526337.83-236922.78</f>
        <v>7289415.0499999998</v>
      </c>
      <c r="S6" s="45">
        <f>7170867.52</f>
        <v>7170867.5199999996</v>
      </c>
      <c r="T6" s="45">
        <f>7046389.84</f>
        <v>7046389.8399999999</v>
      </c>
    </row>
    <row r="7" spans="1:23">
      <c r="A7" s="10" t="s">
        <v>53</v>
      </c>
      <c r="B7" s="19"/>
      <c r="C7" s="35"/>
      <c r="D7" s="35"/>
      <c r="E7" s="35"/>
      <c r="F7" s="35"/>
      <c r="G7" s="20" t="s">
        <v>111</v>
      </c>
      <c r="H7" s="46">
        <f>SUM(I7:T7)</f>
        <v>1180123.9100000001</v>
      </c>
      <c r="I7" s="51"/>
      <c r="J7" s="51">
        <f>82040.1</f>
        <v>82040.100000000006</v>
      </c>
      <c r="K7" s="51">
        <f>68152.8</f>
        <v>68152.800000000003</v>
      </c>
      <c r="L7" s="51">
        <v>77022</v>
      </c>
      <c r="M7" s="51">
        <f>66752.4</f>
        <v>66752.399999999994</v>
      </c>
      <c r="N7" s="51">
        <f>66402.3</f>
        <v>66402.3</v>
      </c>
      <c r="O7" s="51">
        <v>71497</v>
      </c>
      <c r="P7" s="51">
        <f>94826</f>
        <v>94826</v>
      </c>
      <c r="Q7" s="51">
        <f>123858.67</f>
        <v>123858.67</v>
      </c>
      <c r="R7" s="51">
        <v>168520.14</v>
      </c>
      <c r="S7" s="51">
        <f>128624.5</f>
        <v>128624.5</v>
      </c>
      <c r="T7" s="51">
        <f>232428</f>
        <v>232428</v>
      </c>
    </row>
    <row r="8" spans="1:23" s="24" customFormat="1">
      <c r="A8" s="32" t="s">
        <v>5</v>
      </c>
      <c r="B8" s="32"/>
      <c r="C8" s="33"/>
      <c r="D8" s="33"/>
      <c r="E8" s="33"/>
      <c r="F8" s="33"/>
      <c r="G8" s="527"/>
      <c r="H8" s="46">
        <f>SUM(I8:T8)</f>
        <v>26935096.02</v>
      </c>
      <c r="I8" s="49">
        <f t="shared" ref="I8:J8" si="2">SUM(I10:I19)</f>
        <v>2390980.42</v>
      </c>
      <c r="J8" s="49">
        <f t="shared" si="2"/>
        <v>2528661.2799999998</v>
      </c>
      <c r="K8" s="49">
        <f t="shared" ref="K8:T8" si="3">SUM(K10:K19)</f>
        <v>2297658.2499999995</v>
      </c>
      <c r="L8" s="49">
        <f t="shared" si="3"/>
        <v>2001789.7200000002</v>
      </c>
      <c r="M8" s="49">
        <f t="shared" si="3"/>
        <v>3828455.82</v>
      </c>
      <c r="N8" s="49">
        <f t="shared" si="3"/>
        <v>2029057.35</v>
      </c>
      <c r="O8" s="49">
        <f t="shared" si="3"/>
        <v>1934118.0999999999</v>
      </c>
      <c r="P8" s="49">
        <f t="shared" si="3"/>
        <v>1937387.8199999998</v>
      </c>
      <c r="Q8" s="49">
        <f t="shared" si="3"/>
        <v>1922337.13</v>
      </c>
      <c r="R8" s="49">
        <f t="shared" si="3"/>
        <v>2153651.36</v>
      </c>
      <c r="S8" s="49">
        <f t="shared" si="3"/>
        <v>2016525.8699999999</v>
      </c>
      <c r="T8" s="49">
        <f t="shared" si="3"/>
        <v>1894472.9</v>
      </c>
      <c r="U8" s="422"/>
      <c r="V8" s="3"/>
      <c r="W8" s="3"/>
    </row>
    <row r="9" spans="1:23" s="24" customFormat="1">
      <c r="A9" s="32"/>
      <c r="B9" s="32"/>
      <c r="C9" s="33"/>
      <c r="D9" s="33"/>
      <c r="E9" s="33"/>
      <c r="F9" s="33"/>
      <c r="G9" s="34"/>
      <c r="H9" s="46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22"/>
      <c r="V9" s="3"/>
      <c r="W9" s="3"/>
    </row>
    <row r="10" spans="1:23">
      <c r="A10" s="22" t="s">
        <v>98</v>
      </c>
      <c r="B10" s="22"/>
      <c r="C10" s="25"/>
      <c r="D10" s="25"/>
      <c r="E10" s="25"/>
      <c r="F10" s="23"/>
      <c r="G10" s="30" t="s">
        <v>105</v>
      </c>
      <c r="H10" s="46">
        <f t="shared" ref="H10:H43" si="4">SUM(I10:T10)</f>
        <v>22585995.970000003</v>
      </c>
      <c r="I10" s="51">
        <v>2019475.9</v>
      </c>
      <c r="J10" s="51">
        <f>2016240.3</f>
        <v>2016240.3</v>
      </c>
      <c r="K10" s="51">
        <f>1994589.15</f>
        <v>1994589.15</v>
      </c>
      <c r="L10" s="51">
        <v>1730656.33</v>
      </c>
      <c r="M10" s="51">
        <f>3278600.89</f>
        <v>3278600.89</v>
      </c>
      <c r="N10" s="51">
        <f>1652874.5</f>
        <v>1652874.5</v>
      </c>
      <c r="O10" s="51">
        <v>1651696.41</v>
      </c>
      <c r="P10" s="51">
        <f>1649833.24</f>
        <v>1649833.24</v>
      </c>
      <c r="Q10" s="51">
        <f>1648483.54</f>
        <v>1648483.54</v>
      </c>
      <c r="R10" s="51">
        <v>1652132.24</v>
      </c>
      <c r="S10" s="51">
        <f>1649294.67</f>
        <v>1649294.67</v>
      </c>
      <c r="T10" s="51">
        <f>1642118.8</f>
        <v>1642118.8</v>
      </c>
    </row>
    <row r="11" spans="1:23">
      <c r="A11" s="21"/>
      <c r="B11" s="19"/>
      <c r="C11" s="35"/>
      <c r="D11" s="35"/>
      <c r="E11" s="35"/>
      <c r="F11" s="35"/>
      <c r="G11" s="10"/>
      <c r="H11" s="46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</row>
    <row r="12" spans="1:23">
      <c r="A12" s="22" t="s">
        <v>54</v>
      </c>
      <c r="B12" s="22"/>
      <c r="C12" s="25"/>
      <c r="D12" s="25"/>
      <c r="E12" s="25"/>
      <c r="F12" s="25"/>
      <c r="G12" s="10" t="s">
        <v>106</v>
      </c>
      <c r="H12" s="46">
        <f t="shared" si="4"/>
        <v>2957873.3500000006</v>
      </c>
      <c r="I12" s="51">
        <v>267062.40999999997</v>
      </c>
      <c r="J12" s="51">
        <v>262246.5</v>
      </c>
      <c r="K12" s="51">
        <f>266900.34</f>
        <v>266900.34000000003</v>
      </c>
      <c r="L12" s="51">
        <v>224135.64</v>
      </c>
      <c r="M12" s="51">
        <f>425586.98</f>
        <v>425586.98</v>
      </c>
      <c r="N12" s="51">
        <f>213881.89</f>
        <v>213881.89</v>
      </c>
      <c r="O12" s="51">
        <v>214871</v>
      </c>
      <c r="P12" s="51">
        <f>214871</f>
        <v>214871</v>
      </c>
      <c r="Q12" s="51">
        <f>214871</f>
        <v>214871</v>
      </c>
      <c r="R12" s="51">
        <v>231683.43</v>
      </c>
      <c r="S12" s="51">
        <f>210844.25</f>
        <v>210844.25</v>
      </c>
      <c r="T12" s="51">
        <f>210918.91</f>
        <v>210918.91</v>
      </c>
    </row>
    <row r="13" spans="1:23">
      <c r="A13" s="22"/>
      <c r="B13" s="22"/>
      <c r="C13" s="25"/>
      <c r="D13" s="25"/>
      <c r="E13" s="25"/>
      <c r="F13" s="25"/>
      <c r="G13" s="10"/>
      <c r="H13" s="46">
        <f t="shared" si="4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3">
      <c r="A14" s="22" t="s">
        <v>801</v>
      </c>
      <c r="B14" s="22"/>
      <c r="C14" s="25"/>
      <c r="D14" s="25"/>
      <c r="E14" s="25"/>
      <c r="F14" s="463"/>
      <c r="G14" s="10" t="s">
        <v>799</v>
      </c>
      <c r="H14" s="46">
        <f t="shared" si="4"/>
        <v>74103.87</v>
      </c>
      <c r="I14" s="51">
        <v>1613.61</v>
      </c>
      <c r="J14" s="51">
        <f>1613.61</f>
        <v>1613.61</v>
      </c>
      <c r="K14" s="51">
        <f>1613.61</f>
        <v>1613.61</v>
      </c>
      <c r="L14" s="51">
        <v>1396.82</v>
      </c>
      <c r="M14" s="51">
        <v>53381.19</v>
      </c>
      <c r="N14" s="51">
        <v>1335.92</v>
      </c>
      <c r="O14" s="51">
        <v>6469.51</v>
      </c>
      <c r="P14" s="51">
        <f>1335.92</f>
        <v>1335.92</v>
      </c>
      <c r="Q14" s="51">
        <f>1335.92</f>
        <v>1335.92</v>
      </c>
      <c r="R14" s="51">
        <f>1335.92</f>
        <v>1335.92</v>
      </c>
      <c r="S14" s="51">
        <f>1335.92</f>
        <v>1335.92</v>
      </c>
      <c r="T14" s="51">
        <f>1335.92</f>
        <v>1335.92</v>
      </c>
    </row>
    <row r="15" spans="1:23">
      <c r="A15" s="22"/>
      <c r="B15" s="22"/>
      <c r="C15" s="25"/>
      <c r="D15" s="25"/>
      <c r="E15" s="25"/>
      <c r="F15" s="23"/>
      <c r="G15" s="10"/>
      <c r="H15" s="46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3">
      <c r="A16" s="19" t="s">
        <v>55</v>
      </c>
      <c r="B16" s="19"/>
      <c r="C16" s="35"/>
      <c r="D16" s="35"/>
      <c r="E16" s="35"/>
      <c r="F16" s="35"/>
      <c r="G16" s="10" t="s">
        <v>107</v>
      </c>
      <c r="H16" s="46">
        <f t="shared" si="4"/>
        <v>24599.13</v>
      </c>
      <c r="I16" s="51"/>
      <c r="J16" s="51"/>
      <c r="K16" s="51"/>
      <c r="L16" s="51">
        <v>24599.13</v>
      </c>
      <c r="M16" s="10"/>
      <c r="N16" s="10"/>
      <c r="O16" s="10"/>
      <c r="P16" s="10"/>
      <c r="Q16" s="10"/>
      <c r="R16" s="10"/>
      <c r="S16" s="10"/>
      <c r="T16" s="10"/>
    </row>
    <row r="17" spans="1:23">
      <c r="A17" s="22"/>
      <c r="B17" s="22"/>
      <c r="C17" s="25"/>
      <c r="D17" s="25"/>
      <c r="E17" s="25"/>
      <c r="F17" s="23"/>
      <c r="G17" s="10"/>
      <c r="H17" s="4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3">
      <c r="A18" s="27" t="s">
        <v>56</v>
      </c>
      <c r="B18" s="27"/>
      <c r="C18" s="28"/>
      <c r="D18" s="28"/>
      <c r="E18" s="28"/>
      <c r="F18" s="463"/>
      <c r="G18" s="10" t="s">
        <v>97</v>
      </c>
      <c r="H18" s="46">
        <f>SUM(I18:T18)</f>
        <v>1292523.7000000002</v>
      </c>
      <c r="I18" s="62">
        <v>102828.5</v>
      </c>
      <c r="J18" s="62">
        <f>248560.87</f>
        <v>248560.87</v>
      </c>
      <c r="K18" s="62">
        <f>34555.15</f>
        <v>34555.15</v>
      </c>
      <c r="L18" s="62">
        <v>21001.8</v>
      </c>
      <c r="M18" s="62">
        <f>70886.76</f>
        <v>70886.759999999995</v>
      </c>
      <c r="N18" s="62">
        <f>160965.04</f>
        <v>160965.04</v>
      </c>
      <c r="O18" s="62">
        <v>61081.18</v>
      </c>
      <c r="P18" s="62">
        <f>71347.66</f>
        <v>71347.66</v>
      </c>
      <c r="Q18" s="62">
        <v>57646.67</v>
      </c>
      <c r="R18" s="62">
        <v>268499.77</v>
      </c>
      <c r="S18" s="62">
        <f>155051.03</f>
        <v>155051.03</v>
      </c>
      <c r="T18" s="62">
        <f>40099.27</f>
        <v>40099.269999999997</v>
      </c>
    </row>
    <row r="19" spans="1:23">
      <c r="A19" s="52"/>
      <c r="B19" s="53"/>
      <c r="C19" s="25"/>
      <c r="D19" s="25"/>
      <c r="E19" s="25"/>
      <c r="F19" s="25"/>
      <c r="G19" s="10"/>
      <c r="H19" s="46">
        <f>SUM(I19:T19)</f>
        <v>0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3" s="24" customFormat="1">
      <c r="A20" s="40" t="s">
        <v>57</v>
      </c>
      <c r="B20" s="36"/>
      <c r="C20" s="37"/>
      <c r="D20" s="37"/>
      <c r="E20" s="37"/>
      <c r="F20" s="37"/>
      <c r="G20" s="15"/>
      <c r="H20" s="46">
        <f>SUM(I20:T20)</f>
        <v>76271331.890000001</v>
      </c>
      <c r="I20" s="50">
        <f>I5-I8</f>
        <v>7409959.0099999998</v>
      </c>
      <c r="J20" s="50">
        <f>J5-J8</f>
        <v>7066276.6099999994</v>
      </c>
      <c r="K20" s="50">
        <f>K5-K8</f>
        <v>7223623.7100000009</v>
      </c>
      <c r="L20" s="50">
        <f>L5-L8</f>
        <v>5829076.6799999997</v>
      </c>
      <c r="M20" s="50">
        <f>M5-M8</f>
        <v>11415638.07</v>
      </c>
      <c r="N20" s="50">
        <f t="shared" ref="N20" si="5">N5-N8</f>
        <v>5349191.26</v>
      </c>
      <c r="O20" s="50">
        <f>O5-O8</f>
        <v>5373363.8400000008</v>
      </c>
      <c r="P20" s="50">
        <f t="shared" ref="P20:T20" si="6">P5-P8</f>
        <v>5263699.620000001</v>
      </c>
      <c r="Q20" s="50">
        <f t="shared" si="6"/>
        <v>5368908.1699999999</v>
      </c>
      <c r="R20" s="50">
        <f t="shared" si="6"/>
        <v>5304283.83</v>
      </c>
      <c r="S20" s="50">
        <f t="shared" si="6"/>
        <v>5282966.1499999994</v>
      </c>
      <c r="T20" s="50">
        <f t="shared" si="6"/>
        <v>5384344.9399999995</v>
      </c>
      <c r="V20" s="3"/>
      <c r="W20" s="3"/>
    </row>
    <row r="21" spans="1:23">
      <c r="A21" s="10" t="s">
        <v>58</v>
      </c>
      <c r="B21" s="22"/>
      <c r="C21" s="25"/>
      <c r="D21" s="25"/>
      <c r="E21" s="25"/>
      <c r="F21" s="25"/>
      <c r="G21" s="10" t="s">
        <v>108</v>
      </c>
      <c r="H21" s="46">
        <f t="shared" si="4"/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3">
      <c r="A22" s="10" t="s">
        <v>59</v>
      </c>
      <c r="B22" s="19"/>
      <c r="C22" s="35"/>
      <c r="D22" s="35"/>
      <c r="E22" s="35"/>
      <c r="F22" s="35"/>
      <c r="G22" s="10" t="s">
        <v>109</v>
      </c>
      <c r="H22" s="46">
        <f t="shared" si="4"/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337"/>
    </row>
    <row r="23" spans="1:23" s="24" customFormat="1">
      <c r="A23" s="15" t="s">
        <v>86</v>
      </c>
      <c r="B23" s="32"/>
      <c r="C23" s="33"/>
      <c r="D23" s="33"/>
      <c r="E23" s="33"/>
      <c r="F23" s="33"/>
      <c r="G23" s="34"/>
      <c r="H23" s="46">
        <f t="shared" si="4"/>
        <v>0</v>
      </c>
      <c r="I23" s="49">
        <f>SUM(I21:I22)</f>
        <v>0</v>
      </c>
      <c r="J23" s="49">
        <f>SUM(J21:J22)</f>
        <v>0</v>
      </c>
      <c r="K23" s="49">
        <f>SUM(K21:K22)</f>
        <v>0</v>
      </c>
      <c r="L23" s="49">
        <f>SUM(L21:L22)</f>
        <v>0</v>
      </c>
      <c r="M23" s="49">
        <f>SUM(M21:M22)</f>
        <v>0</v>
      </c>
      <c r="N23" s="49">
        <f t="shared" ref="N23:T23" si="7">SUM(N21:N22)</f>
        <v>0</v>
      </c>
      <c r="O23" s="49">
        <f t="shared" si="7"/>
        <v>0</v>
      </c>
      <c r="P23" s="49">
        <f t="shared" si="7"/>
        <v>0</v>
      </c>
      <c r="Q23" s="49">
        <f t="shared" si="7"/>
        <v>0</v>
      </c>
      <c r="R23" s="49">
        <f t="shared" si="7"/>
        <v>0</v>
      </c>
      <c r="S23" s="49">
        <f t="shared" si="7"/>
        <v>0</v>
      </c>
      <c r="T23" s="49">
        <f t="shared" si="7"/>
        <v>0</v>
      </c>
    </row>
    <row r="24" spans="1:23">
      <c r="A24" s="10" t="s">
        <v>60</v>
      </c>
      <c r="B24" s="22" t="s">
        <v>85</v>
      </c>
      <c r="C24" s="25"/>
      <c r="D24" s="25"/>
      <c r="E24" s="25"/>
      <c r="F24" s="25"/>
      <c r="G24" s="10"/>
      <c r="H24" s="46">
        <f>SUM(I24:T24)</f>
        <v>611445.09999999963</v>
      </c>
      <c r="I24" s="339">
        <f>9788563.69-I5</f>
        <v>-12375.740000000224</v>
      </c>
      <c r="J24" s="339">
        <f>9623865.53-J5</f>
        <v>28927.640000000596</v>
      </c>
      <c r="K24" s="339">
        <f>9465877.22+649785.6-K5</f>
        <v>594380.8599999994</v>
      </c>
      <c r="L24" s="339">
        <f>7754356.74+77022-L5</f>
        <v>512.33999999985099</v>
      </c>
      <c r="M24" s="339"/>
      <c r="N24" s="339"/>
      <c r="O24" s="339"/>
      <c r="P24" s="339"/>
      <c r="Q24" s="339"/>
      <c r="R24" s="339"/>
      <c r="S24" s="339"/>
      <c r="T24" s="464"/>
    </row>
    <row r="25" spans="1:23">
      <c r="A25" s="26" t="s">
        <v>61</v>
      </c>
      <c r="B25" s="27" t="s">
        <v>85</v>
      </c>
      <c r="C25" s="35"/>
      <c r="D25" s="35"/>
      <c r="E25" s="35"/>
      <c r="F25" s="35"/>
      <c r="G25" s="10"/>
      <c r="H25" s="46">
        <f t="shared" si="4"/>
        <v>-172946.87999999931</v>
      </c>
      <c r="I25" s="51"/>
      <c r="J25" s="51"/>
      <c r="K25" s="51"/>
      <c r="L25" s="51"/>
      <c r="M25" s="51">
        <f>(15143005.9-M6)+(-1283.7-M7)</f>
        <v>-102371.68999999984</v>
      </c>
      <c r="N25" s="51">
        <f>(7288911.42+134438.4)-(N6+N7)</f>
        <v>45101.210000000894</v>
      </c>
      <c r="O25" s="51">
        <f>(7229419.31+71497)-(O6+O7)</f>
        <v>-6565.6300000008196</v>
      </c>
      <c r="P25" s="51">
        <f>(7097448.16+94826)-(P6+P7)</f>
        <v>-8813.2800000002608</v>
      </c>
      <c r="Q25" s="51">
        <f>(7157933.11+123858.67)-(Q6+Q7)</f>
        <v>-9453.519999999553</v>
      </c>
      <c r="R25" s="51">
        <f>(7280601.77+109820.64)-(R6+R7)</f>
        <v>-67512.780000000261</v>
      </c>
      <c r="S25" s="337">
        <f>7154869.31-(S6+S66)</f>
        <v>-15998.209999999963</v>
      </c>
      <c r="T25" s="337">
        <f>(7045109.36-T6+355000-T7)-128624.5</f>
        <v>-7332.9799999995157</v>
      </c>
    </row>
    <row r="26" spans="1:23" s="24" customFormat="1">
      <c r="A26" s="32" t="s">
        <v>62</v>
      </c>
      <c r="B26" s="33"/>
      <c r="C26" s="33"/>
      <c r="D26" s="33"/>
      <c r="E26" s="33"/>
      <c r="F26" s="33"/>
      <c r="G26" s="341"/>
      <c r="H26" s="46">
        <f>SUM(I26:T26)</f>
        <v>438498.22000000032</v>
      </c>
      <c r="I26" s="49">
        <f>SUM(I24:I25)</f>
        <v>-12375.740000000224</v>
      </c>
      <c r="J26" s="49">
        <f>SUM(J24:J25)</f>
        <v>28927.640000000596</v>
      </c>
      <c r="K26" s="49">
        <f t="shared" ref="K26" si="8">SUM(K24:K25)</f>
        <v>594380.8599999994</v>
      </c>
      <c r="L26" s="49">
        <f>SUM(L24:L25)</f>
        <v>512.33999999985099</v>
      </c>
      <c r="M26" s="49">
        <f t="shared" ref="M26:T26" si="9">SUM(M24:M25)</f>
        <v>-102371.68999999984</v>
      </c>
      <c r="N26" s="49">
        <f t="shared" si="9"/>
        <v>45101.210000000894</v>
      </c>
      <c r="O26" s="49">
        <f t="shared" si="9"/>
        <v>-6565.6300000008196</v>
      </c>
      <c r="P26" s="49">
        <f t="shared" si="9"/>
        <v>-8813.2800000002608</v>
      </c>
      <c r="Q26" s="49">
        <f t="shared" si="9"/>
        <v>-9453.519999999553</v>
      </c>
      <c r="R26" s="49">
        <f t="shared" si="9"/>
        <v>-67512.780000000261</v>
      </c>
      <c r="S26" s="49">
        <f t="shared" si="9"/>
        <v>-15998.209999999963</v>
      </c>
      <c r="T26" s="49">
        <f t="shared" si="9"/>
        <v>-7332.9799999995157</v>
      </c>
    </row>
    <row r="27" spans="1:23">
      <c r="A27" s="29"/>
      <c r="B27" s="19" t="s">
        <v>63</v>
      </c>
      <c r="C27" s="35"/>
      <c r="D27" s="35"/>
      <c r="E27" s="35"/>
      <c r="F27" s="35"/>
      <c r="G27" s="10" t="s">
        <v>65</v>
      </c>
      <c r="H27" s="46">
        <f t="shared" si="4"/>
        <v>0</v>
      </c>
      <c r="I27" s="10"/>
      <c r="J27" s="10"/>
      <c r="K27" s="10"/>
      <c r="L27" s="10"/>
      <c r="M27" s="15"/>
      <c r="N27" s="15"/>
      <c r="O27" s="15"/>
      <c r="P27" s="15"/>
      <c r="Q27" s="15"/>
      <c r="R27" s="15"/>
      <c r="S27" s="15"/>
      <c r="T27" s="15"/>
    </row>
    <row r="28" spans="1:23">
      <c r="A28" s="29" t="s">
        <v>69</v>
      </c>
      <c r="B28" s="22" t="s">
        <v>64</v>
      </c>
      <c r="C28" s="25"/>
      <c r="D28" s="25"/>
      <c r="E28" s="25"/>
      <c r="F28" s="25"/>
      <c r="G28" s="10" t="s">
        <v>66</v>
      </c>
      <c r="H28" s="46">
        <f t="shared" si="4"/>
        <v>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3">
      <c r="A29" s="30"/>
      <c r="B29" s="21" t="s">
        <v>67</v>
      </c>
      <c r="C29" s="31"/>
      <c r="D29" s="31"/>
      <c r="E29" s="31"/>
      <c r="F29" s="31"/>
      <c r="G29" s="10" t="s">
        <v>68</v>
      </c>
      <c r="H29" s="46">
        <f t="shared" si="4"/>
        <v>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3">
      <c r="A30" s="26"/>
      <c r="B30" s="27" t="s">
        <v>71</v>
      </c>
      <c r="C30" s="28"/>
      <c r="D30" s="28"/>
      <c r="E30" s="28"/>
      <c r="F30" s="28"/>
      <c r="G30" s="10" t="s">
        <v>72</v>
      </c>
      <c r="H30" s="46">
        <f t="shared" si="4"/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3">
      <c r="A31" s="29" t="s">
        <v>70</v>
      </c>
      <c r="B31" s="22" t="s">
        <v>64</v>
      </c>
      <c r="C31" s="25"/>
      <c r="D31" s="25"/>
      <c r="E31" s="25"/>
      <c r="F31" s="25"/>
      <c r="G31" s="10" t="s">
        <v>66</v>
      </c>
      <c r="H31" s="46">
        <f t="shared" si="4"/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3">
      <c r="A32" s="29"/>
      <c r="B32" s="21" t="s">
        <v>67</v>
      </c>
      <c r="C32" s="31"/>
      <c r="D32" s="31"/>
      <c r="E32" s="31"/>
      <c r="F32" s="31"/>
      <c r="G32" s="10" t="s">
        <v>68</v>
      </c>
      <c r="H32" s="46">
        <f t="shared" si="4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30"/>
      <c r="B33" s="22" t="s">
        <v>73</v>
      </c>
      <c r="C33" s="25"/>
      <c r="D33" s="25"/>
      <c r="E33" s="25"/>
      <c r="F33" s="25"/>
      <c r="G33" s="10" t="s">
        <v>74</v>
      </c>
      <c r="H33" s="46">
        <f t="shared" si="4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26"/>
      <c r="B34" s="27" t="s">
        <v>75</v>
      </c>
      <c r="C34" s="28"/>
      <c r="D34" s="28"/>
      <c r="E34" s="28"/>
      <c r="F34" s="28"/>
      <c r="G34" s="10" t="s">
        <v>76</v>
      </c>
      <c r="H34" s="46">
        <f t="shared" si="4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29"/>
      <c r="B35" s="22" t="s">
        <v>64</v>
      </c>
      <c r="C35" s="25"/>
      <c r="D35" s="25"/>
      <c r="E35" s="25"/>
      <c r="F35" s="25"/>
      <c r="G35" s="10" t="s">
        <v>66</v>
      </c>
      <c r="H35" s="46">
        <f t="shared" si="4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29" t="s">
        <v>585</v>
      </c>
      <c r="B36" s="21" t="s">
        <v>67</v>
      </c>
      <c r="C36" s="31"/>
      <c r="D36" s="31"/>
      <c r="E36" s="31"/>
      <c r="F36" s="31"/>
      <c r="G36" s="10" t="s">
        <v>68</v>
      </c>
      <c r="H36" s="46">
        <f t="shared" si="4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29"/>
      <c r="B37" s="22" t="s">
        <v>73</v>
      </c>
      <c r="C37" s="25"/>
      <c r="D37" s="25"/>
      <c r="E37" s="25"/>
      <c r="F37" s="25"/>
      <c r="G37" s="10" t="s">
        <v>74</v>
      </c>
      <c r="H37" s="46">
        <f t="shared" si="4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30"/>
      <c r="B38" s="22" t="s">
        <v>78</v>
      </c>
      <c r="C38" s="31"/>
      <c r="D38" s="31"/>
      <c r="E38" s="31"/>
      <c r="F38" s="31"/>
      <c r="G38" s="10" t="s">
        <v>77</v>
      </c>
      <c r="H38" s="46">
        <f t="shared" si="4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26"/>
      <c r="B39" s="22" t="s">
        <v>64</v>
      </c>
      <c r="C39" s="25"/>
      <c r="D39" s="25"/>
      <c r="E39" s="25"/>
      <c r="F39" s="25"/>
      <c r="G39" s="10" t="s">
        <v>66</v>
      </c>
      <c r="H39" s="46">
        <f t="shared" si="4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29"/>
      <c r="B40" s="21" t="s">
        <v>67</v>
      </c>
      <c r="C40" s="31"/>
      <c r="D40" s="31"/>
      <c r="E40" s="31"/>
      <c r="F40" s="31"/>
      <c r="G40" s="10" t="s">
        <v>68</v>
      </c>
      <c r="H40" s="46">
        <f t="shared" si="4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29" t="s">
        <v>586</v>
      </c>
      <c r="B41" s="22" t="s">
        <v>73</v>
      </c>
      <c r="C41" s="25"/>
      <c r="D41" s="25"/>
      <c r="E41" s="25"/>
      <c r="F41" s="25"/>
      <c r="G41" s="10" t="s">
        <v>74</v>
      </c>
      <c r="H41" s="46">
        <f t="shared" si="4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29"/>
      <c r="B42" s="22" t="s">
        <v>78</v>
      </c>
      <c r="C42" s="31"/>
      <c r="D42" s="31"/>
      <c r="E42" s="31"/>
      <c r="F42" s="31"/>
      <c r="G42" s="10" t="s">
        <v>77</v>
      </c>
      <c r="H42" s="46">
        <f t="shared" si="4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29"/>
      <c r="B43" s="22" t="s">
        <v>79</v>
      </c>
      <c r="C43" s="31"/>
      <c r="D43" s="31"/>
      <c r="E43" s="31"/>
      <c r="F43" s="31"/>
      <c r="G43" s="10" t="s">
        <v>80</v>
      </c>
      <c r="H43" s="46">
        <f t="shared" si="4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30"/>
      <c r="B44" s="22" t="s">
        <v>81</v>
      </c>
      <c r="C44" s="31"/>
      <c r="D44" s="31"/>
      <c r="E44" s="31"/>
      <c r="F44" s="31"/>
      <c r="G44" s="10" t="s">
        <v>82</v>
      </c>
      <c r="H44" s="46">
        <f>SUM(I44:T44)</f>
        <v>0</v>
      </c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1:20" s="24" customFormat="1">
      <c r="A45" s="32" t="s">
        <v>83</v>
      </c>
      <c r="B45" s="33"/>
      <c r="C45" s="33" t="s">
        <v>477</v>
      </c>
      <c r="D45" s="33"/>
      <c r="E45" s="33"/>
      <c r="F45" s="33"/>
      <c r="G45" s="34"/>
      <c r="H45" s="46">
        <f>SUM(I45:T45)</f>
        <v>0</v>
      </c>
      <c r="I45" s="49">
        <f>SUM(I27:I44)</f>
        <v>0</v>
      </c>
      <c r="J45" s="49">
        <f t="shared" ref="J45:T45" si="10">SUM(J27:J44)</f>
        <v>0</v>
      </c>
      <c r="K45" s="49">
        <f t="shared" si="10"/>
        <v>0</v>
      </c>
      <c r="L45" s="49">
        <f t="shared" si="10"/>
        <v>0</v>
      </c>
      <c r="M45" s="49">
        <f t="shared" si="10"/>
        <v>0</v>
      </c>
      <c r="N45" s="49">
        <f t="shared" si="10"/>
        <v>0</v>
      </c>
      <c r="O45" s="49">
        <f t="shared" si="10"/>
        <v>0</v>
      </c>
      <c r="P45" s="49">
        <f t="shared" si="10"/>
        <v>0</v>
      </c>
      <c r="Q45" s="49">
        <f t="shared" si="10"/>
        <v>0</v>
      </c>
      <c r="R45" s="49">
        <f t="shared" si="10"/>
        <v>0</v>
      </c>
      <c r="S45" s="49">
        <f t="shared" si="10"/>
        <v>0</v>
      </c>
      <c r="T45" s="49">
        <f t="shared" si="10"/>
        <v>0</v>
      </c>
    </row>
    <row r="46" spans="1:20">
      <c r="A46" s="32" t="s">
        <v>95</v>
      </c>
      <c r="B46" s="25"/>
      <c r="C46" s="25"/>
      <c r="D46" s="25"/>
      <c r="E46" s="25"/>
      <c r="F46" s="25"/>
      <c r="G46" s="23"/>
      <c r="H46" s="50">
        <f>H20+H23+H26-H45</f>
        <v>76709830.109999999</v>
      </c>
      <c r="I46" s="50">
        <f>I20+I23+I26-I45</f>
        <v>7397583.2699999996</v>
      </c>
      <c r="J46" s="50">
        <f t="shared" ref="J46:S46" si="11">J20+J23+J26-J45</f>
        <v>7095204.25</v>
      </c>
      <c r="K46" s="50">
        <f t="shared" si="11"/>
        <v>7818004.5700000003</v>
      </c>
      <c r="L46" s="50">
        <f t="shared" si="11"/>
        <v>5829589.0199999996</v>
      </c>
      <c r="M46" s="50">
        <f t="shared" si="11"/>
        <v>11313266.380000001</v>
      </c>
      <c r="N46" s="50">
        <f t="shared" si="11"/>
        <v>5394292.4700000007</v>
      </c>
      <c r="O46" s="50">
        <f t="shared" si="11"/>
        <v>5366798.21</v>
      </c>
      <c r="P46" s="50">
        <f t="shared" si="11"/>
        <v>5254886.3400000008</v>
      </c>
      <c r="Q46" s="50">
        <f t="shared" si="11"/>
        <v>5359454.6500000004</v>
      </c>
      <c r="R46" s="50">
        <f t="shared" si="11"/>
        <v>5236771.05</v>
      </c>
      <c r="S46" s="50">
        <f t="shared" si="11"/>
        <v>5266967.9399999995</v>
      </c>
      <c r="T46" s="50">
        <f>T20+T23+T26-T45</f>
        <v>5377011.96</v>
      </c>
    </row>
    <row r="47" spans="1:20">
      <c r="A47" s="3" t="s">
        <v>681</v>
      </c>
      <c r="H47" s="373"/>
    </row>
    <row r="48" spans="1:20">
      <c r="H48" s="373"/>
    </row>
    <row r="50" spans="1:19">
      <c r="G50" s="465"/>
    </row>
    <row r="51" spans="1:19">
      <c r="G51" s="465"/>
    </row>
    <row r="53" spans="1:19" s="57" customFormat="1" ht="11.25">
      <c r="A53" s="54"/>
      <c r="H53" s="168"/>
      <c r="N53" s="55" t="s">
        <v>99</v>
      </c>
      <c r="O53" s="54"/>
      <c r="P53" s="56" t="s">
        <v>100</v>
      </c>
      <c r="Q53" s="56"/>
      <c r="S53" s="58" t="s">
        <v>101</v>
      </c>
    </row>
    <row r="54" spans="1:19" s="59" customFormat="1" ht="11.25">
      <c r="A54" s="54"/>
      <c r="N54" s="55" t="s">
        <v>102</v>
      </c>
      <c r="O54" s="54"/>
      <c r="P54" s="56" t="s">
        <v>103</v>
      </c>
      <c r="Q54" s="56"/>
      <c r="R54" s="57"/>
      <c r="S54" s="58" t="s">
        <v>104</v>
      </c>
    </row>
    <row r="55" spans="1:19">
      <c r="L55" s="411"/>
    </row>
    <row r="60" spans="1:19">
      <c r="I60" s="373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Q59"/>
  <sheetViews>
    <sheetView workbookViewId="0">
      <selection activeCell="D56" sqref="D56"/>
    </sheetView>
  </sheetViews>
  <sheetFormatPr defaultRowHeight="8.25"/>
  <cols>
    <col min="1" max="1" width="2.42578125" style="59" customWidth="1"/>
    <col min="2" max="2" width="16.7109375" style="59" customWidth="1"/>
    <col min="3" max="3" width="9.7109375" style="59" customWidth="1"/>
    <col min="4" max="4" width="8.7109375" style="59" customWidth="1"/>
    <col min="5" max="5" width="9" style="59" customWidth="1"/>
    <col min="6" max="6" width="9.140625" style="59" customWidth="1"/>
    <col min="7" max="7" width="9.28515625" style="59" customWidth="1"/>
    <col min="8" max="8" width="9.140625" style="59" customWidth="1"/>
    <col min="9" max="9" width="9" style="59" customWidth="1"/>
    <col min="10" max="10" width="8.85546875" style="59" bestFit="1" customWidth="1"/>
    <col min="11" max="11" width="8.7109375" style="59" bestFit="1" customWidth="1"/>
    <col min="12" max="12" width="9" style="59" bestFit="1" customWidth="1"/>
    <col min="13" max="13" width="8.7109375" style="59" customWidth="1"/>
    <col min="14" max="14" width="8.85546875" style="59" customWidth="1"/>
    <col min="15" max="15" width="8.5703125" style="59" customWidth="1"/>
    <col min="16" max="18" width="9.140625" style="59"/>
    <col min="19" max="19" width="24.140625" style="59" bestFit="1" customWidth="1"/>
    <col min="20" max="20" width="10.42578125" style="59" customWidth="1"/>
    <col min="21" max="21" width="10.28515625" style="59" customWidth="1"/>
    <col min="22" max="256" width="9.140625" style="59"/>
    <col min="257" max="257" width="6.140625" style="59" customWidth="1"/>
    <col min="258" max="258" width="16.7109375" style="59" customWidth="1"/>
    <col min="259" max="260" width="9.85546875" style="59" bestFit="1" customWidth="1"/>
    <col min="261" max="261" width="9.140625" style="59" bestFit="1" customWidth="1"/>
    <col min="262" max="262" width="9.140625" style="59"/>
    <col min="263" max="263" width="9" style="59" customWidth="1"/>
    <col min="264" max="264" width="9.140625" style="59" bestFit="1" customWidth="1"/>
    <col min="265" max="265" width="9" style="59" customWidth="1"/>
    <col min="266" max="266" width="8.85546875" style="59" bestFit="1" customWidth="1"/>
    <col min="267" max="267" width="9.140625" style="59"/>
    <col min="268" max="268" width="8.85546875" style="59" bestFit="1" customWidth="1"/>
    <col min="269" max="269" width="9" style="59" bestFit="1" customWidth="1"/>
    <col min="270" max="270" width="9" style="59" customWidth="1"/>
    <col min="271" max="271" width="8.85546875" style="59" bestFit="1" customWidth="1"/>
    <col min="272" max="274" width="9.140625" style="59"/>
    <col min="275" max="275" width="24.140625" style="59" bestFit="1" customWidth="1"/>
    <col min="276" max="276" width="10.42578125" style="59" customWidth="1"/>
    <col min="277" max="277" width="10.28515625" style="59" customWidth="1"/>
    <col min="278" max="512" width="9.140625" style="59"/>
    <col min="513" max="513" width="6.140625" style="59" customWidth="1"/>
    <col min="514" max="514" width="16.7109375" style="59" customWidth="1"/>
    <col min="515" max="516" width="9.85546875" style="59" bestFit="1" customWidth="1"/>
    <col min="517" max="517" width="9.140625" style="59" bestFit="1" customWidth="1"/>
    <col min="518" max="518" width="9.140625" style="59"/>
    <col min="519" max="519" width="9" style="59" customWidth="1"/>
    <col min="520" max="520" width="9.140625" style="59" bestFit="1" customWidth="1"/>
    <col min="521" max="521" width="9" style="59" customWidth="1"/>
    <col min="522" max="522" width="8.85546875" style="59" bestFit="1" customWidth="1"/>
    <col min="523" max="523" width="9.140625" style="59"/>
    <col min="524" max="524" width="8.85546875" style="59" bestFit="1" customWidth="1"/>
    <col min="525" max="525" width="9" style="59" bestFit="1" customWidth="1"/>
    <col min="526" max="526" width="9" style="59" customWidth="1"/>
    <col min="527" max="527" width="8.85546875" style="59" bestFit="1" customWidth="1"/>
    <col min="528" max="530" width="9.140625" style="59"/>
    <col min="531" max="531" width="24.140625" style="59" bestFit="1" customWidth="1"/>
    <col min="532" max="532" width="10.42578125" style="59" customWidth="1"/>
    <col min="533" max="533" width="10.28515625" style="59" customWidth="1"/>
    <col min="534" max="768" width="9.140625" style="59"/>
    <col min="769" max="769" width="6.140625" style="59" customWidth="1"/>
    <col min="770" max="770" width="16.7109375" style="59" customWidth="1"/>
    <col min="771" max="772" width="9.85546875" style="59" bestFit="1" customWidth="1"/>
    <col min="773" max="773" width="9.140625" style="59" bestFit="1" customWidth="1"/>
    <col min="774" max="774" width="9.140625" style="59"/>
    <col min="775" max="775" width="9" style="59" customWidth="1"/>
    <col min="776" max="776" width="9.140625" style="59" bestFit="1" customWidth="1"/>
    <col min="777" max="777" width="9" style="59" customWidth="1"/>
    <col min="778" max="778" width="8.85546875" style="59" bestFit="1" customWidth="1"/>
    <col min="779" max="779" width="9.140625" style="59"/>
    <col min="780" max="780" width="8.85546875" style="59" bestFit="1" customWidth="1"/>
    <col min="781" max="781" width="9" style="59" bestFit="1" customWidth="1"/>
    <col min="782" max="782" width="9" style="59" customWidth="1"/>
    <col min="783" max="783" width="8.85546875" style="59" bestFit="1" customWidth="1"/>
    <col min="784" max="786" width="9.140625" style="59"/>
    <col min="787" max="787" width="24.140625" style="59" bestFit="1" customWidth="1"/>
    <col min="788" max="788" width="10.42578125" style="59" customWidth="1"/>
    <col min="789" max="789" width="10.28515625" style="59" customWidth="1"/>
    <col min="790" max="1024" width="9.140625" style="59"/>
    <col min="1025" max="1025" width="6.140625" style="59" customWidth="1"/>
    <col min="1026" max="1026" width="16.7109375" style="59" customWidth="1"/>
    <col min="1027" max="1028" width="9.85546875" style="59" bestFit="1" customWidth="1"/>
    <col min="1029" max="1029" width="9.140625" style="59" bestFit="1" customWidth="1"/>
    <col min="1030" max="1030" width="9.140625" style="59"/>
    <col min="1031" max="1031" width="9" style="59" customWidth="1"/>
    <col min="1032" max="1032" width="9.140625" style="59" bestFit="1" customWidth="1"/>
    <col min="1033" max="1033" width="9" style="59" customWidth="1"/>
    <col min="1034" max="1034" width="8.85546875" style="59" bestFit="1" customWidth="1"/>
    <col min="1035" max="1035" width="9.140625" style="59"/>
    <col min="1036" max="1036" width="8.85546875" style="59" bestFit="1" customWidth="1"/>
    <col min="1037" max="1037" width="9" style="59" bestFit="1" customWidth="1"/>
    <col min="1038" max="1038" width="9" style="59" customWidth="1"/>
    <col min="1039" max="1039" width="8.85546875" style="59" bestFit="1" customWidth="1"/>
    <col min="1040" max="1042" width="9.140625" style="59"/>
    <col min="1043" max="1043" width="24.140625" style="59" bestFit="1" customWidth="1"/>
    <col min="1044" max="1044" width="10.42578125" style="59" customWidth="1"/>
    <col min="1045" max="1045" width="10.28515625" style="59" customWidth="1"/>
    <col min="1046" max="1280" width="9.140625" style="59"/>
    <col min="1281" max="1281" width="6.140625" style="59" customWidth="1"/>
    <col min="1282" max="1282" width="16.7109375" style="59" customWidth="1"/>
    <col min="1283" max="1284" width="9.85546875" style="59" bestFit="1" customWidth="1"/>
    <col min="1285" max="1285" width="9.140625" style="59" bestFit="1" customWidth="1"/>
    <col min="1286" max="1286" width="9.140625" style="59"/>
    <col min="1287" max="1287" width="9" style="59" customWidth="1"/>
    <col min="1288" max="1288" width="9.140625" style="59" bestFit="1" customWidth="1"/>
    <col min="1289" max="1289" width="9" style="59" customWidth="1"/>
    <col min="1290" max="1290" width="8.85546875" style="59" bestFit="1" customWidth="1"/>
    <col min="1291" max="1291" width="9.140625" style="59"/>
    <col min="1292" max="1292" width="8.85546875" style="59" bestFit="1" customWidth="1"/>
    <col min="1293" max="1293" width="9" style="59" bestFit="1" customWidth="1"/>
    <col min="1294" max="1294" width="9" style="59" customWidth="1"/>
    <col min="1295" max="1295" width="8.85546875" style="59" bestFit="1" customWidth="1"/>
    <col min="1296" max="1298" width="9.140625" style="59"/>
    <col min="1299" max="1299" width="24.140625" style="59" bestFit="1" customWidth="1"/>
    <col min="1300" max="1300" width="10.42578125" style="59" customWidth="1"/>
    <col min="1301" max="1301" width="10.28515625" style="59" customWidth="1"/>
    <col min="1302" max="1536" width="9.140625" style="59"/>
    <col min="1537" max="1537" width="6.140625" style="59" customWidth="1"/>
    <col min="1538" max="1538" width="16.7109375" style="59" customWidth="1"/>
    <col min="1539" max="1540" width="9.85546875" style="59" bestFit="1" customWidth="1"/>
    <col min="1541" max="1541" width="9.140625" style="59" bestFit="1" customWidth="1"/>
    <col min="1542" max="1542" width="9.140625" style="59"/>
    <col min="1543" max="1543" width="9" style="59" customWidth="1"/>
    <col min="1544" max="1544" width="9.140625" style="59" bestFit="1" customWidth="1"/>
    <col min="1545" max="1545" width="9" style="59" customWidth="1"/>
    <col min="1546" max="1546" width="8.85546875" style="59" bestFit="1" customWidth="1"/>
    <col min="1547" max="1547" width="9.140625" style="59"/>
    <col min="1548" max="1548" width="8.85546875" style="59" bestFit="1" customWidth="1"/>
    <col min="1549" max="1549" width="9" style="59" bestFit="1" customWidth="1"/>
    <col min="1550" max="1550" width="9" style="59" customWidth="1"/>
    <col min="1551" max="1551" width="8.85546875" style="59" bestFit="1" customWidth="1"/>
    <col min="1552" max="1554" width="9.140625" style="59"/>
    <col min="1555" max="1555" width="24.140625" style="59" bestFit="1" customWidth="1"/>
    <col min="1556" max="1556" width="10.42578125" style="59" customWidth="1"/>
    <col min="1557" max="1557" width="10.28515625" style="59" customWidth="1"/>
    <col min="1558" max="1792" width="9.140625" style="59"/>
    <col min="1793" max="1793" width="6.140625" style="59" customWidth="1"/>
    <col min="1794" max="1794" width="16.7109375" style="59" customWidth="1"/>
    <col min="1795" max="1796" width="9.85546875" style="59" bestFit="1" customWidth="1"/>
    <col min="1797" max="1797" width="9.140625" style="59" bestFit="1" customWidth="1"/>
    <col min="1798" max="1798" width="9.140625" style="59"/>
    <col min="1799" max="1799" width="9" style="59" customWidth="1"/>
    <col min="1800" max="1800" width="9.140625" style="59" bestFit="1" customWidth="1"/>
    <col min="1801" max="1801" width="9" style="59" customWidth="1"/>
    <col min="1802" max="1802" width="8.85546875" style="59" bestFit="1" customWidth="1"/>
    <col min="1803" max="1803" width="9.140625" style="59"/>
    <col min="1804" max="1804" width="8.85546875" style="59" bestFit="1" customWidth="1"/>
    <col min="1805" max="1805" width="9" style="59" bestFit="1" customWidth="1"/>
    <col min="1806" max="1806" width="9" style="59" customWidth="1"/>
    <col min="1807" max="1807" width="8.85546875" style="59" bestFit="1" customWidth="1"/>
    <col min="1808" max="1810" width="9.140625" style="59"/>
    <col min="1811" max="1811" width="24.140625" style="59" bestFit="1" customWidth="1"/>
    <col min="1812" max="1812" width="10.42578125" style="59" customWidth="1"/>
    <col min="1813" max="1813" width="10.28515625" style="59" customWidth="1"/>
    <col min="1814" max="2048" width="9.140625" style="59"/>
    <col min="2049" max="2049" width="6.140625" style="59" customWidth="1"/>
    <col min="2050" max="2050" width="16.7109375" style="59" customWidth="1"/>
    <col min="2051" max="2052" width="9.85546875" style="59" bestFit="1" customWidth="1"/>
    <col min="2053" max="2053" width="9.140625" style="59" bestFit="1" customWidth="1"/>
    <col min="2054" max="2054" width="9.140625" style="59"/>
    <col min="2055" max="2055" width="9" style="59" customWidth="1"/>
    <col min="2056" max="2056" width="9.140625" style="59" bestFit="1" customWidth="1"/>
    <col min="2057" max="2057" width="9" style="59" customWidth="1"/>
    <col min="2058" max="2058" width="8.85546875" style="59" bestFit="1" customWidth="1"/>
    <col min="2059" max="2059" width="9.140625" style="59"/>
    <col min="2060" max="2060" width="8.85546875" style="59" bestFit="1" customWidth="1"/>
    <col min="2061" max="2061" width="9" style="59" bestFit="1" customWidth="1"/>
    <col min="2062" max="2062" width="9" style="59" customWidth="1"/>
    <col min="2063" max="2063" width="8.85546875" style="59" bestFit="1" customWidth="1"/>
    <col min="2064" max="2066" width="9.140625" style="59"/>
    <col min="2067" max="2067" width="24.140625" style="59" bestFit="1" customWidth="1"/>
    <col min="2068" max="2068" width="10.42578125" style="59" customWidth="1"/>
    <col min="2069" max="2069" width="10.28515625" style="59" customWidth="1"/>
    <col min="2070" max="2304" width="9.140625" style="59"/>
    <col min="2305" max="2305" width="6.140625" style="59" customWidth="1"/>
    <col min="2306" max="2306" width="16.7109375" style="59" customWidth="1"/>
    <col min="2307" max="2308" width="9.85546875" style="59" bestFit="1" customWidth="1"/>
    <col min="2309" max="2309" width="9.140625" style="59" bestFit="1" customWidth="1"/>
    <col min="2310" max="2310" width="9.140625" style="59"/>
    <col min="2311" max="2311" width="9" style="59" customWidth="1"/>
    <col min="2312" max="2312" width="9.140625" style="59" bestFit="1" customWidth="1"/>
    <col min="2313" max="2313" width="9" style="59" customWidth="1"/>
    <col min="2314" max="2314" width="8.85546875" style="59" bestFit="1" customWidth="1"/>
    <col min="2315" max="2315" width="9.140625" style="59"/>
    <col min="2316" max="2316" width="8.85546875" style="59" bestFit="1" customWidth="1"/>
    <col min="2317" max="2317" width="9" style="59" bestFit="1" customWidth="1"/>
    <col min="2318" max="2318" width="9" style="59" customWidth="1"/>
    <col min="2319" max="2319" width="8.85546875" style="59" bestFit="1" customWidth="1"/>
    <col min="2320" max="2322" width="9.140625" style="59"/>
    <col min="2323" max="2323" width="24.140625" style="59" bestFit="1" customWidth="1"/>
    <col min="2324" max="2324" width="10.42578125" style="59" customWidth="1"/>
    <col min="2325" max="2325" width="10.28515625" style="59" customWidth="1"/>
    <col min="2326" max="2560" width="9.140625" style="59"/>
    <col min="2561" max="2561" width="6.140625" style="59" customWidth="1"/>
    <col min="2562" max="2562" width="16.7109375" style="59" customWidth="1"/>
    <col min="2563" max="2564" width="9.85546875" style="59" bestFit="1" customWidth="1"/>
    <col min="2565" max="2565" width="9.140625" style="59" bestFit="1" customWidth="1"/>
    <col min="2566" max="2566" width="9.140625" style="59"/>
    <col min="2567" max="2567" width="9" style="59" customWidth="1"/>
    <col min="2568" max="2568" width="9.140625" style="59" bestFit="1" customWidth="1"/>
    <col min="2569" max="2569" width="9" style="59" customWidth="1"/>
    <col min="2570" max="2570" width="8.85546875" style="59" bestFit="1" customWidth="1"/>
    <col min="2571" max="2571" width="9.140625" style="59"/>
    <col min="2572" max="2572" width="8.85546875" style="59" bestFit="1" customWidth="1"/>
    <col min="2573" max="2573" width="9" style="59" bestFit="1" customWidth="1"/>
    <col min="2574" max="2574" width="9" style="59" customWidth="1"/>
    <col min="2575" max="2575" width="8.85546875" style="59" bestFit="1" customWidth="1"/>
    <col min="2576" max="2578" width="9.140625" style="59"/>
    <col min="2579" max="2579" width="24.140625" style="59" bestFit="1" customWidth="1"/>
    <col min="2580" max="2580" width="10.42578125" style="59" customWidth="1"/>
    <col min="2581" max="2581" width="10.28515625" style="59" customWidth="1"/>
    <col min="2582" max="2816" width="9.140625" style="59"/>
    <col min="2817" max="2817" width="6.140625" style="59" customWidth="1"/>
    <col min="2818" max="2818" width="16.7109375" style="59" customWidth="1"/>
    <col min="2819" max="2820" width="9.85546875" style="59" bestFit="1" customWidth="1"/>
    <col min="2821" max="2821" width="9.140625" style="59" bestFit="1" customWidth="1"/>
    <col min="2822" max="2822" width="9.140625" style="59"/>
    <col min="2823" max="2823" width="9" style="59" customWidth="1"/>
    <col min="2824" max="2824" width="9.140625" style="59" bestFit="1" customWidth="1"/>
    <col min="2825" max="2825" width="9" style="59" customWidth="1"/>
    <col min="2826" max="2826" width="8.85546875" style="59" bestFit="1" customWidth="1"/>
    <col min="2827" max="2827" width="9.140625" style="59"/>
    <col min="2828" max="2828" width="8.85546875" style="59" bestFit="1" customWidth="1"/>
    <col min="2829" max="2829" width="9" style="59" bestFit="1" customWidth="1"/>
    <col min="2830" max="2830" width="9" style="59" customWidth="1"/>
    <col min="2831" max="2831" width="8.85546875" style="59" bestFit="1" customWidth="1"/>
    <col min="2832" max="2834" width="9.140625" style="59"/>
    <col min="2835" max="2835" width="24.140625" style="59" bestFit="1" customWidth="1"/>
    <col min="2836" max="2836" width="10.42578125" style="59" customWidth="1"/>
    <col min="2837" max="2837" width="10.28515625" style="59" customWidth="1"/>
    <col min="2838" max="3072" width="9.140625" style="59"/>
    <col min="3073" max="3073" width="6.140625" style="59" customWidth="1"/>
    <col min="3074" max="3074" width="16.7109375" style="59" customWidth="1"/>
    <col min="3075" max="3076" width="9.85546875" style="59" bestFit="1" customWidth="1"/>
    <col min="3077" max="3077" width="9.140625" style="59" bestFit="1" customWidth="1"/>
    <col min="3078" max="3078" width="9.140625" style="59"/>
    <col min="3079" max="3079" width="9" style="59" customWidth="1"/>
    <col min="3080" max="3080" width="9.140625" style="59" bestFit="1" customWidth="1"/>
    <col min="3081" max="3081" width="9" style="59" customWidth="1"/>
    <col min="3082" max="3082" width="8.85546875" style="59" bestFit="1" customWidth="1"/>
    <col min="3083" max="3083" width="9.140625" style="59"/>
    <col min="3084" max="3084" width="8.85546875" style="59" bestFit="1" customWidth="1"/>
    <col min="3085" max="3085" width="9" style="59" bestFit="1" customWidth="1"/>
    <col min="3086" max="3086" width="9" style="59" customWidth="1"/>
    <col min="3087" max="3087" width="8.85546875" style="59" bestFit="1" customWidth="1"/>
    <col min="3088" max="3090" width="9.140625" style="59"/>
    <col min="3091" max="3091" width="24.140625" style="59" bestFit="1" customWidth="1"/>
    <col min="3092" max="3092" width="10.42578125" style="59" customWidth="1"/>
    <col min="3093" max="3093" width="10.28515625" style="59" customWidth="1"/>
    <col min="3094" max="3328" width="9.140625" style="59"/>
    <col min="3329" max="3329" width="6.140625" style="59" customWidth="1"/>
    <col min="3330" max="3330" width="16.7109375" style="59" customWidth="1"/>
    <col min="3331" max="3332" width="9.85546875" style="59" bestFit="1" customWidth="1"/>
    <col min="3333" max="3333" width="9.140625" style="59" bestFit="1" customWidth="1"/>
    <col min="3334" max="3334" width="9.140625" style="59"/>
    <col min="3335" max="3335" width="9" style="59" customWidth="1"/>
    <col min="3336" max="3336" width="9.140625" style="59" bestFit="1" customWidth="1"/>
    <col min="3337" max="3337" width="9" style="59" customWidth="1"/>
    <col min="3338" max="3338" width="8.85546875" style="59" bestFit="1" customWidth="1"/>
    <col min="3339" max="3339" width="9.140625" style="59"/>
    <col min="3340" max="3340" width="8.85546875" style="59" bestFit="1" customWidth="1"/>
    <col min="3341" max="3341" width="9" style="59" bestFit="1" customWidth="1"/>
    <col min="3342" max="3342" width="9" style="59" customWidth="1"/>
    <col min="3343" max="3343" width="8.85546875" style="59" bestFit="1" customWidth="1"/>
    <col min="3344" max="3346" width="9.140625" style="59"/>
    <col min="3347" max="3347" width="24.140625" style="59" bestFit="1" customWidth="1"/>
    <col min="3348" max="3348" width="10.42578125" style="59" customWidth="1"/>
    <col min="3349" max="3349" width="10.28515625" style="59" customWidth="1"/>
    <col min="3350" max="3584" width="9.140625" style="59"/>
    <col min="3585" max="3585" width="6.140625" style="59" customWidth="1"/>
    <col min="3586" max="3586" width="16.7109375" style="59" customWidth="1"/>
    <col min="3587" max="3588" width="9.85546875" style="59" bestFit="1" customWidth="1"/>
    <col min="3589" max="3589" width="9.140625" style="59" bestFit="1" customWidth="1"/>
    <col min="3590" max="3590" width="9.140625" style="59"/>
    <col min="3591" max="3591" width="9" style="59" customWidth="1"/>
    <col min="3592" max="3592" width="9.140625" style="59" bestFit="1" customWidth="1"/>
    <col min="3593" max="3593" width="9" style="59" customWidth="1"/>
    <col min="3594" max="3594" width="8.85546875" style="59" bestFit="1" customWidth="1"/>
    <col min="3595" max="3595" width="9.140625" style="59"/>
    <col min="3596" max="3596" width="8.85546875" style="59" bestFit="1" customWidth="1"/>
    <col min="3597" max="3597" width="9" style="59" bestFit="1" customWidth="1"/>
    <col min="3598" max="3598" width="9" style="59" customWidth="1"/>
    <col min="3599" max="3599" width="8.85546875" style="59" bestFit="1" customWidth="1"/>
    <col min="3600" max="3602" width="9.140625" style="59"/>
    <col min="3603" max="3603" width="24.140625" style="59" bestFit="1" customWidth="1"/>
    <col min="3604" max="3604" width="10.42578125" style="59" customWidth="1"/>
    <col min="3605" max="3605" width="10.28515625" style="59" customWidth="1"/>
    <col min="3606" max="3840" width="9.140625" style="59"/>
    <col min="3841" max="3841" width="6.140625" style="59" customWidth="1"/>
    <col min="3842" max="3842" width="16.7109375" style="59" customWidth="1"/>
    <col min="3843" max="3844" width="9.85546875" style="59" bestFit="1" customWidth="1"/>
    <col min="3845" max="3845" width="9.140625" style="59" bestFit="1" customWidth="1"/>
    <col min="3846" max="3846" width="9.140625" style="59"/>
    <col min="3847" max="3847" width="9" style="59" customWidth="1"/>
    <col min="3848" max="3848" width="9.140625" style="59" bestFit="1" customWidth="1"/>
    <col min="3849" max="3849" width="9" style="59" customWidth="1"/>
    <col min="3850" max="3850" width="8.85546875" style="59" bestFit="1" customWidth="1"/>
    <col min="3851" max="3851" width="9.140625" style="59"/>
    <col min="3852" max="3852" width="8.85546875" style="59" bestFit="1" customWidth="1"/>
    <col min="3853" max="3853" width="9" style="59" bestFit="1" customWidth="1"/>
    <col min="3854" max="3854" width="9" style="59" customWidth="1"/>
    <col min="3855" max="3855" width="8.85546875" style="59" bestFit="1" customWidth="1"/>
    <col min="3856" max="3858" width="9.140625" style="59"/>
    <col min="3859" max="3859" width="24.140625" style="59" bestFit="1" customWidth="1"/>
    <col min="3860" max="3860" width="10.42578125" style="59" customWidth="1"/>
    <col min="3861" max="3861" width="10.28515625" style="59" customWidth="1"/>
    <col min="3862" max="4096" width="9.140625" style="59"/>
    <col min="4097" max="4097" width="6.140625" style="59" customWidth="1"/>
    <col min="4098" max="4098" width="16.7109375" style="59" customWidth="1"/>
    <col min="4099" max="4100" width="9.85546875" style="59" bestFit="1" customWidth="1"/>
    <col min="4101" max="4101" width="9.140625" style="59" bestFit="1" customWidth="1"/>
    <col min="4102" max="4102" width="9.140625" style="59"/>
    <col min="4103" max="4103" width="9" style="59" customWidth="1"/>
    <col min="4104" max="4104" width="9.140625" style="59" bestFit="1" customWidth="1"/>
    <col min="4105" max="4105" width="9" style="59" customWidth="1"/>
    <col min="4106" max="4106" width="8.85546875" style="59" bestFit="1" customWidth="1"/>
    <col min="4107" max="4107" width="9.140625" style="59"/>
    <col min="4108" max="4108" width="8.85546875" style="59" bestFit="1" customWidth="1"/>
    <col min="4109" max="4109" width="9" style="59" bestFit="1" customWidth="1"/>
    <col min="4110" max="4110" width="9" style="59" customWidth="1"/>
    <col min="4111" max="4111" width="8.85546875" style="59" bestFit="1" customWidth="1"/>
    <col min="4112" max="4114" width="9.140625" style="59"/>
    <col min="4115" max="4115" width="24.140625" style="59" bestFit="1" customWidth="1"/>
    <col min="4116" max="4116" width="10.42578125" style="59" customWidth="1"/>
    <col min="4117" max="4117" width="10.28515625" style="59" customWidth="1"/>
    <col min="4118" max="4352" width="9.140625" style="59"/>
    <col min="4353" max="4353" width="6.140625" style="59" customWidth="1"/>
    <col min="4354" max="4354" width="16.7109375" style="59" customWidth="1"/>
    <col min="4355" max="4356" width="9.85546875" style="59" bestFit="1" customWidth="1"/>
    <col min="4357" max="4357" width="9.140625" style="59" bestFit="1" customWidth="1"/>
    <col min="4358" max="4358" width="9.140625" style="59"/>
    <col min="4359" max="4359" width="9" style="59" customWidth="1"/>
    <col min="4360" max="4360" width="9.140625" style="59" bestFit="1" customWidth="1"/>
    <col min="4361" max="4361" width="9" style="59" customWidth="1"/>
    <col min="4362" max="4362" width="8.85546875" style="59" bestFit="1" customWidth="1"/>
    <col min="4363" max="4363" width="9.140625" style="59"/>
    <col min="4364" max="4364" width="8.85546875" style="59" bestFit="1" customWidth="1"/>
    <col min="4365" max="4365" width="9" style="59" bestFit="1" customWidth="1"/>
    <col min="4366" max="4366" width="9" style="59" customWidth="1"/>
    <col min="4367" max="4367" width="8.85546875" style="59" bestFit="1" customWidth="1"/>
    <col min="4368" max="4370" width="9.140625" style="59"/>
    <col min="4371" max="4371" width="24.140625" style="59" bestFit="1" customWidth="1"/>
    <col min="4372" max="4372" width="10.42578125" style="59" customWidth="1"/>
    <col min="4373" max="4373" width="10.28515625" style="59" customWidth="1"/>
    <col min="4374" max="4608" width="9.140625" style="59"/>
    <col min="4609" max="4609" width="6.140625" style="59" customWidth="1"/>
    <col min="4610" max="4610" width="16.7109375" style="59" customWidth="1"/>
    <col min="4611" max="4612" width="9.85546875" style="59" bestFit="1" customWidth="1"/>
    <col min="4613" max="4613" width="9.140625" style="59" bestFit="1" customWidth="1"/>
    <col min="4614" max="4614" width="9.140625" style="59"/>
    <col min="4615" max="4615" width="9" style="59" customWidth="1"/>
    <col min="4616" max="4616" width="9.140625" style="59" bestFit="1" customWidth="1"/>
    <col min="4617" max="4617" width="9" style="59" customWidth="1"/>
    <col min="4618" max="4618" width="8.85546875" style="59" bestFit="1" customWidth="1"/>
    <col min="4619" max="4619" width="9.140625" style="59"/>
    <col min="4620" max="4620" width="8.85546875" style="59" bestFit="1" customWidth="1"/>
    <col min="4621" max="4621" width="9" style="59" bestFit="1" customWidth="1"/>
    <col min="4622" max="4622" width="9" style="59" customWidth="1"/>
    <col min="4623" max="4623" width="8.85546875" style="59" bestFit="1" customWidth="1"/>
    <col min="4624" max="4626" width="9.140625" style="59"/>
    <col min="4627" max="4627" width="24.140625" style="59" bestFit="1" customWidth="1"/>
    <col min="4628" max="4628" width="10.42578125" style="59" customWidth="1"/>
    <col min="4629" max="4629" width="10.28515625" style="59" customWidth="1"/>
    <col min="4630" max="4864" width="9.140625" style="59"/>
    <col min="4865" max="4865" width="6.140625" style="59" customWidth="1"/>
    <col min="4866" max="4866" width="16.7109375" style="59" customWidth="1"/>
    <col min="4867" max="4868" width="9.85546875" style="59" bestFit="1" customWidth="1"/>
    <col min="4869" max="4869" width="9.140625" style="59" bestFit="1" customWidth="1"/>
    <col min="4870" max="4870" width="9.140625" style="59"/>
    <col min="4871" max="4871" width="9" style="59" customWidth="1"/>
    <col min="4872" max="4872" width="9.140625" style="59" bestFit="1" customWidth="1"/>
    <col min="4873" max="4873" width="9" style="59" customWidth="1"/>
    <col min="4874" max="4874" width="8.85546875" style="59" bestFit="1" customWidth="1"/>
    <col min="4875" max="4875" width="9.140625" style="59"/>
    <col min="4876" max="4876" width="8.85546875" style="59" bestFit="1" customWidth="1"/>
    <col min="4877" max="4877" width="9" style="59" bestFit="1" customWidth="1"/>
    <col min="4878" max="4878" width="9" style="59" customWidth="1"/>
    <col min="4879" max="4879" width="8.85546875" style="59" bestFit="1" customWidth="1"/>
    <col min="4880" max="4882" width="9.140625" style="59"/>
    <col min="4883" max="4883" width="24.140625" style="59" bestFit="1" customWidth="1"/>
    <col min="4884" max="4884" width="10.42578125" style="59" customWidth="1"/>
    <col min="4885" max="4885" width="10.28515625" style="59" customWidth="1"/>
    <col min="4886" max="5120" width="9.140625" style="59"/>
    <col min="5121" max="5121" width="6.140625" style="59" customWidth="1"/>
    <col min="5122" max="5122" width="16.7109375" style="59" customWidth="1"/>
    <col min="5123" max="5124" width="9.85546875" style="59" bestFit="1" customWidth="1"/>
    <col min="5125" max="5125" width="9.140625" style="59" bestFit="1" customWidth="1"/>
    <col min="5126" max="5126" width="9.140625" style="59"/>
    <col min="5127" max="5127" width="9" style="59" customWidth="1"/>
    <col min="5128" max="5128" width="9.140625" style="59" bestFit="1" customWidth="1"/>
    <col min="5129" max="5129" width="9" style="59" customWidth="1"/>
    <col min="5130" max="5130" width="8.85546875" style="59" bestFit="1" customWidth="1"/>
    <col min="5131" max="5131" width="9.140625" style="59"/>
    <col min="5132" max="5132" width="8.85546875" style="59" bestFit="1" customWidth="1"/>
    <col min="5133" max="5133" width="9" style="59" bestFit="1" customWidth="1"/>
    <col min="5134" max="5134" width="9" style="59" customWidth="1"/>
    <col min="5135" max="5135" width="8.85546875" style="59" bestFit="1" customWidth="1"/>
    <col min="5136" max="5138" width="9.140625" style="59"/>
    <col min="5139" max="5139" width="24.140625" style="59" bestFit="1" customWidth="1"/>
    <col min="5140" max="5140" width="10.42578125" style="59" customWidth="1"/>
    <col min="5141" max="5141" width="10.28515625" style="59" customWidth="1"/>
    <col min="5142" max="5376" width="9.140625" style="59"/>
    <col min="5377" max="5377" width="6.140625" style="59" customWidth="1"/>
    <col min="5378" max="5378" width="16.7109375" style="59" customWidth="1"/>
    <col min="5379" max="5380" width="9.85546875" style="59" bestFit="1" customWidth="1"/>
    <col min="5381" max="5381" width="9.140625" style="59" bestFit="1" customWidth="1"/>
    <col min="5382" max="5382" width="9.140625" style="59"/>
    <col min="5383" max="5383" width="9" style="59" customWidth="1"/>
    <col min="5384" max="5384" width="9.140625" style="59" bestFit="1" customWidth="1"/>
    <col min="5385" max="5385" width="9" style="59" customWidth="1"/>
    <col min="5386" max="5386" width="8.85546875" style="59" bestFit="1" customWidth="1"/>
    <col min="5387" max="5387" width="9.140625" style="59"/>
    <col min="5388" max="5388" width="8.85546875" style="59" bestFit="1" customWidth="1"/>
    <col min="5389" max="5389" width="9" style="59" bestFit="1" customWidth="1"/>
    <col min="5390" max="5390" width="9" style="59" customWidth="1"/>
    <col min="5391" max="5391" width="8.85546875" style="59" bestFit="1" customWidth="1"/>
    <col min="5392" max="5394" width="9.140625" style="59"/>
    <col min="5395" max="5395" width="24.140625" style="59" bestFit="1" customWidth="1"/>
    <col min="5396" max="5396" width="10.42578125" style="59" customWidth="1"/>
    <col min="5397" max="5397" width="10.28515625" style="59" customWidth="1"/>
    <col min="5398" max="5632" width="9.140625" style="59"/>
    <col min="5633" max="5633" width="6.140625" style="59" customWidth="1"/>
    <col min="5634" max="5634" width="16.7109375" style="59" customWidth="1"/>
    <col min="5635" max="5636" width="9.85546875" style="59" bestFit="1" customWidth="1"/>
    <col min="5637" max="5637" width="9.140625" style="59" bestFit="1" customWidth="1"/>
    <col min="5638" max="5638" width="9.140625" style="59"/>
    <col min="5639" max="5639" width="9" style="59" customWidth="1"/>
    <col min="5640" max="5640" width="9.140625" style="59" bestFit="1" customWidth="1"/>
    <col min="5641" max="5641" width="9" style="59" customWidth="1"/>
    <col min="5642" max="5642" width="8.85546875" style="59" bestFit="1" customWidth="1"/>
    <col min="5643" max="5643" width="9.140625" style="59"/>
    <col min="5644" max="5644" width="8.85546875" style="59" bestFit="1" customWidth="1"/>
    <col min="5645" max="5645" width="9" style="59" bestFit="1" customWidth="1"/>
    <col min="5646" max="5646" width="9" style="59" customWidth="1"/>
    <col min="5647" max="5647" width="8.85546875" style="59" bestFit="1" customWidth="1"/>
    <col min="5648" max="5650" width="9.140625" style="59"/>
    <col min="5651" max="5651" width="24.140625" style="59" bestFit="1" customWidth="1"/>
    <col min="5652" max="5652" width="10.42578125" style="59" customWidth="1"/>
    <col min="5653" max="5653" width="10.28515625" style="59" customWidth="1"/>
    <col min="5654" max="5888" width="9.140625" style="59"/>
    <col min="5889" max="5889" width="6.140625" style="59" customWidth="1"/>
    <col min="5890" max="5890" width="16.7109375" style="59" customWidth="1"/>
    <col min="5891" max="5892" width="9.85546875" style="59" bestFit="1" customWidth="1"/>
    <col min="5893" max="5893" width="9.140625" style="59" bestFit="1" customWidth="1"/>
    <col min="5894" max="5894" width="9.140625" style="59"/>
    <col min="5895" max="5895" width="9" style="59" customWidth="1"/>
    <col min="5896" max="5896" width="9.140625" style="59" bestFit="1" customWidth="1"/>
    <col min="5897" max="5897" width="9" style="59" customWidth="1"/>
    <col min="5898" max="5898" width="8.85546875" style="59" bestFit="1" customWidth="1"/>
    <col min="5899" max="5899" width="9.140625" style="59"/>
    <col min="5900" max="5900" width="8.85546875" style="59" bestFit="1" customWidth="1"/>
    <col min="5901" max="5901" width="9" style="59" bestFit="1" customWidth="1"/>
    <col min="5902" max="5902" width="9" style="59" customWidth="1"/>
    <col min="5903" max="5903" width="8.85546875" style="59" bestFit="1" customWidth="1"/>
    <col min="5904" max="5906" width="9.140625" style="59"/>
    <col min="5907" max="5907" width="24.140625" style="59" bestFit="1" customWidth="1"/>
    <col min="5908" max="5908" width="10.42578125" style="59" customWidth="1"/>
    <col min="5909" max="5909" width="10.28515625" style="59" customWidth="1"/>
    <col min="5910" max="6144" width="9.140625" style="59"/>
    <col min="6145" max="6145" width="6.140625" style="59" customWidth="1"/>
    <col min="6146" max="6146" width="16.7109375" style="59" customWidth="1"/>
    <col min="6147" max="6148" width="9.85546875" style="59" bestFit="1" customWidth="1"/>
    <col min="6149" max="6149" width="9.140625" style="59" bestFit="1" customWidth="1"/>
    <col min="6150" max="6150" width="9.140625" style="59"/>
    <col min="6151" max="6151" width="9" style="59" customWidth="1"/>
    <col min="6152" max="6152" width="9.140625" style="59" bestFit="1" customWidth="1"/>
    <col min="6153" max="6153" width="9" style="59" customWidth="1"/>
    <col min="6154" max="6154" width="8.85546875" style="59" bestFit="1" customWidth="1"/>
    <col min="6155" max="6155" width="9.140625" style="59"/>
    <col min="6156" max="6156" width="8.85546875" style="59" bestFit="1" customWidth="1"/>
    <col min="6157" max="6157" width="9" style="59" bestFit="1" customWidth="1"/>
    <col min="6158" max="6158" width="9" style="59" customWidth="1"/>
    <col min="6159" max="6159" width="8.85546875" style="59" bestFit="1" customWidth="1"/>
    <col min="6160" max="6162" width="9.140625" style="59"/>
    <col min="6163" max="6163" width="24.140625" style="59" bestFit="1" customWidth="1"/>
    <col min="6164" max="6164" width="10.42578125" style="59" customWidth="1"/>
    <col min="6165" max="6165" width="10.28515625" style="59" customWidth="1"/>
    <col min="6166" max="6400" width="9.140625" style="59"/>
    <col min="6401" max="6401" width="6.140625" style="59" customWidth="1"/>
    <col min="6402" max="6402" width="16.7109375" style="59" customWidth="1"/>
    <col min="6403" max="6404" width="9.85546875" style="59" bestFit="1" customWidth="1"/>
    <col min="6405" max="6405" width="9.140625" style="59" bestFit="1" customWidth="1"/>
    <col min="6406" max="6406" width="9.140625" style="59"/>
    <col min="6407" max="6407" width="9" style="59" customWidth="1"/>
    <col min="6408" max="6408" width="9.140625" style="59" bestFit="1" customWidth="1"/>
    <col min="6409" max="6409" width="9" style="59" customWidth="1"/>
    <col min="6410" max="6410" width="8.85546875" style="59" bestFit="1" customWidth="1"/>
    <col min="6411" max="6411" width="9.140625" style="59"/>
    <col min="6412" max="6412" width="8.85546875" style="59" bestFit="1" customWidth="1"/>
    <col min="6413" max="6413" width="9" style="59" bestFit="1" customWidth="1"/>
    <col min="6414" max="6414" width="9" style="59" customWidth="1"/>
    <col min="6415" max="6415" width="8.85546875" style="59" bestFit="1" customWidth="1"/>
    <col min="6416" max="6418" width="9.140625" style="59"/>
    <col min="6419" max="6419" width="24.140625" style="59" bestFit="1" customWidth="1"/>
    <col min="6420" max="6420" width="10.42578125" style="59" customWidth="1"/>
    <col min="6421" max="6421" width="10.28515625" style="59" customWidth="1"/>
    <col min="6422" max="6656" width="9.140625" style="59"/>
    <col min="6657" max="6657" width="6.140625" style="59" customWidth="1"/>
    <col min="6658" max="6658" width="16.7109375" style="59" customWidth="1"/>
    <col min="6659" max="6660" width="9.85546875" style="59" bestFit="1" customWidth="1"/>
    <col min="6661" max="6661" width="9.140625" style="59" bestFit="1" customWidth="1"/>
    <col min="6662" max="6662" width="9.140625" style="59"/>
    <col min="6663" max="6663" width="9" style="59" customWidth="1"/>
    <col min="6664" max="6664" width="9.140625" style="59" bestFit="1" customWidth="1"/>
    <col min="6665" max="6665" width="9" style="59" customWidth="1"/>
    <col min="6666" max="6666" width="8.85546875" style="59" bestFit="1" customWidth="1"/>
    <col min="6667" max="6667" width="9.140625" style="59"/>
    <col min="6668" max="6668" width="8.85546875" style="59" bestFit="1" customWidth="1"/>
    <col min="6669" max="6669" width="9" style="59" bestFit="1" customWidth="1"/>
    <col min="6670" max="6670" width="9" style="59" customWidth="1"/>
    <col min="6671" max="6671" width="8.85546875" style="59" bestFit="1" customWidth="1"/>
    <col min="6672" max="6674" width="9.140625" style="59"/>
    <col min="6675" max="6675" width="24.140625" style="59" bestFit="1" customWidth="1"/>
    <col min="6676" max="6676" width="10.42578125" style="59" customWidth="1"/>
    <col min="6677" max="6677" width="10.28515625" style="59" customWidth="1"/>
    <col min="6678" max="6912" width="9.140625" style="59"/>
    <col min="6913" max="6913" width="6.140625" style="59" customWidth="1"/>
    <col min="6914" max="6914" width="16.7109375" style="59" customWidth="1"/>
    <col min="6915" max="6916" width="9.85546875" style="59" bestFit="1" customWidth="1"/>
    <col min="6917" max="6917" width="9.140625" style="59" bestFit="1" customWidth="1"/>
    <col min="6918" max="6918" width="9.140625" style="59"/>
    <col min="6919" max="6919" width="9" style="59" customWidth="1"/>
    <col min="6920" max="6920" width="9.140625" style="59" bestFit="1" customWidth="1"/>
    <col min="6921" max="6921" width="9" style="59" customWidth="1"/>
    <col min="6922" max="6922" width="8.85546875" style="59" bestFit="1" customWidth="1"/>
    <col min="6923" max="6923" width="9.140625" style="59"/>
    <col min="6924" max="6924" width="8.85546875" style="59" bestFit="1" customWidth="1"/>
    <col min="6925" max="6925" width="9" style="59" bestFit="1" customWidth="1"/>
    <col min="6926" max="6926" width="9" style="59" customWidth="1"/>
    <col min="6927" max="6927" width="8.85546875" style="59" bestFit="1" customWidth="1"/>
    <col min="6928" max="6930" width="9.140625" style="59"/>
    <col min="6931" max="6931" width="24.140625" style="59" bestFit="1" customWidth="1"/>
    <col min="6932" max="6932" width="10.42578125" style="59" customWidth="1"/>
    <col min="6933" max="6933" width="10.28515625" style="59" customWidth="1"/>
    <col min="6934" max="7168" width="9.140625" style="59"/>
    <col min="7169" max="7169" width="6.140625" style="59" customWidth="1"/>
    <col min="7170" max="7170" width="16.7109375" style="59" customWidth="1"/>
    <col min="7171" max="7172" width="9.85546875" style="59" bestFit="1" customWidth="1"/>
    <col min="7173" max="7173" width="9.140625" style="59" bestFit="1" customWidth="1"/>
    <col min="7174" max="7174" width="9.140625" style="59"/>
    <col min="7175" max="7175" width="9" style="59" customWidth="1"/>
    <col min="7176" max="7176" width="9.140625" style="59" bestFit="1" customWidth="1"/>
    <col min="7177" max="7177" width="9" style="59" customWidth="1"/>
    <col min="7178" max="7178" width="8.85546875" style="59" bestFit="1" customWidth="1"/>
    <col min="7179" max="7179" width="9.140625" style="59"/>
    <col min="7180" max="7180" width="8.85546875" style="59" bestFit="1" customWidth="1"/>
    <col min="7181" max="7181" width="9" style="59" bestFit="1" customWidth="1"/>
    <col min="7182" max="7182" width="9" style="59" customWidth="1"/>
    <col min="7183" max="7183" width="8.85546875" style="59" bestFit="1" customWidth="1"/>
    <col min="7184" max="7186" width="9.140625" style="59"/>
    <col min="7187" max="7187" width="24.140625" style="59" bestFit="1" customWidth="1"/>
    <col min="7188" max="7188" width="10.42578125" style="59" customWidth="1"/>
    <col min="7189" max="7189" width="10.28515625" style="59" customWidth="1"/>
    <col min="7190" max="7424" width="9.140625" style="59"/>
    <col min="7425" max="7425" width="6.140625" style="59" customWidth="1"/>
    <col min="7426" max="7426" width="16.7109375" style="59" customWidth="1"/>
    <col min="7427" max="7428" width="9.85546875" style="59" bestFit="1" customWidth="1"/>
    <col min="7429" max="7429" width="9.140625" style="59" bestFit="1" customWidth="1"/>
    <col min="7430" max="7430" width="9.140625" style="59"/>
    <col min="7431" max="7431" width="9" style="59" customWidth="1"/>
    <col min="7432" max="7432" width="9.140625" style="59" bestFit="1" customWidth="1"/>
    <col min="7433" max="7433" width="9" style="59" customWidth="1"/>
    <col min="7434" max="7434" width="8.85546875" style="59" bestFit="1" customWidth="1"/>
    <col min="7435" max="7435" width="9.140625" style="59"/>
    <col min="7436" max="7436" width="8.85546875" style="59" bestFit="1" customWidth="1"/>
    <col min="7437" max="7437" width="9" style="59" bestFit="1" customWidth="1"/>
    <col min="7438" max="7438" width="9" style="59" customWidth="1"/>
    <col min="7439" max="7439" width="8.85546875" style="59" bestFit="1" customWidth="1"/>
    <col min="7440" max="7442" width="9.140625" style="59"/>
    <col min="7443" max="7443" width="24.140625" style="59" bestFit="1" customWidth="1"/>
    <col min="7444" max="7444" width="10.42578125" style="59" customWidth="1"/>
    <col min="7445" max="7445" width="10.28515625" style="59" customWidth="1"/>
    <col min="7446" max="7680" width="9.140625" style="59"/>
    <col min="7681" max="7681" width="6.140625" style="59" customWidth="1"/>
    <col min="7682" max="7682" width="16.7109375" style="59" customWidth="1"/>
    <col min="7683" max="7684" width="9.85546875" style="59" bestFit="1" customWidth="1"/>
    <col min="7685" max="7685" width="9.140625" style="59" bestFit="1" customWidth="1"/>
    <col min="7686" max="7686" width="9.140625" style="59"/>
    <col min="7687" max="7687" width="9" style="59" customWidth="1"/>
    <col min="7688" max="7688" width="9.140625" style="59" bestFit="1" customWidth="1"/>
    <col min="7689" max="7689" width="9" style="59" customWidth="1"/>
    <col min="7690" max="7690" width="8.85546875" style="59" bestFit="1" customWidth="1"/>
    <col min="7691" max="7691" width="9.140625" style="59"/>
    <col min="7692" max="7692" width="8.85546875" style="59" bestFit="1" customWidth="1"/>
    <col min="7693" max="7693" width="9" style="59" bestFit="1" customWidth="1"/>
    <col min="7694" max="7694" width="9" style="59" customWidth="1"/>
    <col min="7695" max="7695" width="8.85546875" style="59" bestFit="1" customWidth="1"/>
    <col min="7696" max="7698" width="9.140625" style="59"/>
    <col min="7699" max="7699" width="24.140625" style="59" bestFit="1" customWidth="1"/>
    <col min="7700" max="7700" width="10.42578125" style="59" customWidth="1"/>
    <col min="7701" max="7701" width="10.28515625" style="59" customWidth="1"/>
    <col min="7702" max="7936" width="9.140625" style="59"/>
    <col min="7937" max="7937" width="6.140625" style="59" customWidth="1"/>
    <col min="7938" max="7938" width="16.7109375" style="59" customWidth="1"/>
    <col min="7939" max="7940" width="9.85546875" style="59" bestFit="1" customWidth="1"/>
    <col min="7941" max="7941" width="9.140625" style="59" bestFit="1" customWidth="1"/>
    <col min="7942" max="7942" width="9.140625" style="59"/>
    <col min="7943" max="7943" width="9" style="59" customWidth="1"/>
    <col min="7944" max="7944" width="9.140625" style="59" bestFit="1" customWidth="1"/>
    <col min="7945" max="7945" width="9" style="59" customWidth="1"/>
    <col min="7946" max="7946" width="8.85546875" style="59" bestFit="1" customWidth="1"/>
    <col min="7947" max="7947" width="9.140625" style="59"/>
    <col min="7948" max="7948" width="8.85546875" style="59" bestFit="1" customWidth="1"/>
    <col min="7949" max="7949" width="9" style="59" bestFit="1" customWidth="1"/>
    <col min="7950" max="7950" width="9" style="59" customWidth="1"/>
    <col min="7951" max="7951" width="8.85546875" style="59" bestFit="1" customWidth="1"/>
    <col min="7952" max="7954" width="9.140625" style="59"/>
    <col min="7955" max="7955" width="24.140625" style="59" bestFit="1" customWidth="1"/>
    <col min="7956" max="7956" width="10.42578125" style="59" customWidth="1"/>
    <col min="7957" max="7957" width="10.28515625" style="59" customWidth="1"/>
    <col min="7958" max="8192" width="9.140625" style="59"/>
    <col min="8193" max="8193" width="6.140625" style="59" customWidth="1"/>
    <col min="8194" max="8194" width="16.7109375" style="59" customWidth="1"/>
    <col min="8195" max="8196" width="9.85546875" style="59" bestFit="1" customWidth="1"/>
    <col min="8197" max="8197" width="9.140625" style="59" bestFit="1" customWidth="1"/>
    <col min="8198" max="8198" width="9.140625" style="59"/>
    <col min="8199" max="8199" width="9" style="59" customWidth="1"/>
    <col min="8200" max="8200" width="9.140625" style="59" bestFit="1" customWidth="1"/>
    <col min="8201" max="8201" width="9" style="59" customWidth="1"/>
    <col min="8202" max="8202" width="8.85546875" style="59" bestFit="1" customWidth="1"/>
    <col min="8203" max="8203" width="9.140625" style="59"/>
    <col min="8204" max="8204" width="8.85546875" style="59" bestFit="1" customWidth="1"/>
    <col min="8205" max="8205" width="9" style="59" bestFit="1" customWidth="1"/>
    <col min="8206" max="8206" width="9" style="59" customWidth="1"/>
    <col min="8207" max="8207" width="8.85546875" style="59" bestFit="1" customWidth="1"/>
    <col min="8208" max="8210" width="9.140625" style="59"/>
    <col min="8211" max="8211" width="24.140625" style="59" bestFit="1" customWidth="1"/>
    <col min="8212" max="8212" width="10.42578125" style="59" customWidth="1"/>
    <col min="8213" max="8213" width="10.28515625" style="59" customWidth="1"/>
    <col min="8214" max="8448" width="9.140625" style="59"/>
    <col min="8449" max="8449" width="6.140625" style="59" customWidth="1"/>
    <col min="8450" max="8450" width="16.7109375" style="59" customWidth="1"/>
    <col min="8451" max="8452" width="9.85546875" style="59" bestFit="1" customWidth="1"/>
    <col min="8453" max="8453" width="9.140625" style="59" bestFit="1" customWidth="1"/>
    <col min="8454" max="8454" width="9.140625" style="59"/>
    <col min="8455" max="8455" width="9" style="59" customWidth="1"/>
    <col min="8456" max="8456" width="9.140625" style="59" bestFit="1" customWidth="1"/>
    <col min="8457" max="8457" width="9" style="59" customWidth="1"/>
    <col min="8458" max="8458" width="8.85546875" style="59" bestFit="1" customWidth="1"/>
    <col min="8459" max="8459" width="9.140625" style="59"/>
    <col min="8460" max="8460" width="8.85546875" style="59" bestFit="1" customWidth="1"/>
    <col min="8461" max="8461" width="9" style="59" bestFit="1" customWidth="1"/>
    <col min="8462" max="8462" width="9" style="59" customWidth="1"/>
    <col min="8463" max="8463" width="8.85546875" style="59" bestFit="1" customWidth="1"/>
    <col min="8464" max="8466" width="9.140625" style="59"/>
    <col min="8467" max="8467" width="24.140625" style="59" bestFit="1" customWidth="1"/>
    <col min="8468" max="8468" width="10.42578125" style="59" customWidth="1"/>
    <col min="8469" max="8469" width="10.28515625" style="59" customWidth="1"/>
    <col min="8470" max="8704" width="9.140625" style="59"/>
    <col min="8705" max="8705" width="6.140625" style="59" customWidth="1"/>
    <col min="8706" max="8706" width="16.7109375" style="59" customWidth="1"/>
    <col min="8707" max="8708" width="9.85546875" style="59" bestFit="1" customWidth="1"/>
    <col min="8709" max="8709" width="9.140625" style="59" bestFit="1" customWidth="1"/>
    <col min="8710" max="8710" width="9.140625" style="59"/>
    <col min="8711" max="8711" width="9" style="59" customWidth="1"/>
    <col min="8712" max="8712" width="9.140625" style="59" bestFit="1" customWidth="1"/>
    <col min="8713" max="8713" width="9" style="59" customWidth="1"/>
    <col min="8714" max="8714" width="8.85546875" style="59" bestFit="1" customWidth="1"/>
    <col min="8715" max="8715" width="9.140625" style="59"/>
    <col min="8716" max="8716" width="8.85546875" style="59" bestFit="1" customWidth="1"/>
    <col min="8717" max="8717" width="9" style="59" bestFit="1" customWidth="1"/>
    <col min="8718" max="8718" width="9" style="59" customWidth="1"/>
    <col min="8719" max="8719" width="8.85546875" style="59" bestFit="1" customWidth="1"/>
    <col min="8720" max="8722" width="9.140625" style="59"/>
    <col min="8723" max="8723" width="24.140625" style="59" bestFit="1" customWidth="1"/>
    <col min="8724" max="8724" width="10.42578125" style="59" customWidth="1"/>
    <col min="8725" max="8725" width="10.28515625" style="59" customWidth="1"/>
    <col min="8726" max="8960" width="9.140625" style="59"/>
    <col min="8961" max="8961" width="6.140625" style="59" customWidth="1"/>
    <col min="8962" max="8962" width="16.7109375" style="59" customWidth="1"/>
    <col min="8963" max="8964" width="9.85546875" style="59" bestFit="1" customWidth="1"/>
    <col min="8965" max="8965" width="9.140625" style="59" bestFit="1" customWidth="1"/>
    <col min="8966" max="8966" width="9.140625" style="59"/>
    <col min="8967" max="8967" width="9" style="59" customWidth="1"/>
    <col min="8968" max="8968" width="9.140625" style="59" bestFit="1" customWidth="1"/>
    <col min="8969" max="8969" width="9" style="59" customWidth="1"/>
    <col min="8970" max="8970" width="8.85546875" style="59" bestFit="1" customWidth="1"/>
    <col min="8971" max="8971" width="9.140625" style="59"/>
    <col min="8972" max="8972" width="8.85546875" style="59" bestFit="1" customWidth="1"/>
    <col min="8973" max="8973" width="9" style="59" bestFit="1" customWidth="1"/>
    <col min="8974" max="8974" width="9" style="59" customWidth="1"/>
    <col min="8975" max="8975" width="8.85546875" style="59" bestFit="1" customWidth="1"/>
    <col min="8976" max="8978" width="9.140625" style="59"/>
    <col min="8979" max="8979" width="24.140625" style="59" bestFit="1" customWidth="1"/>
    <col min="8980" max="8980" width="10.42578125" style="59" customWidth="1"/>
    <col min="8981" max="8981" width="10.28515625" style="59" customWidth="1"/>
    <col min="8982" max="9216" width="9.140625" style="59"/>
    <col min="9217" max="9217" width="6.140625" style="59" customWidth="1"/>
    <col min="9218" max="9218" width="16.7109375" style="59" customWidth="1"/>
    <col min="9219" max="9220" width="9.85546875" style="59" bestFit="1" customWidth="1"/>
    <col min="9221" max="9221" width="9.140625" style="59" bestFit="1" customWidth="1"/>
    <col min="9222" max="9222" width="9.140625" style="59"/>
    <col min="9223" max="9223" width="9" style="59" customWidth="1"/>
    <col min="9224" max="9224" width="9.140625" style="59" bestFit="1" customWidth="1"/>
    <col min="9225" max="9225" width="9" style="59" customWidth="1"/>
    <col min="9226" max="9226" width="8.85546875" style="59" bestFit="1" customWidth="1"/>
    <col min="9227" max="9227" width="9.140625" style="59"/>
    <col min="9228" max="9228" width="8.85546875" style="59" bestFit="1" customWidth="1"/>
    <col min="9229" max="9229" width="9" style="59" bestFit="1" customWidth="1"/>
    <col min="9230" max="9230" width="9" style="59" customWidth="1"/>
    <col min="9231" max="9231" width="8.85546875" style="59" bestFit="1" customWidth="1"/>
    <col min="9232" max="9234" width="9.140625" style="59"/>
    <col min="9235" max="9235" width="24.140625" style="59" bestFit="1" customWidth="1"/>
    <col min="9236" max="9236" width="10.42578125" style="59" customWidth="1"/>
    <col min="9237" max="9237" width="10.28515625" style="59" customWidth="1"/>
    <col min="9238" max="9472" width="9.140625" style="59"/>
    <col min="9473" max="9473" width="6.140625" style="59" customWidth="1"/>
    <col min="9474" max="9474" width="16.7109375" style="59" customWidth="1"/>
    <col min="9475" max="9476" width="9.85546875" style="59" bestFit="1" customWidth="1"/>
    <col min="9477" max="9477" width="9.140625" style="59" bestFit="1" customWidth="1"/>
    <col min="9478" max="9478" width="9.140625" style="59"/>
    <col min="9479" max="9479" width="9" style="59" customWidth="1"/>
    <col min="9480" max="9480" width="9.140625" style="59" bestFit="1" customWidth="1"/>
    <col min="9481" max="9481" width="9" style="59" customWidth="1"/>
    <col min="9482" max="9482" width="8.85546875" style="59" bestFit="1" customWidth="1"/>
    <col min="9483" max="9483" width="9.140625" style="59"/>
    <col min="9484" max="9484" width="8.85546875" style="59" bestFit="1" customWidth="1"/>
    <col min="9485" max="9485" width="9" style="59" bestFit="1" customWidth="1"/>
    <col min="9486" max="9486" width="9" style="59" customWidth="1"/>
    <col min="9487" max="9487" width="8.85546875" style="59" bestFit="1" customWidth="1"/>
    <col min="9488" max="9490" width="9.140625" style="59"/>
    <col min="9491" max="9491" width="24.140625" style="59" bestFit="1" customWidth="1"/>
    <col min="9492" max="9492" width="10.42578125" style="59" customWidth="1"/>
    <col min="9493" max="9493" width="10.28515625" style="59" customWidth="1"/>
    <col min="9494" max="9728" width="9.140625" style="59"/>
    <col min="9729" max="9729" width="6.140625" style="59" customWidth="1"/>
    <col min="9730" max="9730" width="16.7109375" style="59" customWidth="1"/>
    <col min="9731" max="9732" width="9.85546875" style="59" bestFit="1" customWidth="1"/>
    <col min="9733" max="9733" width="9.140625" style="59" bestFit="1" customWidth="1"/>
    <col min="9734" max="9734" width="9.140625" style="59"/>
    <col min="9735" max="9735" width="9" style="59" customWidth="1"/>
    <col min="9736" max="9736" width="9.140625" style="59" bestFit="1" customWidth="1"/>
    <col min="9737" max="9737" width="9" style="59" customWidth="1"/>
    <col min="9738" max="9738" width="8.85546875" style="59" bestFit="1" customWidth="1"/>
    <col min="9739" max="9739" width="9.140625" style="59"/>
    <col min="9740" max="9740" width="8.85546875" style="59" bestFit="1" customWidth="1"/>
    <col min="9741" max="9741" width="9" style="59" bestFit="1" customWidth="1"/>
    <col min="9742" max="9742" width="9" style="59" customWidth="1"/>
    <col min="9743" max="9743" width="8.85546875" style="59" bestFit="1" customWidth="1"/>
    <col min="9744" max="9746" width="9.140625" style="59"/>
    <col min="9747" max="9747" width="24.140625" style="59" bestFit="1" customWidth="1"/>
    <col min="9748" max="9748" width="10.42578125" style="59" customWidth="1"/>
    <col min="9749" max="9749" width="10.28515625" style="59" customWidth="1"/>
    <col min="9750" max="9984" width="9.140625" style="59"/>
    <col min="9985" max="9985" width="6.140625" style="59" customWidth="1"/>
    <col min="9986" max="9986" width="16.7109375" style="59" customWidth="1"/>
    <col min="9987" max="9988" width="9.85546875" style="59" bestFit="1" customWidth="1"/>
    <col min="9989" max="9989" width="9.140625" style="59" bestFit="1" customWidth="1"/>
    <col min="9990" max="9990" width="9.140625" style="59"/>
    <col min="9991" max="9991" width="9" style="59" customWidth="1"/>
    <col min="9992" max="9992" width="9.140625" style="59" bestFit="1" customWidth="1"/>
    <col min="9993" max="9993" width="9" style="59" customWidth="1"/>
    <col min="9994" max="9994" width="8.85546875" style="59" bestFit="1" customWidth="1"/>
    <col min="9995" max="9995" width="9.140625" style="59"/>
    <col min="9996" max="9996" width="8.85546875" style="59" bestFit="1" customWidth="1"/>
    <col min="9997" max="9997" width="9" style="59" bestFit="1" customWidth="1"/>
    <col min="9998" max="9998" width="9" style="59" customWidth="1"/>
    <col min="9999" max="9999" width="8.85546875" style="59" bestFit="1" customWidth="1"/>
    <col min="10000" max="10002" width="9.140625" style="59"/>
    <col min="10003" max="10003" width="24.140625" style="59" bestFit="1" customWidth="1"/>
    <col min="10004" max="10004" width="10.42578125" style="59" customWidth="1"/>
    <col min="10005" max="10005" width="10.28515625" style="59" customWidth="1"/>
    <col min="10006" max="10240" width="9.140625" style="59"/>
    <col min="10241" max="10241" width="6.140625" style="59" customWidth="1"/>
    <col min="10242" max="10242" width="16.7109375" style="59" customWidth="1"/>
    <col min="10243" max="10244" width="9.85546875" style="59" bestFit="1" customWidth="1"/>
    <col min="10245" max="10245" width="9.140625" style="59" bestFit="1" customWidth="1"/>
    <col min="10246" max="10246" width="9.140625" style="59"/>
    <col min="10247" max="10247" width="9" style="59" customWidth="1"/>
    <col min="10248" max="10248" width="9.140625" style="59" bestFit="1" customWidth="1"/>
    <col min="10249" max="10249" width="9" style="59" customWidth="1"/>
    <col min="10250" max="10250" width="8.85546875" style="59" bestFit="1" customWidth="1"/>
    <col min="10251" max="10251" width="9.140625" style="59"/>
    <col min="10252" max="10252" width="8.85546875" style="59" bestFit="1" customWidth="1"/>
    <col min="10253" max="10253" width="9" style="59" bestFit="1" customWidth="1"/>
    <col min="10254" max="10254" width="9" style="59" customWidth="1"/>
    <col min="10255" max="10255" width="8.85546875" style="59" bestFit="1" customWidth="1"/>
    <col min="10256" max="10258" width="9.140625" style="59"/>
    <col min="10259" max="10259" width="24.140625" style="59" bestFit="1" customWidth="1"/>
    <col min="10260" max="10260" width="10.42578125" style="59" customWidth="1"/>
    <col min="10261" max="10261" width="10.28515625" style="59" customWidth="1"/>
    <col min="10262" max="10496" width="9.140625" style="59"/>
    <col min="10497" max="10497" width="6.140625" style="59" customWidth="1"/>
    <col min="10498" max="10498" width="16.7109375" style="59" customWidth="1"/>
    <col min="10499" max="10500" width="9.85546875" style="59" bestFit="1" customWidth="1"/>
    <col min="10501" max="10501" width="9.140625" style="59" bestFit="1" customWidth="1"/>
    <col min="10502" max="10502" width="9.140625" style="59"/>
    <col min="10503" max="10503" width="9" style="59" customWidth="1"/>
    <col min="10504" max="10504" width="9.140625" style="59" bestFit="1" customWidth="1"/>
    <col min="10505" max="10505" width="9" style="59" customWidth="1"/>
    <col min="10506" max="10506" width="8.85546875" style="59" bestFit="1" customWidth="1"/>
    <col min="10507" max="10507" width="9.140625" style="59"/>
    <col min="10508" max="10508" width="8.85546875" style="59" bestFit="1" customWidth="1"/>
    <col min="10509" max="10509" width="9" style="59" bestFit="1" customWidth="1"/>
    <col min="10510" max="10510" width="9" style="59" customWidth="1"/>
    <col min="10511" max="10511" width="8.85546875" style="59" bestFit="1" customWidth="1"/>
    <col min="10512" max="10514" width="9.140625" style="59"/>
    <col min="10515" max="10515" width="24.140625" style="59" bestFit="1" customWidth="1"/>
    <col min="10516" max="10516" width="10.42578125" style="59" customWidth="1"/>
    <col min="10517" max="10517" width="10.28515625" style="59" customWidth="1"/>
    <col min="10518" max="10752" width="9.140625" style="59"/>
    <col min="10753" max="10753" width="6.140625" style="59" customWidth="1"/>
    <col min="10754" max="10754" width="16.7109375" style="59" customWidth="1"/>
    <col min="10755" max="10756" width="9.85546875" style="59" bestFit="1" customWidth="1"/>
    <col min="10757" max="10757" width="9.140625" style="59" bestFit="1" customWidth="1"/>
    <col min="10758" max="10758" width="9.140625" style="59"/>
    <col min="10759" max="10759" width="9" style="59" customWidth="1"/>
    <col min="10760" max="10760" width="9.140625" style="59" bestFit="1" customWidth="1"/>
    <col min="10761" max="10761" width="9" style="59" customWidth="1"/>
    <col min="10762" max="10762" width="8.85546875" style="59" bestFit="1" customWidth="1"/>
    <col min="10763" max="10763" width="9.140625" style="59"/>
    <col min="10764" max="10764" width="8.85546875" style="59" bestFit="1" customWidth="1"/>
    <col min="10765" max="10765" width="9" style="59" bestFit="1" customWidth="1"/>
    <col min="10766" max="10766" width="9" style="59" customWidth="1"/>
    <col min="10767" max="10767" width="8.85546875" style="59" bestFit="1" customWidth="1"/>
    <col min="10768" max="10770" width="9.140625" style="59"/>
    <col min="10771" max="10771" width="24.140625" style="59" bestFit="1" customWidth="1"/>
    <col min="10772" max="10772" width="10.42578125" style="59" customWidth="1"/>
    <col min="10773" max="10773" width="10.28515625" style="59" customWidth="1"/>
    <col min="10774" max="11008" width="9.140625" style="59"/>
    <col min="11009" max="11009" width="6.140625" style="59" customWidth="1"/>
    <col min="11010" max="11010" width="16.7109375" style="59" customWidth="1"/>
    <col min="11011" max="11012" width="9.85546875" style="59" bestFit="1" customWidth="1"/>
    <col min="11013" max="11013" width="9.140625" style="59" bestFit="1" customWidth="1"/>
    <col min="11014" max="11014" width="9.140625" style="59"/>
    <col min="11015" max="11015" width="9" style="59" customWidth="1"/>
    <col min="11016" max="11016" width="9.140625" style="59" bestFit="1" customWidth="1"/>
    <col min="11017" max="11017" width="9" style="59" customWidth="1"/>
    <col min="11018" max="11018" width="8.85546875" style="59" bestFit="1" customWidth="1"/>
    <col min="11019" max="11019" width="9.140625" style="59"/>
    <col min="11020" max="11020" width="8.85546875" style="59" bestFit="1" customWidth="1"/>
    <col min="11021" max="11021" width="9" style="59" bestFit="1" customWidth="1"/>
    <col min="11022" max="11022" width="9" style="59" customWidth="1"/>
    <col min="11023" max="11023" width="8.85546875" style="59" bestFit="1" customWidth="1"/>
    <col min="11024" max="11026" width="9.140625" style="59"/>
    <col min="11027" max="11027" width="24.140625" style="59" bestFit="1" customWidth="1"/>
    <col min="11028" max="11028" width="10.42578125" style="59" customWidth="1"/>
    <col min="11029" max="11029" width="10.28515625" style="59" customWidth="1"/>
    <col min="11030" max="11264" width="9.140625" style="59"/>
    <col min="11265" max="11265" width="6.140625" style="59" customWidth="1"/>
    <col min="11266" max="11266" width="16.7109375" style="59" customWidth="1"/>
    <col min="11267" max="11268" width="9.85546875" style="59" bestFit="1" customWidth="1"/>
    <col min="11269" max="11269" width="9.140625" style="59" bestFit="1" customWidth="1"/>
    <col min="11270" max="11270" width="9.140625" style="59"/>
    <col min="11271" max="11271" width="9" style="59" customWidth="1"/>
    <col min="11272" max="11272" width="9.140625" style="59" bestFit="1" customWidth="1"/>
    <col min="11273" max="11273" width="9" style="59" customWidth="1"/>
    <col min="11274" max="11274" width="8.85546875" style="59" bestFit="1" customWidth="1"/>
    <col min="11275" max="11275" width="9.140625" style="59"/>
    <col min="11276" max="11276" width="8.85546875" style="59" bestFit="1" customWidth="1"/>
    <col min="11277" max="11277" width="9" style="59" bestFit="1" customWidth="1"/>
    <col min="11278" max="11278" width="9" style="59" customWidth="1"/>
    <col min="11279" max="11279" width="8.85546875" style="59" bestFit="1" customWidth="1"/>
    <col min="11280" max="11282" width="9.140625" style="59"/>
    <col min="11283" max="11283" width="24.140625" style="59" bestFit="1" customWidth="1"/>
    <col min="11284" max="11284" width="10.42578125" style="59" customWidth="1"/>
    <col min="11285" max="11285" width="10.28515625" style="59" customWidth="1"/>
    <col min="11286" max="11520" width="9.140625" style="59"/>
    <col min="11521" max="11521" width="6.140625" style="59" customWidth="1"/>
    <col min="11522" max="11522" width="16.7109375" style="59" customWidth="1"/>
    <col min="11523" max="11524" width="9.85546875" style="59" bestFit="1" customWidth="1"/>
    <col min="11525" max="11525" width="9.140625" style="59" bestFit="1" customWidth="1"/>
    <col min="11526" max="11526" width="9.140625" style="59"/>
    <col min="11527" max="11527" width="9" style="59" customWidth="1"/>
    <col min="11528" max="11528" width="9.140625" style="59" bestFit="1" customWidth="1"/>
    <col min="11529" max="11529" width="9" style="59" customWidth="1"/>
    <col min="11530" max="11530" width="8.85546875" style="59" bestFit="1" customWidth="1"/>
    <col min="11531" max="11531" width="9.140625" style="59"/>
    <col min="11532" max="11532" width="8.85546875" style="59" bestFit="1" customWidth="1"/>
    <col min="11533" max="11533" width="9" style="59" bestFit="1" customWidth="1"/>
    <col min="11534" max="11534" width="9" style="59" customWidth="1"/>
    <col min="11535" max="11535" width="8.85546875" style="59" bestFit="1" customWidth="1"/>
    <col min="11536" max="11538" width="9.140625" style="59"/>
    <col min="11539" max="11539" width="24.140625" style="59" bestFit="1" customWidth="1"/>
    <col min="11540" max="11540" width="10.42578125" style="59" customWidth="1"/>
    <col min="11541" max="11541" width="10.28515625" style="59" customWidth="1"/>
    <col min="11542" max="11776" width="9.140625" style="59"/>
    <col min="11777" max="11777" width="6.140625" style="59" customWidth="1"/>
    <col min="11778" max="11778" width="16.7109375" style="59" customWidth="1"/>
    <col min="11779" max="11780" width="9.85546875" style="59" bestFit="1" customWidth="1"/>
    <col min="11781" max="11781" width="9.140625" style="59" bestFit="1" customWidth="1"/>
    <col min="11782" max="11782" width="9.140625" style="59"/>
    <col min="11783" max="11783" width="9" style="59" customWidth="1"/>
    <col min="11784" max="11784" width="9.140625" style="59" bestFit="1" customWidth="1"/>
    <col min="11785" max="11785" width="9" style="59" customWidth="1"/>
    <col min="11786" max="11786" width="8.85546875" style="59" bestFit="1" customWidth="1"/>
    <col min="11787" max="11787" width="9.140625" style="59"/>
    <col min="11788" max="11788" width="8.85546875" style="59" bestFit="1" customWidth="1"/>
    <col min="11789" max="11789" width="9" style="59" bestFit="1" customWidth="1"/>
    <col min="11790" max="11790" width="9" style="59" customWidth="1"/>
    <col min="11791" max="11791" width="8.85546875" style="59" bestFit="1" customWidth="1"/>
    <col min="11792" max="11794" width="9.140625" style="59"/>
    <col min="11795" max="11795" width="24.140625" style="59" bestFit="1" customWidth="1"/>
    <col min="11796" max="11796" width="10.42578125" style="59" customWidth="1"/>
    <col min="11797" max="11797" width="10.28515625" style="59" customWidth="1"/>
    <col min="11798" max="12032" width="9.140625" style="59"/>
    <col min="12033" max="12033" width="6.140625" style="59" customWidth="1"/>
    <col min="12034" max="12034" width="16.7109375" style="59" customWidth="1"/>
    <col min="12035" max="12036" width="9.85546875" style="59" bestFit="1" customWidth="1"/>
    <col min="12037" max="12037" width="9.140625" style="59" bestFit="1" customWidth="1"/>
    <col min="12038" max="12038" width="9.140625" style="59"/>
    <col min="12039" max="12039" width="9" style="59" customWidth="1"/>
    <col min="12040" max="12040" width="9.140625" style="59" bestFit="1" customWidth="1"/>
    <col min="12041" max="12041" width="9" style="59" customWidth="1"/>
    <col min="12042" max="12042" width="8.85546875" style="59" bestFit="1" customWidth="1"/>
    <col min="12043" max="12043" width="9.140625" style="59"/>
    <col min="12044" max="12044" width="8.85546875" style="59" bestFit="1" customWidth="1"/>
    <col min="12045" max="12045" width="9" style="59" bestFit="1" customWidth="1"/>
    <col min="12046" max="12046" width="9" style="59" customWidth="1"/>
    <col min="12047" max="12047" width="8.85546875" style="59" bestFit="1" customWidth="1"/>
    <col min="12048" max="12050" width="9.140625" style="59"/>
    <col min="12051" max="12051" width="24.140625" style="59" bestFit="1" customWidth="1"/>
    <col min="12052" max="12052" width="10.42578125" style="59" customWidth="1"/>
    <col min="12053" max="12053" width="10.28515625" style="59" customWidth="1"/>
    <col min="12054" max="12288" width="9.140625" style="59"/>
    <col min="12289" max="12289" width="6.140625" style="59" customWidth="1"/>
    <col min="12290" max="12290" width="16.7109375" style="59" customWidth="1"/>
    <col min="12291" max="12292" width="9.85546875" style="59" bestFit="1" customWidth="1"/>
    <col min="12293" max="12293" width="9.140625" style="59" bestFit="1" customWidth="1"/>
    <col min="12294" max="12294" width="9.140625" style="59"/>
    <col min="12295" max="12295" width="9" style="59" customWidth="1"/>
    <col min="12296" max="12296" width="9.140625" style="59" bestFit="1" customWidth="1"/>
    <col min="12297" max="12297" width="9" style="59" customWidth="1"/>
    <col min="12298" max="12298" width="8.85546875" style="59" bestFit="1" customWidth="1"/>
    <col min="12299" max="12299" width="9.140625" style="59"/>
    <col min="12300" max="12300" width="8.85546875" style="59" bestFit="1" customWidth="1"/>
    <col min="12301" max="12301" width="9" style="59" bestFit="1" customWidth="1"/>
    <col min="12302" max="12302" width="9" style="59" customWidth="1"/>
    <col min="12303" max="12303" width="8.85546875" style="59" bestFit="1" customWidth="1"/>
    <col min="12304" max="12306" width="9.140625" style="59"/>
    <col min="12307" max="12307" width="24.140625" style="59" bestFit="1" customWidth="1"/>
    <col min="12308" max="12308" width="10.42578125" style="59" customWidth="1"/>
    <col min="12309" max="12309" width="10.28515625" style="59" customWidth="1"/>
    <col min="12310" max="12544" width="9.140625" style="59"/>
    <col min="12545" max="12545" width="6.140625" style="59" customWidth="1"/>
    <col min="12546" max="12546" width="16.7109375" style="59" customWidth="1"/>
    <col min="12547" max="12548" width="9.85546875" style="59" bestFit="1" customWidth="1"/>
    <col min="12549" max="12549" width="9.140625" style="59" bestFit="1" customWidth="1"/>
    <col min="12550" max="12550" width="9.140625" style="59"/>
    <col min="12551" max="12551" width="9" style="59" customWidth="1"/>
    <col min="12552" max="12552" width="9.140625" style="59" bestFit="1" customWidth="1"/>
    <col min="12553" max="12553" width="9" style="59" customWidth="1"/>
    <col min="12554" max="12554" width="8.85546875" style="59" bestFit="1" customWidth="1"/>
    <col min="12555" max="12555" width="9.140625" style="59"/>
    <col min="12556" max="12556" width="8.85546875" style="59" bestFit="1" customWidth="1"/>
    <col min="12557" max="12557" width="9" style="59" bestFit="1" customWidth="1"/>
    <col min="12558" max="12558" width="9" style="59" customWidth="1"/>
    <col min="12559" max="12559" width="8.85546875" style="59" bestFit="1" customWidth="1"/>
    <col min="12560" max="12562" width="9.140625" style="59"/>
    <col min="12563" max="12563" width="24.140625" style="59" bestFit="1" customWidth="1"/>
    <col min="12564" max="12564" width="10.42578125" style="59" customWidth="1"/>
    <col min="12565" max="12565" width="10.28515625" style="59" customWidth="1"/>
    <col min="12566" max="12800" width="9.140625" style="59"/>
    <col min="12801" max="12801" width="6.140625" style="59" customWidth="1"/>
    <col min="12802" max="12802" width="16.7109375" style="59" customWidth="1"/>
    <col min="12803" max="12804" width="9.85546875" style="59" bestFit="1" customWidth="1"/>
    <col min="12805" max="12805" width="9.140625" style="59" bestFit="1" customWidth="1"/>
    <col min="12806" max="12806" width="9.140625" style="59"/>
    <col min="12807" max="12807" width="9" style="59" customWidth="1"/>
    <col min="12808" max="12808" width="9.140625" style="59" bestFit="1" customWidth="1"/>
    <col min="12809" max="12809" width="9" style="59" customWidth="1"/>
    <col min="12810" max="12810" width="8.85546875" style="59" bestFit="1" customWidth="1"/>
    <col min="12811" max="12811" width="9.140625" style="59"/>
    <col min="12812" max="12812" width="8.85546875" style="59" bestFit="1" customWidth="1"/>
    <col min="12813" max="12813" width="9" style="59" bestFit="1" customWidth="1"/>
    <col min="12814" max="12814" width="9" style="59" customWidth="1"/>
    <col min="12815" max="12815" width="8.85546875" style="59" bestFit="1" customWidth="1"/>
    <col min="12816" max="12818" width="9.140625" style="59"/>
    <col min="12819" max="12819" width="24.140625" style="59" bestFit="1" customWidth="1"/>
    <col min="12820" max="12820" width="10.42578125" style="59" customWidth="1"/>
    <col min="12821" max="12821" width="10.28515625" style="59" customWidth="1"/>
    <col min="12822" max="13056" width="9.140625" style="59"/>
    <col min="13057" max="13057" width="6.140625" style="59" customWidth="1"/>
    <col min="13058" max="13058" width="16.7109375" style="59" customWidth="1"/>
    <col min="13059" max="13060" width="9.85546875" style="59" bestFit="1" customWidth="1"/>
    <col min="13061" max="13061" width="9.140625" style="59" bestFit="1" customWidth="1"/>
    <col min="13062" max="13062" width="9.140625" style="59"/>
    <col min="13063" max="13063" width="9" style="59" customWidth="1"/>
    <col min="13064" max="13064" width="9.140625" style="59" bestFit="1" customWidth="1"/>
    <col min="13065" max="13065" width="9" style="59" customWidth="1"/>
    <col min="13066" max="13066" width="8.85546875" style="59" bestFit="1" customWidth="1"/>
    <col min="13067" max="13067" width="9.140625" style="59"/>
    <col min="13068" max="13068" width="8.85546875" style="59" bestFit="1" customWidth="1"/>
    <col min="13069" max="13069" width="9" style="59" bestFit="1" customWidth="1"/>
    <col min="13070" max="13070" width="9" style="59" customWidth="1"/>
    <col min="13071" max="13071" width="8.85546875" style="59" bestFit="1" customWidth="1"/>
    <col min="13072" max="13074" width="9.140625" style="59"/>
    <col min="13075" max="13075" width="24.140625" style="59" bestFit="1" customWidth="1"/>
    <col min="13076" max="13076" width="10.42578125" style="59" customWidth="1"/>
    <col min="13077" max="13077" width="10.28515625" style="59" customWidth="1"/>
    <col min="13078" max="13312" width="9.140625" style="59"/>
    <col min="13313" max="13313" width="6.140625" style="59" customWidth="1"/>
    <col min="13314" max="13314" width="16.7109375" style="59" customWidth="1"/>
    <col min="13315" max="13316" width="9.85546875" style="59" bestFit="1" customWidth="1"/>
    <col min="13317" max="13317" width="9.140625" style="59" bestFit="1" customWidth="1"/>
    <col min="13318" max="13318" width="9.140625" style="59"/>
    <col min="13319" max="13319" width="9" style="59" customWidth="1"/>
    <col min="13320" max="13320" width="9.140625" style="59" bestFit="1" customWidth="1"/>
    <col min="13321" max="13321" width="9" style="59" customWidth="1"/>
    <col min="13322" max="13322" width="8.85546875" style="59" bestFit="1" customWidth="1"/>
    <col min="13323" max="13323" width="9.140625" style="59"/>
    <col min="13324" max="13324" width="8.85546875" style="59" bestFit="1" customWidth="1"/>
    <col min="13325" max="13325" width="9" style="59" bestFit="1" customWidth="1"/>
    <col min="13326" max="13326" width="9" style="59" customWidth="1"/>
    <col min="13327" max="13327" width="8.85546875" style="59" bestFit="1" customWidth="1"/>
    <col min="13328" max="13330" width="9.140625" style="59"/>
    <col min="13331" max="13331" width="24.140625" style="59" bestFit="1" customWidth="1"/>
    <col min="13332" max="13332" width="10.42578125" style="59" customWidth="1"/>
    <col min="13333" max="13333" width="10.28515625" style="59" customWidth="1"/>
    <col min="13334" max="13568" width="9.140625" style="59"/>
    <col min="13569" max="13569" width="6.140625" style="59" customWidth="1"/>
    <col min="13570" max="13570" width="16.7109375" style="59" customWidth="1"/>
    <col min="13571" max="13572" width="9.85546875" style="59" bestFit="1" customWidth="1"/>
    <col min="13573" max="13573" width="9.140625" style="59" bestFit="1" customWidth="1"/>
    <col min="13574" max="13574" width="9.140625" style="59"/>
    <col min="13575" max="13575" width="9" style="59" customWidth="1"/>
    <col min="13576" max="13576" width="9.140625" style="59" bestFit="1" customWidth="1"/>
    <col min="13577" max="13577" width="9" style="59" customWidth="1"/>
    <col min="13578" max="13578" width="8.85546875" style="59" bestFit="1" customWidth="1"/>
    <col min="13579" max="13579" width="9.140625" style="59"/>
    <col min="13580" max="13580" width="8.85546875" style="59" bestFit="1" customWidth="1"/>
    <col min="13581" max="13581" width="9" style="59" bestFit="1" customWidth="1"/>
    <col min="13582" max="13582" width="9" style="59" customWidth="1"/>
    <col min="13583" max="13583" width="8.85546875" style="59" bestFit="1" customWidth="1"/>
    <col min="13584" max="13586" width="9.140625" style="59"/>
    <col min="13587" max="13587" width="24.140625" style="59" bestFit="1" customWidth="1"/>
    <col min="13588" max="13588" width="10.42578125" style="59" customWidth="1"/>
    <col min="13589" max="13589" width="10.28515625" style="59" customWidth="1"/>
    <col min="13590" max="13824" width="9.140625" style="59"/>
    <col min="13825" max="13825" width="6.140625" style="59" customWidth="1"/>
    <col min="13826" max="13826" width="16.7109375" style="59" customWidth="1"/>
    <col min="13827" max="13828" width="9.85546875" style="59" bestFit="1" customWidth="1"/>
    <col min="13829" max="13829" width="9.140625" style="59" bestFit="1" customWidth="1"/>
    <col min="13830" max="13830" width="9.140625" style="59"/>
    <col min="13831" max="13831" width="9" style="59" customWidth="1"/>
    <col min="13832" max="13832" width="9.140625" style="59" bestFit="1" customWidth="1"/>
    <col min="13833" max="13833" width="9" style="59" customWidth="1"/>
    <col min="13834" max="13834" width="8.85546875" style="59" bestFit="1" customWidth="1"/>
    <col min="13835" max="13835" width="9.140625" style="59"/>
    <col min="13836" max="13836" width="8.85546875" style="59" bestFit="1" customWidth="1"/>
    <col min="13837" max="13837" width="9" style="59" bestFit="1" customWidth="1"/>
    <col min="13838" max="13838" width="9" style="59" customWidth="1"/>
    <col min="13839" max="13839" width="8.85546875" style="59" bestFit="1" customWidth="1"/>
    <col min="13840" max="13842" width="9.140625" style="59"/>
    <col min="13843" max="13843" width="24.140625" style="59" bestFit="1" customWidth="1"/>
    <col min="13844" max="13844" width="10.42578125" style="59" customWidth="1"/>
    <col min="13845" max="13845" width="10.28515625" style="59" customWidth="1"/>
    <col min="13846" max="14080" width="9.140625" style="59"/>
    <col min="14081" max="14081" width="6.140625" style="59" customWidth="1"/>
    <col min="14082" max="14082" width="16.7109375" style="59" customWidth="1"/>
    <col min="14083" max="14084" width="9.85546875" style="59" bestFit="1" customWidth="1"/>
    <col min="14085" max="14085" width="9.140625" style="59" bestFit="1" customWidth="1"/>
    <col min="14086" max="14086" width="9.140625" style="59"/>
    <col min="14087" max="14087" width="9" style="59" customWidth="1"/>
    <col min="14088" max="14088" width="9.140625" style="59" bestFit="1" customWidth="1"/>
    <col min="14089" max="14089" width="9" style="59" customWidth="1"/>
    <col min="14090" max="14090" width="8.85546875" style="59" bestFit="1" customWidth="1"/>
    <col min="14091" max="14091" width="9.140625" style="59"/>
    <col min="14092" max="14092" width="8.85546875" style="59" bestFit="1" customWidth="1"/>
    <col min="14093" max="14093" width="9" style="59" bestFit="1" customWidth="1"/>
    <col min="14094" max="14094" width="9" style="59" customWidth="1"/>
    <col min="14095" max="14095" width="8.85546875" style="59" bestFit="1" customWidth="1"/>
    <col min="14096" max="14098" width="9.140625" style="59"/>
    <col min="14099" max="14099" width="24.140625" style="59" bestFit="1" customWidth="1"/>
    <col min="14100" max="14100" width="10.42578125" style="59" customWidth="1"/>
    <col min="14101" max="14101" width="10.28515625" style="59" customWidth="1"/>
    <col min="14102" max="14336" width="9.140625" style="59"/>
    <col min="14337" max="14337" width="6.140625" style="59" customWidth="1"/>
    <col min="14338" max="14338" width="16.7109375" style="59" customWidth="1"/>
    <col min="14339" max="14340" width="9.85546875" style="59" bestFit="1" customWidth="1"/>
    <col min="14341" max="14341" width="9.140625" style="59" bestFit="1" customWidth="1"/>
    <col min="14342" max="14342" width="9.140625" style="59"/>
    <col min="14343" max="14343" width="9" style="59" customWidth="1"/>
    <col min="14344" max="14344" width="9.140625" style="59" bestFit="1" customWidth="1"/>
    <col min="14345" max="14345" width="9" style="59" customWidth="1"/>
    <col min="14346" max="14346" width="8.85546875" style="59" bestFit="1" customWidth="1"/>
    <col min="14347" max="14347" width="9.140625" style="59"/>
    <col min="14348" max="14348" width="8.85546875" style="59" bestFit="1" customWidth="1"/>
    <col min="14349" max="14349" width="9" style="59" bestFit="1" customWidth="1"/>
    <col min="14350" max="14350" width="9" style="59" customWidth="1"/>
    <col min="14351" max="14351" width="8.85546875" style="59" bestFit="1" customWidth="1"/>
    <col min="14352" max="14354" width="9.140625" style="59"/>
    <col min="14355" max="14355" width="24.140625" style="59" bestFit="1" customWidth="1"/>
    <col min="14356" max="14356" width="10.42578125" style="59" customWidth="1"/>
    <col min="14357" max="14357" width="10.28515625" style="59" customWidth="1"/>
    <col min="14358" max="14592" width="9.140625" style="59"/>
    <col min="14593" max="14593" width="6.140625" style="59" customWidth="1"/>
    <col min="14594" max="14594" width="16.7109375" style="59" customWidth="1"/>
    <col min="14595" max="14596" width="9.85546875" style="59" bestFit="1" customWidth="1"/>
    <col min="14597" max="14597" width="9.140625" style="59" bestFit="1" customWidth="1"/>
    <col min="14598" max="14598" width="9.140625" style="59"/>
    <col min="14599" max="14599" width="9" style="59" customWidth="1"/>
    <col min="14600" max="14600" width="9.140625" style="59" bestFit="1" customWidth="1"/>
    <col min="14601" max="14601" width="9" style="59" customWidth="1"/>
    <col min="14602" max="14602" width="8.85546875" style="59" bestFit="1" customWidth="1"/>
    <col min="14603" max="14603" width="9.140625" style="59"/>
    <col min="14604" max="14604" width="8.85546875" style="59" bestFit="1" customWidth="1"/>
    <col min="14605" max="14605" width="9" style="59" bestFit="1" customWidth="1"/>
    <col min="14606" max="14606" width="9" style="59" customWidth="1"/>
    <col min="14607" max="14607" width="8.85546875" style="59" bestFit="1" customWidth="1"/>
    <col min="14608" max="14610" width="9.140625" style="59"/>
    <col min="14611" max="14611" width="24.140625" style="59" bestFit="1" customWidth="1"/>
    <col min="14612" max="14612" width="10.42578125" style="59" customWidth="1"/>
    <col min="14613" max="14613" width="10.28515625" style="59" customWidth="1"/>
    <col min="14614" max="14848" width="9.140625" style="59"/>
    <col min="14849" max="14849" width="6.140625" style="59" customWidth="1"/>
    <col min="14850" max="14850" width="16.7109375" style="59" customWidth="1"/>
    <col min="14851" max="14852" width="9.85546875" style="59" bestFit="1" customWidth="1"/>
    <col min="14853" max="14853" width="9.140625" style="59" bestFit="1" customWidth="1"/>
    <col min="14854" max="14854" width="9.140625" style="59"/>
    <col min="14855" max="14855" width="9" style="59" customWidth="1"/>
    <col min="14856" max="14856" width="9.140625" style="59" bestFit="1" customWidth="1"/>
    <col min="14857" max="14857" width="9" style="59" customWidth="1"/>
    <col min="14858" max="14858" width="8.85546875" style="59" bestFit="1" customWidth="1"/>
    <col min="14859" max="14859" width="9.140625" style="59"/>
    <col min="14860" max="14860" width="8.85546875" style="59" bestFit="1" customWidth="1"/>
    <col min="14861" max="14861" width="9" style="59" bestFit="1" customWidth="1"/>
    <col min="14862" max="14862" width="9" style="59" customWidth="1"/>
    <col min="14863" max="14863" width="8.85546875" style="59" bestFit="1" customWidth="1"/>
    <col min="14864" max="14866" width="9.140625" style="59"/>
    <col min="14867" max="14867" width="24.140625" style="59" bestFit="1" customWidth="1"/>
    <col min="14868" max="14868" width="10.42578125" style="59" customWidth="1"/>
    <col min="14869" max="14869" width="10.28515625" style="59" customWidth="1"/>
    <col min="14870" max="15104" width="9.140625" style="59"/>
    <col min="15105" max="15105" width="6.140625" style="59" customWidth="1"/>
    <col min="15106" max="15106" width="16.7109375" style="59" customWidth="1"/>
    <col min="15107" max="15108" width="9.85546875" style="59" bestFit="1" customWidth="1"/>
    <col min="15109" max="15109" width="9.140625" style="59" bestFit="1" customWidth="1"/>
    <col min="15110" max="15110" width="9.140625" style="59"/>
    <col min="15111" max="15111" width="9" style="59" customWidth="1"/>
    <col min="15112" max="15112" width="9.140625" style="59" bestFit="1" customWidth="1"/>
    <col min="15113" max="15113" width="9" style="59" customWidth="1"/>
    <col min="15114" max="15114" width="8.85546875" style="59" bestFit="1" customWidth="1"/>
    <col min="15115" max="15115" width="9.140625" style="59"/>
    <col min="15116" max="15116" width="8.85546875" style="59" bestFit="1" customWidth="1"/>
    <col min="15117" max="15117" width="9" style="59" bestFit="1" customWidth="1"/>
    <col min="15118" max="15118" width="9" style="59" customWidth="1"/>
    <col min="15119" max="15119" width="8.85546875" style="59" bestFit="1" customWidth="1"/>
    <col min="15120" max="15122" width="9.140625" style="59"/>
    <col min="15123" max="15123" width="24.140625" style="59" bestFit="1" customWidth="1"/>
    <col min="15124" max="15124" width="10.42578125" style="59" customWidth="1"/>
    <col min="15125" max="15125" width="10.28515625" style="59" customWidth="1"/>
    <col min="15126" max="15360" width="9.140625" style="59"/>
    <col min="15361" max="15361" width="6.140625" style="59" customWidth="1"/>
    <col min="15362" max="15362" width="16.7109375" style="59" customWidth="1"/>
    <col min="15363" max="15364" width="9.85546875" style="59" bestFit="1" customWidth="1"/>
    <col min="15365" max="15365" width="9.140625" style="59" bestFit="1" customWidth="1"/>
    <col min="15366" max="15366" width="9.140625" style="59"/>
    <col min="15367" max="15367" width="9" style="59" customWidth="1"/>
    <col min="15368" max="15368" width="9.140625" style="59" bestFit="1" customWidth="1"/>
    <col min="15369" max="15369" width="9" style="59" customWidth="1"/>
    <col min="15370" max="15370" width="8.85546875" style="59" bestFit="1" customWidth="1"/>
    <col min="15371" max="15371" width="9.140625" style="59"/>
    <col min="15372" max="15372" width="8.85546875" style="59" bestFit="1" customWidth="1"/>
    <col min="15373" max="15373" width="9" style="59" bestFit="1" customWidth="1"/>
    <col min="15374" max="15374" width="9" style="59" customWidth="1"/>
    <col min="15375" max="15375" width="8.85546875" style="59" bestFit="1" customWidth="1"/>
    <col min="15376" max="15378" width="9.140625" style="59"/>
    <col min="15379" max="15379" width="24.140625" style="59" bestFit="1" customWidth="1"/>
    <col min="15380" max="15380" width="10.42578125" style="59" customWidth="1"/>
    <col min="15381" max="15381" width="10.28515625" style="59" customWidth="1"/>
    <col min="15382" max="15616" width="9.140625" style="59"/>
    <col min="15617" max="15617" width="6.140625" style="59" customWidth="1"/>
    <col min="15618" max="15618" width="16.7109375" style="59" customWidth="1"/>
    <col min="15619" max="15620" width="9.85546875" style="59" bestFit="1" customWidth="1"/>
    <col min="15621" max="15621" width="9.140625" style="59" bestFit="1" customWidth="1"/>
    <col min="15622" max="15622" width="9.140625" style="59"/>
    <col min="15623" max="15623" width="9" style="59" customWidth="1"/>
    <col min="15624" max="15624" width="9.140625" style="59" bestFit="1" customWidth="1"/>
    <col min="15625" max="15625" width="9" style="59" customWidth="1"/>
    <col min="15626" max="15626" width="8.85546875" style="59" bestFit="1" customWidth="1"/>
    <col min="15627" max="15627" width="9.140625" style="59"/>
    <col min="15628" max="15628" width="8.85546875" style="59" bestFit="1" customWidth="1"/>
    <col min="15629" max="15629" width="9" style="59" bestFit="1" customWidth="1"/>
    <col min="15630" max="15630" width="9" style="59" customWidth="1"/>
    <col min="15631" max="15631" width="8.85546875" style="59" bestFit="1" customWidth="1"/>
    <col min="15632" max="15634" width="9.140625" style="59"/>
    <col min="15635" max="15635" width="24.140625" style="59" bestFit="1" customWidth="1"/>
    <col min="15636" max="15636" width="10.42578125" style="59" customWidth="1"/>
    <col min="15637" max="15637" width="10.28515625" style="59" customWidth="1"/>
    <col min="15638" max="15872" width="9.140625" style="59"/>
    <col min="15873" max="15873" width="6.140625" style="59" customWidth="1"/>
    <col min="15874" max="15874" width="16.7109375" style="59" customWidth="1"/>
    <col min="15875" max="15876" width="9.85546875" style="59" bestFit="1" customWidth="1"/>
    <col min="15877" max="15877" width="9.140625" style="59" bestFit="1" customWidth="1"/>
    <col min="15878" max="15878" width="9.140625" style="59"/>
    <col min="15879" max="15879" width="9" style="59" customWidth="1"/>
    <col min="15880" max="15880" width="9.140625" style="59" bestFit="1" customWidth="1"/>
    <col min="15881" max="15881" width="9" style="59" customWidth="1"/>
    <col min="15882" max="15882" width="8.85546875" style="59" bestFit="1" customWidth="1"/>
    <col min="15883" max="15883" width="9.140625" style="59"/>
    <col min="15884" max="15884" width="8.85546875" style="59" bestFit="1" customWidth="1"/>
    <col min="15885" max="15885" width="9" style="59" bestFit="1" customWidth="1"/>
    <col min="15886" max="15886" width="9" style="59" customWidth="1"/>
    <col min="15887" max="15887" width="8.85546875" style="59" bestFit="1" customWidth="1"/>
    <col min="15888" max="15890" width="9.140625" style="59"/>
    <col min="15891" max="15891" width="24.140625" style="59" bestFit="1" customWidth="1"/>
    <col min="15892" max="15892" width="10.42578125" style="59" customWidth="1"/>
    <col min="15893" max="15893" width="10.28515625" style="59" customWidth="1"/>
    <col min="15894" max="16128" width="9.140625" style="59"/>
    <col min="16129" max="16129" width="6.140625" style="59" customWidth="1"/>
    <col min="16130" max="16130" width="16.7109375" style="59" customWidth="1"/>
    <col min="16131" max="16132" width="9.85546875" style="59" bestFit="1" customWidth="1"/>
    <col min="16133" max="16133" width="9.140625" style="59" bestFit="1" customWidth="1"/>
    <col min="16134" max="16134" width="9.140625" style="59"/>
    <col min="16135" max="16135" width="9" style="59" customWidth="1"/>
    <col min="16136" max="16136" width="9.140625" style="59" bestFit="1" customWidth="1"/>
    <col min="16137" max="16137" width="9" style="59" customWidth="1"/>
    <col min="16138" max="16138" width="8.85546875" style="59" bestFit="1" customWidth="1"/>
    <col min="16139" max="16139" width="9.140625" style="59"/>
    <col min="16140" max="16140" width="8.85546875" style="59" bestFit="1" customWidth="1"/>
    <col min="16141" max="16141" width="9" style="59" bestFit="1" customWidth="1"/>
    <col min="16142" max="16142" width="9" style="59" customWidth="1"/>
    <col min="16143" max="16143" width="8.85546875" style="59" bestFit="1" customWidth="1"/>
    <col min="16144" max="16146" width="9.140625" style="59"/>
    <col min="16147" max="16147" width="24.140625" style="59" bestFit="1" customWidth="1"/>
    <col min="16148" max="16148" width="10.42578125" style="59" customWidth="1"/>
    <col min="16149" max="16149" width="10.28515625" style="59" customWidth="1"/>
    <col min="16150" max="16384" width="9.140625" style="59"/>
  </cols>
  <sheetData>
    <row r="2" spans="2:15" ht="15">
      <c r="B2" s="179"/>
      <c r="C2" s="320" t="s">
        <v>466</v>
      </c>
      <c r="J2" s="61" t="s">
        <v>800</v>
      </c>
      <c r="K2" s="61"/>
    </row>
    <row r="3" spans="2:15" ht="9" thickBot="1">
      <c r="D3" s="197"/>
    </row>
    <row r="4" spans="2:15">
      <c r="B4" s="321"/>
      <c r="C4" s="322"/>
      <c r="D4" s="38">
        <f>DCLP!I3</f>
        <v>44652</v>
      </c>
      <c r="E4" s="38">
        <f>DCLP!J3</f>
        <v>44621</v>
      </c>
      <c r="F4" s="38">
        <f>DCLP!K3</f>
        <v>44593</v>
      </c>
      <c r="G4" s="38">
        <f>DCLP!L3</f>
        <v>44562</v>
      </c>
      <c r="H4" s="38">
        <f>DCLP!M3</f>
        <v>44531</v>
      </c>
      <c r="I4" s="38">
        <f>DCLP!N3</f>
        <v>44501</v>
      </c>
      <c r="J4" s="38">
        <f>DCLP!O3</f>
        <v>44470</v>
      </c>
      <c r="K4" s="38">
        <f>DCLP!P3</f>
        <v>44440</v>
      </c>
      <c r="L4" s="38">
        <f>DCLP!Q3</f>
        <v>44409</v>
      </c>
      <c r="M4" s="38">
        <f>DCLP!R3</f>
        <v>44378</v>
      </c>
      <c r="N4" s="38">
        <f>DCLP!S3</f>
        <v>44348</v>
      </c>
      <c r="O4" s="38">
        <f>DCLP!T3</f>
        <v>44317</v>
      </c>
    </row>
    <row r="5" spans="2:15" ht="9" thickBot="1">
      <c r="B5" s="323" t="s">
        <v>467</v>
      </c>
      <c r="C5" s="324"/>
      <c r="D5" s="39" t="s">
        <v>38</v>
      </c>
      <c r="E5" s="4" t="s">
        <v>39</v>
      </c>
      <c r="F5" s="39" t="s">
        <v>40</v>
      </c>
      <c r="G5" s="4" t="s">
        <v>41</v>
      </c>
      <c r="H5" s="39" t="s">
        <v>42</v>
      </c>
      <c r="I5" s="4" t="s">
        <v>43</v>
      </c>
      <c r="J5" s="39" t="s">
        <v>87</v>
      </c>
      <c r="K5" s="4" t="s">
        <v>88</v>
      </c>
      <c r="L5" s="39" t="s">
        <v>89</v>
      </c>
      <c r="M5" s="4" t="s">
        <v>90</v>
      </c>
      <c r="N5" s="39" t="s">
        <v>91</v>
      </c>
      <c r="O5" s="325" t="s">
        <v>92</v>
      </c>
    </row>
    <row r="6" spans="2:15">
      <c r="B6" s="326" t="s">
        <v>468</v>
      </c>
      <c r="C6" s="327">
        <f>(SUM(D6:O6))</f>
        <v>76709830.109999999</v>
      </c>
      <c r="D6" s="328">
        <f>DCLP!I46</f>
        <v>7397583.2699999996</v>
      </c>
      <c r="E6" s="328">
        <f>DCLP!J46</f>
        <v>7095204.25</v>
      </c>
      <c r="F6" s="328">
        <f>DCLP!K46</f>
        <v>7818004.5700000003</v>
      </c>
      <c r="G6" s="328">
        <f>DCLP!L46</f>
        <v>5829589.0199999996</v>
      </c>
      <c r="H6" s="328">
        <f>DCLP!M46</f>
        <v>11313266.380000001</v>
      </c>
      <c r="I6" s="328">
        <f>DCLP!N46</f>
        <v>5394292.4700000007</v>
      </c>
      <c r="J6" s="328">
        <f>DCLP!O46</f>
        <v>5366798.21</v>
      </c>
      <c r="K6" s="328">
        <f>DCLP!P46</f>
        <v>5254886.3400000008</v>
      </c>
      <c r="L6" s="328">
        <f>DCLP!Q46</f>
        <v>5359454.6500000004</v>
      </c>
      <c r="M6" s="328">
        <f>DCLP!R46</f>
        <v>5236771.05</v>
      </c>
      <c r="N6" s="328">
        <f>DCLP!S46</f>
        <v>5266967.9399999995</v>
      </c>
      <c r="O6" s="328">
        <f>DCLP!T46</f>
        <v>5377011.96</v>
      </c>
    </row>
    <row r="7" spans="2:15">
      <c r="B7" s="239" t="s">
        <v>469</v>
      </c>
      <c r="C7" s="176">
        <f>SUM(D7:O7)</f>
        <v>120017034.64999998</v>
      </c>
      <c r="D7" s="176">
        <f>RCL!D37</f>
        <v>9893516.2400000002</v>
      </c>
      <c r="E7" s="176">
        <f>RCL!E37</f>
        <v>10081731.52</v>
      </c>
      <c r="F7" s="176">
        <f>RCL!F37</f>
        <v>10281421.26</v>
      </c>
      <c r="G7" s="176">
        <f>RCL!G37</f>
        <v>10513488.109999999</v>
      </c>
      <c r="H7" s="176">
        <f>RCL!H37</f>
        <v>14677042.08</v>
      </c>
      <c r="I7" s="176">
        <f>RCL!I37</f>
        <v>10028239.710000001</v>
      </c>
      <c r="J7" s="176">
        <f>RCL!J37</f>
        <v>9576828.75</v>
      </c>
      <c r="K7" s="176">
        <f>RCL!K37</f>
        <v>7810614.9199999999</v>
      </c>
      <c r="L7" s="176">
        <f>RCL!L37</f>
        <v>8737446.3599999994</v>
      </c>
      <c r="M7" s="176">
        <f>RCL!M37</f>
        <v>11165286.49</v>
      </c>
      <c r="N7" s="176">
        <f>RCL!N37</f>
        <v>8172315.3299999982</v>
      </c>
      <c r="O7" s="176">
        <f>RCL!O37</f>
        <v>9079103.8800000008</v>
      </c>
    </row>
    <row r="8" spans="2:15">
      <c r="B8" s="114" t="s">
        <v>470</v>
      </c>
      <c r="C8" s="329">
        <f>C6/C7</f>
        <v>0.63915785233075673</v>
      </c>
      <c r="D8" s="213">
        <f>D6/D7</f>
        <v>0.74772033426206808</v>
      </c>
      <c r="E8" s="213">
        <f t="shared" ref="E8:O8" si="0">E6/E7</f>
        <v>0.70376841874083151</v>
      </c>
      <c r="F8" s="213">
        <f t="shared" si="0"/>
        <v>0.76040115197069558</v>
      </c>
      <c r="G8" s="213">
        <f t="shared" si="0"/>
        <v>0.55448667074204738</v>
      </c>
      <c r="H8" s="213">
        <f t="shared" si="0"/>
        <v>0.77081378647924415</v>
      </c>
      <c r="I8" s="213">
        <f t="shared" si="0"/>
        <v>0.53791020418278379</v>
      </c>
      <c r="J8" s="213">
        <f t="shared" si="0"/>
        <v>0.56039408765662646</v>
      </c>
      <c r="K8" s="213">
        <f t="shared" si="0"/>
        <v>0.67278778864699185</v>
      </c>
      <c r="L8" s="213">
        <f t="shared" si="0"/>
        <v>0.6133891332982101</v>
      </c>
      <c r="M8" s="213">
        <f t="shared" si="0"/>
        <v>0.46902254184791631</v>
      </c>
      <c r="N8" s="213">
        <f t="shared" si="0"/>
        <v>0.64448907406513412</v>
      </c>
      <c r="O8" s="213">
        <f t="shared" si="0"/>
        <v>0.59224038308943761</v>
      </c>
    </row>
    <row r="9" spans="2:15">
      <c r="B9" s="239" t="s">
        <v>471</v>
      </c>
      <c r="C9" s="215">
        <v>0.54</v>
      </c>
      <c r="D9" s="215">
        <v>0.54</v>
      </c>
      <c r="E9" s="215">
        <v>0.54</v>
      </c>
      <c r="F9" s="215">
        <v>0.54</v>
      </c>
      <c r="G9" s="215">
        <v>0.54</v>
      </c>
      <c r="H9" s="215">
        <v>0.54</v>
      </c>
      <c r="I9" s="215">
        <v>0.54</v>
      </c>
      <c r="J9" s="215">
        <v>0.54</v>
      </c>
      <c r="K9" s="215">
        <v>0.54</v>
      </c>
      <c r="L9" s="215">
        <v>0.54</v>
      </c>
      <c r="M9" s="215">
        <v>0.54</v>
      </c>
      <c r="N9" s="215">
        <v>0.54</v>
      </c>
      <c r="O9" s="215">
        <v>0.54</v>
      </c>
    </row>
    <row r="10" spans="2:15">
      <c r="B10" s="84" t="s">
        <v>658</v>
      </c>
      <c r="C10" s="59" t="s">
        <v>659</v>
      </c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</row>
    <row r="11" spans="2:15">
      <c r="C11" s="224"/>
      <c r="D11" s="224"/>
      <c r="E11" s="224"/>
      <c r="F11" s="224"/>
    </row>
    <row r="23" spans="17:17">
      <c r="Q23" s="333"/>
    </row>
    <row r="53" spans="2:11">
      <c r="B53" s="84" t="s">
        <v>472</v>
      </c>
      <c r="C53" s="107" t="s">
        <v>648</v>
      </c>
    </row>
    <row r="57" spans="2:11" s="57" customFormat="1" ht="11.25">
      <c r="B57" s="54"/>
      <c r="C57" s="55" t="s">
        <v>99</v>
      </c>
      <c r="D57" s="54"/>
      <c r="E57" s="54"/>
      <c r="F57" s="56" t="s">
        <v>100</v>
      </c>
      <c r="G57" s="56"/>
      <c r="I57" s="55"/>
      <c r="J57" s="58" t="s">
        <v>101</v>
      </c>
      <c r="K57" s="58"/>
    </row>
    <row r="58" spans="2:11" s="57" customFormat="1" ht="11.25">
      <c r="B58" s="54"/>
      <c r="C58" s="55" t="s">
        <v>102</v>
      </c>
      <c r="D58" s="54"/>
      <c r="E58" s="54"/>
      <c r="F58" s="56" t="s">
        <v>103</v>
      </c>
      <c r="G58" s="56"/>
      <c r="I58" s="55"/>
      <c r="J58" s="58" t="s">
        <v>104</v>
      </c>
      <c r="K58" s="58"/>
    </row>
    <row r="59" spans="2:11">
      <c r="F59" s="6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R80"/>
  <sheetViews>
    <sheetView workbookViewId="0">
      <selection activeCell="G49" sqref="G49"/>
    </sheetView>
  </sheetViews>
  <sheetFormatPr defaultRowHeight="8.25"/>
  <cols>
    <col min="1" max="1" width="5" style="3" customWidth="1"/>
    <col min="2" max="2" width="9" style="3" customWidth="1"/>
    <col min="3" max="3" width="3.5703125" style="3" customWidth="1"/>
    <col min="4" max="4" width="9.140625" style="3" customWidth="1"/>
    <col min="5" max="5" width="9.28515625" style="3" customWidth="1"/>
    <col min="6" max="8" width="8.5703125" style="3" customWidth="1"/>
    <col min="9" max="9" width="9.140625" style="3" customWidth="1"/>
    <col min="10" max="10" width="9.140625" style="3" bestFit="1" customWidth="1"/>
    <col min="11" max="11" width="9.28515625" style="3" customWidth="1"/>
    <col min="12" max="12" width="9.5703125" style="3" bestFit="1" customWidth="1"/>
    <col min="13" max="13" width="9.140625" style="3" customWidth="1"/>
    <col min="14" max="14" width="9" style="3" bestFit="1" customWidth="1"/>
    <col min="15" max="15" width="9" style="3" customWidth="1"/>
    <col min="16" max="16" width="9.5703125" style="3" customWidth="1"/>
    <col min="17" max="17" width="3.42578125" style="3" bestFit="1" customWidth="1"/>
    <col min="18" max="263" width="9.140625" style="3"/>
    <col min="264" max="264" width="2.42578125" style="3" customWidth="1"/>
    <col min="265" max="265" width="10" style="3" customWidth="1"/>
    <col min="266" max="266" width="44.85546875" style="3" customWidth="1"/>
    <col min="267" max="267" width="5.140625" style="3" customWidth="1"/>
    <col min="268" max="268" width="13.7109375" style="3" bestFit="1" customWidth="1"/>
    <col min="269" max="271" width="12.7109375" style="3" bestFit="1" customWidth="1"/>
    <col min="272" max="272" width="13.7109375" style="3" bestFit="1" customWidth="1"/>
    <col min="273" max="273" width="5.5703125" style="3" bestFit="1" customWidth="1"/>
    <col min="274" max="519" width="9.140625" style="3"/>
    <col min="520" max="520" width="2.42578125" style="3" customWidth="1"/>
    <col min="521" max="521" width="10" style="3" customWidth="1"/>
    <col min="522" max="522" width="44.85546875" style="3" customWidth="1"/>
    <col min="523" max="523" width="5.140625" style="3" customWidth="1"/>
    <col min="524" max="524" width="13.7109375" style="3" bestFit="1" customWidth="1"/>
    <col min="525" max="527" width="12.7109375" style="3" bestFit="1" customWidth="1"/>
    <col min="528" max="528" width="13.7109375" style="3" bestFit="1" customWidth="1"/>
    <col min="529" max="529" width="5.5703125" style="3" bestFit="1" customWidth="1"/>
    <col min="530" max="775" width="9.140625" style="3"/>
    <col min="776" max="776" width="2.42578125" style="3" customWidth="1"/>
    <col min="777" max="777" width="10" style="3" customWidth="1"/>
    <col min="778" max="778" width="44.85546875" style="3" customWidth="1"/>
    <col min="779" max="779" width="5.140625" style="3" customWidth="1"/>
    <col min="780" max="780" width="13.7109375" style="3" bestFit="1" customWidth="1"/>
    <col min="781" max="783" width="12.7109375" style="3" bestFit="1" customWidth="1"/>
    <col min="784" max="784" width="13.7109375" style="3" bestFit="1" customWidth="1"/>
    <col min="785" max="785" width="5.5703125" style="3" bestFit="1" customWidth="1"/>
    <col min="786" max="1031" width="9.140625" style="3"/>
    <col min="1032" max="1032" width="2.42578125" style="3" customWidth="1"/>
    <col min="1033" max="1033" width="10" style="3" customWidth="1"/>
    <col min="1034" max="1034" width="44.85546875" style="3" customWidth="1"/>
    <col min="1035" max="1035" width="5.140625" style="3" customWidth="1"/>
    <col min="1036" max="1036" width="13.7109375" style="3" bestFit="1" customWidth="1"/>
    <col min="1037" max="1039" width="12.7109375" style="3" bestFit="1" customWidth="1"/>
    <col min="1040" max="1040" width="13.7109375" style="3" bestFit="1" customWidth="1"/>
    <col min="1041" max="1041" width="5.5703125" style="3" bestFit="1" customWidth="1"/>
    <col min="1042" max="1287" width="9.140625" style="3"/>
    <col min="1288" max="1288" width="2.42578125" style="3" customWidth="1"/>
    <col min="1289" max="1289" width="10" style="3" customWidth="1"/>
    <col min="1290" max="1290" width="44.85546875" style="3" customWidth="1"/>
    <col min="1291" max="1291" width="5.140625" style="3" customWidth="1"/>
    <col min="1292" max="1292" width="13.7109375" style="3" bestFit="1" customWidth="1"/>
    <col min="1293" max="1295" width="12.7109375" style="3" bestFit="1" customWidth="1"/>
    <col min="1296" max="1296" width="13.7109375" style="3" bestFit="1" customWidth="1"/>
    <col min="1297" max="1297" width="5.5703125" style="3" bestFit="1" customWidth="1"/>
    <col min="1298" max="1543" width="9.140625" style="3"/>
    <col min="1544" max="1544" width="2.42578125" style="3" customWidth="1"/>
    <col min="1545" max="1545" width="10" style="3" customWidth="1"/>
    <col min="1546" max="1546" width="44.85546875" style="3" customWidth="1"/>
    <col min="1547" max="1547" width="5.140625" style="3" customWidth="1"/>
    <col min="1548" max="1548" width="13.7109375" style="3" bestFit="1" customWidth="1"/>
    <col min="1549" max="1551" width="12.7109375" style="3" bestFit="1" customWidth="1"/>
    <col min="1552" max="1552" width="13.7109375" style="3" bestFit="1" customWidth="1"/>
    <col min="1553" max="1553" width="5.5703125" style="3" bestFit="1" customWidth="1"/>
    <col min="1554" max="1799" width="9.140625" style="3"/>
    <col min="1800" max="1800" width="2.42578125" style="3" customWidth="1"/>
    <col min="1801" max="1801" width="10" style="3" customWidth="1"/>
    <col min="1802" max="1802" width="44.85546875" style="3" customWidth="1"/>
    <col min="1803" max="1803" width="5.140625" style="3" customWidth="1"/>
    <col min="1804" max="1804" width="13.7109375" style="3" bestFit="1" customWidth="1"/>
    <col min="1805" max="1807" width="12.7109375" style="3" bestFit="1" customWidth="1"/>
    <col min="1808" max="1808" width="13.7109375" style="3" bestFit="1" customWidth="1"/>
    <col min="1809" max="1809" width="5.5703125" style="3" bestFit="1" customWidth="1"/>
    <col min="1810" max="2055" width="9.140625" style="3"/>
    <col min="2056" max="2056" width="2.42578125" style="3" customWidth="1"/>
    <col min="2057" max="2057" width="10" style="3" customWidth="1"/>
    <col min="2058" max="2058" width="44.85546875" style="3" customWidth="1"/>
    <col min="2059" max="2059" width="5.140625" style="3" customWidth="1"/>
    <col min="2060" max="2060" width="13.7109375" style="3" bestFit="1" customWidth="1"/>
    <col min="2061" max="2063" width="12.7109375" style="3" bestFit="1" customWidth="1"/>
    <col min="2064" max="2064" width="13.7109375" style="3" bestFit="1" customWidth="1"/>
    <col min="2065" max="2065" width="5.5703125" style="3" bestFit="1" customWidth="1"/>
    <col min="2066" max="2311" width="9.140625" style="3"/>
    <col min="2312" max="2312" width="2.42578125" style="3" customWidth="1"/>
    <col min="2313" max="2313" width="10" style="3" customWidth="1"/>
    <col min="2314" max="2314" width="44.85546875" style="3" customWidth="1"/>
    <col min="2315" max="2315" width="5.140625" style="3" customWidth="1"/>
    <col min="2316" max="2316" width="13.7109375" style="3" bestFit="1" customWidth="1"/>
    <col min="2317" max="2319" width="12.7109375" style="3" bestFit="1" customWidth="1"/>
    <col min="2320" max="2320" width="13.7109375" style="3" bestFit="1" customWidth="1"/>
    <col min="2321" max="2321" width="5.5703125" style="3" bestFit="1" customWidth="1"/>
    <col min="2322" max="2567" width="9.140625" style="3"/>
    <col min="2568" max="2568" width="2.42578125" style="3" customWidth="1"/>
    <col min="2569" max="2569" width="10" style="3" customWidth="1"/>
    <col min="2570" max="2570" width="44.85546875" style="3" customWidth="1"/>
    <col min="2571" max="2571" width="5.140625" style="3" customWidth="1"/>
    <col min="2572" max="2572" width="13.7109375" style="3" bestFit="1" customWidth="1"/>
    <col min="2573" max="2575" width="12.7109375" style="3" bestFit="1" customWidth="1"/>
    <col min="2576" max="2576" width="13.7109375" style="3" bestFit="1" customWidth="1"/>
    <col min="2577" max="2577" width="5.5703125" style="3" bestFit="1" customWidth="1"/>
    <col min="2578" max="2823" width="9.140625" style="3"/>
    <col min="2824" max="2824" width="2.42578125" style="3" customWidth="1"/>
    <col min="2825" max="2825" width="10" style="3" customWidth="1"/>
    <col min="2826" max="2826" width="44.85546875" style="3" customWidth="1"/>
    <col min="2827" max="2827" width="5.140625" style="3" customWidth="1"/>
    <col min="2828" max="2828" width="13.7109375" style="3" bestFit="1" customWidth="1"/>
    <col min="2829" max="2831" width="12.7109375" style="3" bestFit="1" customWidth="1"/>
    <col min="2832" max="2832" width="13.7109375" style="3" bestFit="1" customWidth="1"/>
    <col min="2833" max="2833" width="5.5703125" style="3" bestFit="1" customWidth="1"/>
    <col min="2834" max="3079" width="9.140625" style="3"/>
    <col min="3080" max="3080" width="2.42578125" style="3" customWidth="1"/>
    <col min="3081" max="3081" width="10" style="3" customWidth="1"/>
    <col min="3082" max="3082" width="44.85546875" style="3" customWidth="1"/>
    <col min="3083" max="3083" width="5.140625" style="3" customWidth="1"/>
    <col min="3084" max="3084" width="13.7109375" style="3" bestFit="1" customWidth="1"/>
    <col min="3085" max="3087" width="12.7109375" style="3" bestFit="1" customWidth="1"/>
    <col min="3088" max="3088" width="13.7109375" style="3" bestFit="1" customWidth="1"/>
    <col min="3089" max="3089" width="5.5703125" style="3" bestFit="1" customWidth="1"/>
    <col min="3090" max="3335" width="9.140625" style="3"/>
    <col min="3336" max="3336" width="2.42578125" style="3" customWidth="1"/>
    <col min="3337" max="3337" width="10" style="3" customWidth="1"/>
    <col min="3338" max="3338" width="44.85546875" style="3" customWidth="1"/>
    <col min="3339" max="3339" width="5.140625" style="3" customWidth="1"/>
    <col min="3340" max="3340" width="13.7109375" style="3" bestFit="1" customWidth="1"/>
    <col min="3341" max="3343" width="12.7109375" style="3" bestFit="1" customWidth="1"/>
    <col min="3344" max="3344" width="13.7109375" style="3" bestFit="1" customWidth="1"/>
    <col min="3345" max="3345" width="5.5703125" style="3" bestFit="1" customWidth="1"/>
    <col min="3346" max="3591" width="9.140625" style="3"/>
    <col min="3592" max="3592" width="2.42578125" style="3" customWidth="1"/>
    <col min="3593" max="3593" width="10" style="3" customWidth="1"/>
    <col min="3594" max="3594" width="44.85546875" style="3" customWidth="1"/>
    <col min="3595" max="3595" width="5.140625" style="3" customWidth="1"/>
    <col min="3596" max="3596" width="13.7109375" style="3" bestFit="1" customWidth="1"/>
    <col min="3597" max="3599" width="12.7109375" style="3" bestFit="1" customWidth="1"/>
    <col min="3600" max="3600" width="13.7109375" style="3" bestFit="1" customWidth="1"/>
    <col min="3601" max="3601" width="5.5703125" style="3" bestFit="1" customWidth="1"/>
    <col min="3602" max="3847" width="9.140625" style="3"/>
    <col min="3848" max="3848" width="2.42578125" style="3" customWidth="1"/>
    <col min="3849" max="3849" width="10" style="3" customWidth="1"/>
    <col min="3850" max="3850" width="44.85546875" style="3" customWidth="1"/>
    <col min="3851" max="3851" width="5.140625" style="3" customWidth="1"/>
    <col min="3852" max="3852" width="13.7109375" style="3" bestFit="1" customWidth="1"/>
    <col min="3853" max="3855" width="12.7109375" style="3" bestFit="1" customWidth="1"/>
    <col min="3856" max="3856" width="13.7109375" style="3" bestFit="1" customWidth="1"/>
    <col min="3857" max="3857" width="5.5703125" style="3" bestFit="1" customWidth="1"/>
    <col min="3858" max="4103" width="9.140625" style="3"/>
    <col min="4104" max="4104" width="2.42578125" style="3" customWidth="1"/>
    <col min="4105" max="4105" width="10" style="3" customWidth="1"/>
    <col min="4106" max="4106" width="44.85546875" style="3" customWidth="1"/>
    <col min="4107" max="4107" width="5.140625" style="3" customWidth="1"/>
    <col min="4108" max="4108" width="13.7109375" style="3" bestFit="1" customWidth="1"/>
    <col min="4109" max="4111" width="12.7109375" style="3" bestFit="1" customWidth="1"/>
    <col min="4112" max="4112" width="13.7109375" style="3" bestFit="1" customWidth="1"/>
    <col min="4113" max="4113" width="5.5703125" style="3" bestFit="1" customWidth="1"/>
    <col min="4114" max="4359" width="9.140625" style="3"/>
    <col min="4360" max="4360" width="2.42578125" style="3" customWidth="1"/>
    <col min="4361" max="4361" width="10" style="3" customWidth="1"/>
    <col min="4362" max="4362" width="44.85546875" style="3" customWidth="1"/>
    <col min="4363" max="4363" width="5.140625" style="3" customWidth="1"/>
    <col min="4364" max="4364" width="13.7109375" style="3" bestFit="1" customWidth="1"/>
    <col min="4365" max="4367" width="12.7109375" style="3" bestFit="1" customWidth="1"/>
    <col min="4368" max="4368" width="13.7109375" style="3" bestFit="1" customWidth="1"/>
    <col min="4369" max="4369" width="5.5703125" style="3" bestFit="1" customWidth="1"/>
    <col min="4370" max="4615" width="9.140625" style="3"/>
    <col min="4616" max="4616" width="2.42578125" style="3" customWidth="1"/>
    <col min="4617" max="4617" width="10" style="3" customWidth="1"/>
    <col min="4618" max="4618" width="44.85546875" style="3" customWidth="1"/>
    <col min="4619" max="4619" width="5.140625" style="3" customWidth="1"/>
    <col min="4620" max="4620" width="13.7109375" style="3" bestFit="1" customWidth="1"/>
    <col min="4621" max="4623" width="12.7109375" style="3" bestFit="1" customWidth="1"/>
    <col min="4624" max="4624" width="13.7109375" style="3" bestFit="1" customWidth="1"/>
    <col min="4625" max="4625" width="5.5703125" style="3" bestFit="1" customWidth="1"/>
    <col min="4626" max="4871" width="9.140625" style="3"/>
    <col min="4872" max="4872" width="2.42578125" style="3" customWidth="1"/>
    <col min="4873" max="4873" width="10" style="3" customWidth="1"/>
    <col min="4874" max="4874" width="44.85546875" style="3" customWidth="1"/>
    <col min="4875" max="4875" width="5.140625" style="3" customWidth="1"/>
    <col min="4876" max="4876" width="13.7109375" style="3" bestFit="1" customWidth="1"/>
    <col min="4877" max="4879" width="12.7109375" style="3" bestFit="1" customWidth="1"/>
    <col min="4880" max="4880" width="13.7109375" style="3" bestFit="1" customWidth="1"/>
    <col min="4881" max="4881" width="5.5703125" style="3" bestFit="1" customWidth="1"/>
    <col min="4882" max="5127" width="9.140625" style="3"/>
    <col min="5128" max="5128" width="2.42578125" style="3" customWidth="1"/>
    <col min="5129" max="5129" width="10" style="3" customWidth="1"/>
    <col min="5130" max="5130" width="44.85546875" style="3" customWidth="1"/>
    <col min="5131" max="5131" width="5.140625" style="3" customWidth="1"/>
    <col min="5132" max="5132" width="13.7109375" style="3" bestFit="1" customWidth="1"/>
    <col min="5133" max="5135" width="12.7109375" style="3" bestFit="1" customWidth="1"/>
    <col min="5136" max="5136" width="13.7109375" style="3" bestFit="1" customWidth="1"/>
    <col min="5137" max="5137" width="5.5703125" style="3" bestFit="1" customWidth="1"/>
    <col min="5138" max="5383" width="9.140625" style="3"/>
    <col min="5384" max="5384" width="2.42578125" style="3" customWidth="1"/>
    <col min="5385" max="5385" width="10" style="3" customWidth="1"/>
    <col min="5386" max="5386" width="44.85546875" style="3" customWidth="1"/>
    <col min="5387" max="5387" width="5.140625" style="3" customWidth="1"/>
    <col min="5388" max="5388" width="13.7109375" style="3" bestFit="1" customWidth="1"/>
    <col min="5389" max="5391" width="12.7109375" style="3" bestFit="1" customWidth="1"/>
    <col min="5392" max="5392" width="13.7109375" style="3" bestFit="1" customWidth="1"/>
    <col min="5393" max="5393" width="5.5703125" style="3" bestFit="1" customWidth="1"/>
    <col min="5394" max="5639" width="9.140625" style="3"/>
    <col min="5640" max="5640" width="2.42578125" style="3" customWidth="1"/>
    <col min="5641" max="5641" width="10" style="3" customWidth="1"/>
    <col min="5642" max="5642" width="44.85546875" style="3" customWidth="1"/>
    <col min="5643" max="5643" width="5.140625" style="3" customWidth="1"/>
    <col min="5644" max="5644" width="13.7109375" style="3" bestFit="1" customWidth="1"/>
    <col min="5645" max="5647" width="12.7109375" style="3" bestFit="1" customWidth="1"/>
    <col min="5648" max="5648" width="13.7109375" style="3" bestFit="1" customWidth="1"/>
    <col min="5649" max="5649" width="5.5703125" style="3" bestFit="1" customWidth="1"/>
    <col min="5650" max="5895" width="9.140625" style="3"/>
    <col min="5896" max="5896" width="2.42578125" style="3" customWidth="1"/>
    <col min="5897" max="5897" width="10" style="3" customWidth="1"/>
    <col min="5898" max="5898" width="44.85546875" style="3" customWidth="1"/>
    <col min="5899" max="5899" width="5.140625" style="3" customWidth="1"/>
    <col min="5900" max="5900" width="13.7109375" style="3" bestFit="1" customWidth="1"/>
    <col min="5901" max="5903" width="12.7109375" style="3" bestFit="1" customWidth="1"/>
    <col min="5904" max="5904" width="13.7109375" style="3" bestFit="1" customWidth="1"/>
    <col min="5905" max="5905" width="5.5703125" style="3" bestFit="1" customWidth="1"/>
    <col min="5906" max="6151" width="9.140625" style="3"/>
    <col min="6152" max="6152" width="2.42578125" style="3" customWidth="1"/>
    <col min="6153" max="6153" width="10" style="3" customWidth="1"/>
    <col min="6154" max="6154" width="44.85546875" style="3" customWidth="1"/>
    <col min="6155" max="6155" width="5.140625" style="3" customWidth="1"/>
    <col min="6156" max="6156" width="13.7109375" style="3" bestFit="1" customWidth="1"/>
    <col min="6157" max="6159" width="12.7109375" style="3" bestFit="1" customWidth="1"/>
    <col min="6160" max="6160" width="13.7109375" style="3" bestFit="1" customWidth="1"/>
    <col min="6161" max="6161" width="5.5703125" style="3" bestFit="1" customWidth="1"/>
    <col min="6162" max="6407" width="9.140625" style="3"/>
    <col min="6408" max="6408" width="2.42578125" style="3" customWidth="1"/>
    <col min="6409" max="6409" width="10" style="3" customWidth="1"/>
    <col min="6410" max="6410" width="44.85546875" style="3" customWidth="1"/>
    <col min="6411" max="6411" width="5.140625" style="3" customWidth="1"/>
    <col min="6412" max="6412" width="13.7109375" style="3" bestFit="1" customWidth="1"/>
    <col min="6413" max="6415" width="12.7109375" style="3" bestFit="1" customWidth="1"/>
    <col min="6416" max="6416" width="13.7109375" style="3" bestFit="1" customWidth="1"/>
    <col min="6417" max="6417" width="5.5703125" style="3" bestFit="1" customWidth="1"/>
    <col min="6418" max="6663" width="9.140625" style="3"/>
    <col min="6664" max="6664" width="2.42578125" style="3" customWidth="1"/>
    <col min="6665" max="6665" width="10" style="3" customWidth="1"/>
    <col min="6666" max="6666" width="44.85546875" style="3" customWidth="1"/>
    <col min="6667" max="6667" width="5.140625" style="3" customWidth="1"/>
    <col min="6668" max="6668" width="13.7109375" style="3" bestFit="1" customWidth="1"/>
    <col min="6669" max="6671" width="12.7109375" style="3" bestFit="1" customWidth="1"/>
    <col min="6672" max="6672" width="13.7109375" style="3" bestFit="1" customWidth="1"/>
    <col min="6673" max="6673" width="5.5703125" style="3" bestFit="1" customWidth="1"/>
    <col min="6674" max="6919" width="9.140625" style="3"/>
    <col min="6920" max="6920" width="2.42578125" style="3" customWidth="1"/>
    <col min="6921" max="6921" width="10" style="3" customWidth="1"/>
    <col min="6922" max="6922" width="44.85546875" style="3" customWidth="1"/>
    <col min="6923" max="6923" width="5.140625" style="3" customWidth="1"/>
    <col min="6924" max="6924" width="13.7109375" style="3" bestFit="1" customWidth="1"/>
    <col min="6925" max="6927" width="12.7109375" style="3" bestFit="1" customWidth="1"/>
    <col min="6928" max="6928" width="13.7109375" style="3" bestFit="1" customWidth="1"/>
    <col min="6929" max="6929" width="5.5703125" style="3" bestFit="1" customWidth="1"/>
    <col min="6930" max="7175" width="9.140625" style="3"/>
    <col min="7176" max="7176" width="2.42578125" style="3" customWidth="1"/>
    <col min="7177" max="7177" width="10" style="3" customWidth="1"/>
    <col min="7178" max="7178" width="44.85546875" style="3" customWidth="1"/>
    <col min="7179" max="7179" width="5.140625" style="3" customWidth="1"/>
    <col min="7180" max="7180" width="13.7109375" style="3" bestFit="1" customWidth="1"/>
    <col min="7181" max="7183" width="12.7109375" style="3" bestFit="1" customWidth="1"/>
    <col min="7184" max="7184" width="13.7109375" style="3" bestFit="1" customWidth="1"/>
    <col min="7185" max="7185" width="5.5703125" style="3" bestFit="1" customWidth="1"/>
    <col min="7186" max="7431" width="9.140625" style="3"/>
    <col min="7432" max="7432" width="2.42578125" style="3" customWidth="1"/>
    <col min="7433" max="7433" width="10" style="3" customWidth="1"/>
    <col min="7434" max="7434" width="44.85546875" style="3" customWidth="1"/>
    <col min="7435" max="7435" width="5.140625" style="3" customWidth="1"/>
    <col min="7436" max="7436" width="13.7109375" style="3" bestFit="1" customWidth="1"/>
    <col min="7437" max="7439" width="12.7109375" style="3" bestFit="1" customWidth="1"/>
    <col min="7440" max="7440" width="13.7109375" style="3" bestFit="1" customWidth="1"/>
    <col min="7441" max="7441" width="5.5703125" style="3" bestFit="1" customWidth="1"/>
    <col min="7442" max="7687" width="9.140625" style="3"/>
    <col min="7688" max="7688" width="2.42578125" style="3" customWidth="1"/>
    <col min="7689" max="7689" width="10" style="3" customWidth="1"/>
    <col min="7690" max="7690" width="44.85546875" style="3" customWidth="1"/>
    <col min="7691" max="7691" width="5.140625" style="3" customWidth="1"/>
    <col min="7692" max="7692" width="13.7109375" style="3" bestFit="1" customWidth="1"/>
    <col min="7693" max="7695" width="12.7109375" style="3" bestFit="1" customWidth="1"/>
    <col min="7696" max="7696" width="13.7109375" style="3" bestFit="1" customWidth="1"/>
    <col min="7697" max="7697" width="5.5703125" style="3" bestFit="1" customWidth="1"/>
    <col min="7698" max="7943" width="9.140625" style="3"/>
    <col min="7944" max="7944" width="2.42578125" style="3" customWidth="1"/>
    <col min="7945" max="7945" width="10" style="3" customWidth="1"/>
    <col min="7946" max="7946" width="44.85546875" style="3" customWidth="1"/>
    <col min="7947" max="7947" width="5.140625" style="3" customWidth="1"/>
    <col min="7948" max="7948" width="13.7109375" style="3" bestFit="1" customWidth="1"/>
    <col min="7949" max="7951" width="12.7109375" style="3" bestFit="1" customWidth="1"/>
    <col min="7952" max="7952" width="13.7109375" style="3" bestFit="1" customWidth="1"/>
    <col min="7953" max="7953" width="5.5703125" style="3" bestFit="1" customWidth="1"/>
    <col min="7954" max="8199" width="9.140625" style="3"/>
    <col min="8200" max="8200" width="2.42578125" style="3" customWidth="1"/>
    <col min="8201" max="8201" width="10" style="3" customWidth="1"/>
    <col min="8202" max="8202" width="44.85546875" style="3" customWidth="1"/>
    <col min="8203" max="8203" width="5.140625" style="3" customWidth="1"/>
    <col min="8204" max="8204" width="13.7109375" style="3" bestFit="1" customWidth="1"/>
    <col min="8205" max="8207" width="12.7109375" style="3" bestFit="1" customWidth="1"/>
    <col min="8208" max="8208" width="13.7109375" style="3" bestFit="1" customWidth="1"/>
    <col min="8209" max="8209" width="5.5703125" style="3" bestFit="1" customWidth="1"/>
    <col min="8210" max="8455" width="9.140625" style="3"/>
    <col min="8456" max="8456" width="2.42578125" style="3" customWidth="1"/>
    <col min="8457" max="8457" width="10" style="3" customWidth="1"/>
    <col min="8458" max="8458" width="44.85546875" style="3" customWidth="1"/>
    <col min="8459" max="8459" width="5.140625" style="3" customWidth="1"/>
    <col min="8460" max="8460" width="13.7109375" style="3" bestFit="1" customWidth="1"/>
    <col min="8461" max="8463" width="12.7109375" style="3" bestFit="1" customWidth="1"/>
    <col min="8464" max="8464" width="13.7109375" style="3" bestFit="1" customWidth="1"/>
    <col min="8465" max="8465" width="5.5703125" style="3" bestFit="1" customWidth="1"/>
    <col min="8466" max="8711" width="9.140625" style="3"/>
    <col min="8712" max="8712" width="2.42578125" style="3" customWidth="1"/>
    <col min="8713" max="8713" width="10" style="3" customWidth="1"/>
    <col min="8714" max="8714" width="44.85546875" style="3" customWidth="1"/>
    <col min="8715" max="8715" width="5.140625" style="3" customWidth="1"/>
    <col min="8716" max="8716" width="13.7109375" style="3" bestFit="1" customWidth="1"/>
    <col min="8717" max="8719" width="12.7109375" style="3" bestFit="1" customWidth="1"/>
    <col min="8720" max="8720" width="13.7109375" style="3" bestFit="1" customWidth="1"/>
    <col min="8721" max="8721" width="5.5703125" style="3" bestFit="1" customWidth="1"/>
    <col min="8722" max="8967" width="9.140625" style="3"/>
    <col min="8968" max="8968" width="2.42578125" style="3" customWidth="1"/>
    <col min="8969" max="8969" width="10" style="3" customWidth="1"/>
    <col min="8970" max="8970" width="44.85546875" style="3" customWidth="1"/>
    <col min="8971" max="8971" width="5.140625" style="3" customWidth="1"/>
    <col min="8972" max="8972" width="13.7109375" style="3" bestFit="1" customWidth="1"/>
    <col min="8973" max="8975" width="12.7109375" style="3" bestFit="1" customWidth="1"/>
    <col min="8976" max="8976" width="13.7109375" style="3" bestFit="1" customWidth="1"/>
    <col min="8977" max="8977" width="5.5703125" style="3" bestFit="1" customWidth="1"/>
    <col min="8978" max="9223" width="9.140625" style="3"/>
    <col min="9224" max="9224" width="2.42578125" style="3" customWidth="1"/>
    <col min="9225" max="9225" width="10" style="3" customWidth="1"/>
    <col min="9226" max="9226" width="44.85546875" style="3" customWidth="1"/>
    <col min="9227" max="9227" width="5.140625" style="3" customWidth="1"/>
    <col min="9228" max="9228" width="13.7109375" style="3" bestFit="1" customWidth="1"/>
    <col min="9229" max="9231" width="12.7109375" style="3" bestFit="1" customWidth="1"/>
    <col min="9232" max="9232" width="13.7109375" style="3" bestFit="1" customWidth="1"/>
    <col min="9233" max="9233" width="5.5703125" style="3" bestFit="1" customWidth="1"/>
    <col min="9234" max="9479" width="9.140625" style="3"/>
    <col min="9480" max="9480" width="2.42578125" style="3" customWidth="1"/>
    <col min="9481" max="9481" width="10" style="3" customWidth="1"/>
    <col min="9482" max="9482" width="44.85546875" style="3" customWidth="1"/>
    <col min="9483" max="9483" width="5.140625" style="3" customWidth="1"/>
    <col min="9484" max="9484" width="13.7109375" style="3" bestFit="1" customWidth="1"/>
    <col min="9485" max="9487" width="12.7109375" style="3" bestFit="1" customWidth="1"/>
    <col min="9488" max="9488" width="13.7109375" style="3" bestFit="1" customWidth="1"/>
    <col min="9489" max="9489" width="5.5703125" style="3" bestFit="1" customWidth="1"/>
    <col min="9490" max="9735" width="9.140625" style="3"/>
    <col min="9736" max="9736" width="2.42578125" style="3" customWidth="1"/>
    <col min="9737" max="9737" width="10" style="3" customWidth="1"/>
    <col min="9738" max="9738" width="44.85546875" style="3" customWidth="1"/>
    <col min="9739" max="9739" width="5.140625" style="3" customWidth="1"/>
    <col min="9740" max="9740" width="13.7109375" style="3" bestFit="1" customWidth="1"/>
    <col min="9741" max="9743" width="12.7109375" style="3" bestFit="1" customWidth="1"/>
    <col min="9744" max="9744" width="13.7109375" style="3" bestFit="1" customWidth="1"/>
    <col min="9745" max="9745" width="5.5703125" style="3" bestFit="1" customWidth="1"/>
    <col min="9746" max="9991" width="9.140625" style="3"/>
    <col min="9992" max="9992" width="2.42578125" style="3" customWidth="1"/>
    <col min="9993" max="9993" width="10" style="3" customWidth="1"/>
    <col min="9994" max="9994" width="44.85546875" style="3" customWidth="1"/>
    <col min="9995" max="9995" width="5.140625" style="3" customWidth="1"/>
    <col min="9996" max="9996" width="13.7109375" style="3" bestFit="1" customWidth="1"/>
    <col min="9997" max="9999" width="12.7109375" style="3" bestFit="1" customWidth="1"/>
    <col min="10000" max="10000" width="13.7109375" style="3" bestFit="1" customWidth="1"/>
    <col min="10001" max="10001" width="5.5703125" style="3" bestFit="1" customWidth="1"/>
    <col min="10002" max="10247" width="9.140625" style="3"/>
    <col min="10248" max="10248" width="2.42578125" style="3" customWidth="1"/>
    <col min="10249" max="10249" width="10" style="3" customWidth="1"/>
    <col min="10250" max="10250" width="44.85546875" style="3" customWidth="1"/>
    <col min="10251" max="10251" width="5.140625" style="3" customWidth="1"/>
    <col min="10252" max="10252" width="13.7109375" style="3" bestFit="1" customWidth="1"/>
    <col min="10253" max="10255" width="12.7109375" style="3" bestFit="1" customWidth="1"/>
    <col min="10256" max="10256" width="13.7109375" style="3" bestFit="1" customWidth="1"/>
    <col min="10257" max="10257" width="5.5703125" style="3" bestFit="1" customWidth="1"/>
    <col min="10258" max="10503" width="9.140625" style="3"/>
    <col min="10504" max="10504" width="2.42578125" style="3" customWidth="1"/>
    <col min="10505" max="10505" width="10" style="3" customWidth="1"/>
    <col min="10506" max="10506" width="44.85546875" style="3" customWidth="1"/>
    <col min="10507" max="10507" width="5.140625" style="3" customWidth="1"/>
    <col min="10508" max="10508" width="13.7109375" style="3" bestFit="1" customWidth="1"/>
    <col min="10509" max="10511" width="12.7109375" style="3" bestFit="1" customWidth="1"/>
    <col min="10512" max="10512" width="13.7109375" style="3" bestFit="1" customWidth="1"/>
    <col min="10513" max="10513" width="5.5703125" style="3" bestFit="1" customWidth="1"/>
    <col min="10514" max="10759" width="9.140625" style="3"/>
    <col min="10760" max="10760" width="2.42578125" style="3" customWidth="1"/>
    <col min="10761" max="10761" width="10" style="3" customWidth="1"/>
    <col min="10762" max="10762" width="44.85546875" style="3" customWidth="1"/>
    <col min="10763" max="10763" width="5.140625" style="3" customWidth="1"/>
    <col min="10764" max="10764" width="13.7109375" style="3" bestFit="1" customWidth="1"/>
    <col min="10765" max="10767" width="12.7109375" style="3" bestFit="1" customWidth="1"/>
    <col min="10768" max="10768" width="13.7109375" style="3" bestFit="1" customWidth="1"/>
    <col min="10769" max="10769" width="5.5703125" style="3" bestFit="1" customWidth="1"/>
    <col min="10770" max="11015" width="9.140625" style="3"/>
    <col min="11016" max="11016" width="2.42578125" style="3" customWidth="1"/>
    <col min="11017" max="11017" width="10" style="3" customWidth="1"/>
    <col min="11018" max="11018" width="44.85546875" style="3" customWidth="1"/>
    <col min="11019" max="11019" width="5.140625" style="3" customWidth="1"/>
    <col min="11020" max="11020" width="13.7109375" style="3" bestFit="1" customWidth="1"/>
    <col min="11021" max="11023" width="12.7109375" style="3" bestFit="1" customWidth="1"/>
    <col min="11024" max="11024" width="13.7109375" style="3" bestFit="1" customWidth="1"/>
    <col min="11025" max="11025" width="5.5703125" style="3" bestFit="1" customWidth="1"/>
    <col min="11026" max="11271" width="9.140625" style="3"/>
    <col min="11272" max="11272" width="2.42578125" style="3" customWidth="1"/>
    <col min="11273" max="11273" width="10" style="3" customWidth="1"/>
    <col min="11274" max="11274" width="44.85546875" style="3" customWidth="1"/>
    <col min="11275" max="11275" width="5.140625" style="3" customWidth="1"/>
    <col min="11276" max="11276" width="13.7109375" style="3" bestFit="1" customWidth="1"/>
    <col min="11277" max="11279" width="12.7109375" style="3" bestFit="1" customWidth="1"/>
    <col min="11280" max="11280" width="13.7109375" style="3" bestFit="1" customWidth="1"/>
    <col min="11281" max="11281" width="5.5703125" style="3" bestFit="1" customWidth="1"/>
    <col min="11282" max="11527" width="9.140625" style="3"/>
    <col min="11528" max="11528" width="2.42578125" style="3" customWidth="1"/>
    <col min="11529" max="11529" width="10" style="3" customWidth="1"/>
    <col min="11530" max="11530" width="44.85546875" style="3" customWidth="1"/>
    <col min="11531" max="11531" width="5.140625" style="3" customWidth="1"/>
    <col min="11532" max="11532" width="13.7109375" style="3" bestFit="1" customWidth="1"/>
    <col min="11533" max="11535" width="12.7109375" style="3" bestFit="1" customWidth="1"/>
    <col min="11536" max="11536" width="13.7109375" style="3" bestFit="1" customWidth="1"/>
    <col min="11537" max="11537" width="5.5703125" style="3" bestFit="1" customWidth="1"/>
    <col min="11538" max="11783" width="9.140625" style="3"/>
    <col min="11784" max="11784" width="2.42578125" style="3" customWidth="1"/>
    <col min="11785" max="11785" width="10" style="3" customWidth="1"/>
    <col min="11786" max="11786" width="44.85546875" style="3" customWidth="1"/>
    <col min="11787" max="11787" width="5.140625" style="3" customWidth="1"/>
    <col min="11788" max="11788" width="13.7109375" style="3" bestFit="1" customWidth="1"/>
    <col min="11789" max="11791" width="12.7109375" style="3" bestFit="1" customWidth="1"/>
    <col min="11792" max="11792" width="13.7109375" style="3" bestFit="1" customWidth="1"/>
    <col min="11793" max="11793" width="5.5703125" style="3" bestFit="1" customWidth="1"/>
    <col min="11794" max="12039" width="9.140625" style="3"/>
    <col min="12040" max="12040" width="2.42578125" style="3" customWidth="1"/>
    <col min="12041" max="12041" width="10" style="3" customWidth="1"/>
    <col min="12042" max="12042" width="44.85546875" style="3" customWidth="1"/>
    <col min="12043" max="12043" width="5.140625" style="3" customWidth="1"/>
    <col min="12044" max="12044" width="13.7109375" style="3" bestFit="1" customWidth="1"/>
    <col min="12045" max="12047" width="12.7109375" style="3" bestFit="1" customWidth="1"/>
    <col min="12048" max="12048" width="13.7109375" style="3" bestFit="1" customWidth="1"/>
    <col min="12049" max="12049" width="5.5703125" style="3" bestFit="1" customWidth="1"/>
    <col min="12050" max="12295" width="9.140625" style="3"/>
    <col min="12296" max="12296" width="2.42578125" style="3" customWidth="1"/>
    <col min="12297" max="12297" width="10" style="3" customWidth="1"/>
    <col min="12298" max="12298" width="44.85546875" style="3" customWidth="1"/>
    <col min="12299" max="12299" width="5.140625" style="3" customWidth="1"/>
    <col min="12300" max="12300" width="13.7109375" style="3" bestFit="1" customWidth="1"/>
    <col min="12301" max="12303" width="12.7109375" style="3" bestFit="1" customWidth="1"/>
    <col min="12304" max="12304" width="13.7109375" style="3" bestFit="1" customWidth="1"/>
    <col min="12305" max="12305" width="5.5703125" style="3" bestFit="1" customWidth="1"/>
    <col min="12306" max="12551" width="9.140625" style="3"/>
    <col min="12552" max="12552" width="2.42578125" style="3" customWidth="1"/>
    <col min="12553" max="12553" width="10" style="3" customWidth="1"/>
    <col min="12554" max="12554" width="44.85546875" style="3" customWidth="1"/>
    <col min="12555" max="12555" width="5.140625" style="3" customWidth="1"/>
    <col min="12556" max="12556" width="13.7109375" style="3" bestFit="1" customWidth="1"/>
    <col min="12557" max="12559" width="12.7109375" style="3" bestFit="1" customWidth="1"/>
    <col min="12560" max="12560" width="13.7109375" style="3" bestFit="1" customWidth="1"/>
    <col min="12561" max="12561" width="5.5703125" style="3" bestFit="1" customWidth="1"/>
    <col min="12562" max="12807" width="9.140625" style="3"/>
    <col min="12808" max="12808" width="2.42578125" style="3" customWidth="1"/>
    <col min="12809" max="12809" width="10" style="3" customWidth="1"/>
    <col min="12810" max="12810" width="44.85546875" style="3" customWidth="1"/>
    <col min="12811" max="12811" width="5.140625" style="3" customWidth="1"/>
    <col min="12812" max="12812" width="13.7109375" style="3" bestFit="1" customWidth="1"/>
    <col min="12813" max="12815" width="12.7109375" style="3" bestFit="1" customWidth="1"/>
    <col min="12816" max="12816" width="13.7109375" style="3" bestFit="1" customWidth="1"/>
    <col min="12817" max="12817" width="5.5703125" style="3" bestFit="1" customWidth="1"/>
    <col min="12818" max="13063" width="9.140625" style="3"/>
    <col min="13064" max="13064" width="2.42578125" style="3" customWidth="1"/>
    <col min="13065" max="13065" width="10" style="3" customWidth="1"/>
    <col min="13066" max="13066" width="44.85546875" style="3" customWidth="1"/>
    <col min="13067" max="13067" width="5.140625" style="3" customWidth="1"/>
    <col min="13068" max="13068" width="13.7109375" style="3" bestFit="1" customWidth="1"/>
    <col min="13069" max="13071" width="12.7109375" style="3" bestFit="1" customWidth="1"/>
    <col min="13072" max="13072" width="13.7109375" style="3" bestFit="1" customWidth="1"/>
    <col min="13073" max="13073" width="5.5703125" style="3" bestFit="1" customWidth="1"/>
    <col min="13074" max="13319" width="9.140625" style="3"/>
    <col min="13320" max="13320" width="2.42578125" style="3" customWidth="1"/>
    <col min="13321" max="13321" width="10" style="3" customWidth="1"/>
    <col min="13322" max="13322" width="44.85546875" style="3" customWidth="1"/>
    <col min="13323" max="13323" width="5.140625" style="3" customWidth="1"/>
    <col min="13324" max="13324" width="13.7109375" style="3" bestFit="1" customWidth="1"/>
    <col min="13325" max="13327" width="12.7109375" style="3" bestFit="1" customWidth="1"/>
    <col min="13328" max="13328" width="13.7109375" style="3" bestFit="1" customWidth="1"/>
    <col min="13329" max="13329" width="5.5703125" style="3" bestFit="1" customWidth="1"/>
    <col min="13330" max="13575" width="9.140625" style="3"/>
    <col min="13576" max="13576" width="2.42578125" style="3" customWidth="1"/>
    <col min="13577" max="13577" width="10" style="3" customWidth="1"/>
    <col min="13578" max="13578" width="44.85546875" style="3" customWidth="1"/>
    <col min="13579" max="13579" width="5.140625" style="3" customWidth="1"/>
    <col min="13580" max="13580" width="13.7109375" style="3" bestFit="1" customWidth="1"/>
    <col min="13581" max="13583" width="12.7109375" style="3" bestFit="1" customWidth="1"/>
    <col min="13584" max="13584" width="13.7109375" style="3" bestFit="1" customWidth="1"/>
    <col min="13585" max="13585" width="5.5703125" style="3" bestFit="1" customWidth="1"/>
    <col min="13586" max="13831" width="9.140625" style="3"/>
    <col min="13832" max="13832" width="2.42578125" style="3" customWidth="1"/>
    <col min="13833" max="13833" width="10" style="3" customWidth="1"/>
    <col min="13834" max="13834" width="44.85546875" style="3" customWidth="1"/>
    <col min="13835" max="13835" width="5.140625" style="3" customWidth="1"/>
    <col min="13836" max="13836" width="13.7109375" style="3" bestFit="1" customWidth="1"/>
    <col min="13837" max="13839" width="12.7109375" style="3" bestFit="1" customWidth="1"/>
    <col min="13840" max="13840" width="13.7109375" style="3" bestFit="1" customWidth="1"/>
    <col min="13841" max="13841" width="5.5703125" style="3" bestFit="1" customWidth="1"/>
    <col min="13842" max="14087" width="9.140625" style="3"/>
    <col min="14088" max="14088" width="2.42578125" style="3" customWidth="1"/>
    <col min="14089" max="14089" width="10" style="3" customWidth="1"/>
    <col min="14090" max="14090" width="44.85546875" style="3" customWidth="1"/>
    <col min="14091" max="14091" width="5.140625" style="3" customWidth="1"/>
    <col min="14092" max="14092" width="13.7109375" style="3" bestFit="1" customWidth="1"/>
    <col min="14093" max="14095" width="12.7109375" style="3" bestFit="1" customWidth="1"/>
    <col min="14096" max="14096" width="13.7109375" style="3" bestFit="1" customWidth="1"/>
    <col min="14097" max="14097" width="5.5703125" style="3" bestFit="1" customWidth="1"/>
    <col min="14098" max="14343" width="9.140625" style="3"/>
    <col min="14344" max="14344" width="2.42578125" style="3" customWidth="1"/>
    <col min="14345" max="14345" width="10" style="3" customWidth="1"/>
    <col min="14346" max="14346" width="44.85546875" style="3" customWidth="1"/>
    <col min="14347" max="14347" width="5.140625" style="3" customWidth="1"/>
    <col min="14348" max="14348" width="13.7109375" style="3" bestFit="1" customWidth="1"/>
    <col min="14349" max="14351" width="12.7109375" style="3" bestFit="1" customWidth="1"/>
    <col min="14352" max="14352" width="13.7109375" style="3" bestFit="1" customWidth="1"/>
    <col min="14353" max="14353" width="5.5703125" style="3" bestFit="1" customWidth="1"/>
    <col min="14354" max="14599" width="9.140625" style="3"/>
    <col min="14600" max="14600" width="2.42578125" style="3" customWidth="1"/>
    <col min="14601" max="14601" width="10" style="3" customWidth="1"/>
    <col min="14602" max="14602" width="44.85546875" style="3" customWidth="1"/>
    <col min="14603" max="14603" width="5.140625" style="3" customWidth="1"/>
    <col min="14604" max="14604" width="13.7109375" style="3" bestFit="1" customWidth="1"/>
    <col min="14605" max="14607" width="12.7109375" style="3" bestFit="1" customWidth="1"/>
    <col min="14608" max="14608" width="13.7109375" style="3" bestFit="1" customWidth="1"/>
    <col min="14609" max="14609" width="5.5703125" style="3" bestFit="1" customWidth="1"/>
    <col min="14610" max="14855" width="9.140625" style="3"/>
    <col min="14856" max="14856" width="2.42578125" style="3" customWidth="1"/>
    <col min="14857" max="14857" width="10" style="3" customWidth="1"/>
    <col min="14858" max="14858" width="44.85546875" style="3" customWidth="1"/>
    <col min="14859" max="14859" width="5.140625" style="3" customWidth="1"/>
    <col min="14860" max="14860" width="13.7109375" style="3" bestFit="1" customWidth="1"/>
    <col min="14861" max="14863" width="12.7109375" style="3" bestFit="1" customWidth="1"/>
    <col min="14864" max="14864" width="13.7109375" style="3" bestFit="1" customWidth="1"/>
    <col min="14865" max="14865" width="5.5703125" style="3" bestFit="1" customWidth="1"/>
    <col min="14866" max="15111" width="9.140625" style="3"/>
    <col min="15112" max="15112" width="2.42578125" style="3" customWidth="1"/>
    <col min="15113" max="15113" width="10" style="3" customWidth="1"/>
    <col min="15114" max="15114" width="44.85546875" style="3" customWidth="1"/>
    <col min="15115" max="15115" width="5.140625" style="3" customWidth="1"/>
    <col min="15116" max="15116" width="13.7109375" style="3" bestFit="1" customWidth="1"/>
    <col min="15117" max="15119" width="12.7109375" style="3" bestFit="1" customWidth="1"/>
    <col min="15120" max="15120" width="13.7109375" style="3" bestFit="1" customWidth="1"/>
    <col min="15121" max="15121" width="5.5703125" style="3" bestFit="1" customWidth="1"/>
    <col min="15122" max="15367" width="9.140625" style="3"/>
    <col min="15368" max="15368" width="2.42578125" style="3" customWidth="1"/>
    <col min="15369" max="15369" width="10" style="3" customWidth="1"/>
    <col min="15370" max="15370" width="44.85546875" style="3" customWidth="1"/>
    <col min="15371" max="15371" width="5.140625" style="3" customWidth="1"/>
    <col min="15372" max="15372" width="13.7109375" style="3" bestFit="1" customWidth="1"/>
    <col min="15373" max="15375" width="12.7109375" style="3" bestFit="1" customWidth="1"/>
    <col min="15376" max="15376" width="13.7109375" style="3" bestFit="1" customWidth="1"/>
    <col min="15377" max="15377" width="5.5703125" style="3" bestFit="1" customWidth="1"/>
    <col min="15378" max="15623" width="9.140625" style="3"/>
    <col min="15624" max="15624" width="2.42578125" style="3" customWidth="1"/>
    <col min="15625" max="15625" width="10" style="3" customWidth="1"/>
    <col min="15626" max="15626" width="44.85546875" style="3" customWidth="1"/>
    <col min="15627" max="15627" width="5.140625" style="3" customWidth="1"/>
    <col min="15628" max="15628" width="13.7109375" style="3" bestFit="1" customWidth="1"/>
    <col min="15629" max="15631" width="12.7109375" style="3" bestFit="1" customWidth="1"/>
    <col min="15632" max="15632" width="13.7109375" style="3" bestFit="1" customWidth="1"/>
    <col min="15633" max="15633" width="5.5703125" style="3" bestFit="1" customWidth="1"/>
    <col min="15634" max="15879" width="9.140625" style="3"/>
    <col min="15880" max="15880" width="2.42578125" style="3" customWidth="1"/>
    <col min="15881" max="15881" width="10" style="3" customWidth="1"/>
    <col min="15882" max="15882" width="44.85546875" style="3" customWidth="1"/>
    <col min="15883" max="15883" width="5.140625" style="3" customWidth="1"/>
    <col min="15884" max="15884" width="13.7109375" style="3" bestFit="1" customWidth="1"/>
    <col min="15885" max="15887" width="12.7109375" style="3" bestFit="1" customWidth="1"/>
    <col min="15888" max="15888" width="13.7109375" style="3" bestFit="1" customWidth="1"/>
    <col min="15889" max="15889" width="5.5703125" style="3" bestFit="1" customWidth="1"/>
    <col min="15890" max="16135" width="9.140625" style="3"/>
    <col min="16136" max="16136" width="2.42578125" style="3" customWidth="1"/>
    <col min="16137" max="16137" width="10" style="3" customWidth="1"/>
    <col min="16138" max="16138" width="44.85546875" style="3" customWidth="1"/>
    <col min="16139" max="16139" width="5.140625" style="3" customWidth="1"/>
    <col min="16140" max="16140" width="13.7109375" style="3" bestFit="1" customWidth="1"/>
    <col min="16141" max="16143" width="12.7109375" style="3" bestFit="1" customWidth="1"/>
    <col min="16144" max="16144" width="13.7109375" style="3" bestFit="1" customWidth="1"/>
    <col min="16145" max="16145" width="5.5703125" style="3" bestFit="1" customWidth="1"/>
    <col min="16146" max="16384" width="9.140625" style="3"/>
  </cols>
  <sheetData>
    <row r="2" spans="1:17">
      <c r="A2" s="107" t="s">
        <v>112</v>
      </c>
      <c r="F2" s="394" t="s">
        <v>113</v>
      </c>
      <c r="G2" s="394" t="s">
        <v>114</v>
      </c>
      <c r="H2" s="24"/>
      <c r="I2" s="476" t="s">
        <v>1211</v>
      </c>
      <c r="J2" s="477">
        <v>2021</v>
      </c>
      <c r="K2" s="477">
        <v>2022</v>
      </c>
    </row>
    <row r="3" spans="1:17" s="24" customFormat="1">
      <c r="F3" s="395" t="s">
        <v>115</v>
      </c>
      <c r="G3" s="395" t="s">
        <v>115</v>
      </c>
      <c r="H3" s="3"/>
      <c r="I3" s="342" t="s">
        <v>1212</v>
      </c>
      <c r="J3" s="396">
        <v>0.33</v>
      </c>
      <c r="K3" s="478">
        <v>0.4</v>
      </c>
    </row>
    <row r="4" spans="1:17">
      <c r="F4" s="396">
        <v>0.19989999999999999</v>
      </c>
      <c r="G4" s="396">
        <v>0.11840000000000001</v>
      </c>
    </row>
    <row r="5" spans="1:17">
      <c r="G5" s="87" t="s">
        <v>116</v>
      </c>
    </row>
    <row r="6" spans="1:17">
      <c r="A6" s="25"/>
      <c r="B6" s="25"/>
      <c r="C6" s="25"/>
      <c r="D6" s="25"/>
      <c r="E6" s="25"/>
      <c r="F6" s="33" t="s">
        <v>11</v>
      </c>
      <c r="G6" s="397">
        <v>2021</v>
      </c>
      <c r="H6" s="397">
        <v>2021</v>
      </c>
      <c r="I6" s="397">
        <v>2022</v>
      </c>
      <c r="J6" s="397">
        <v>2023</v>
      </c>
      <c r="K6" s="397">
        <v>2024</v>
      </c>
      <c r="L6" s="397">
        <v>2025</v>
      </c>
      <c r="M6" s="397"/>
      <c r="N6" s="397"/>
      <c r="O6" s="397"/>
      <c r="P6" s="397"/>
    </row>
    <row r="7" spans="1:17">
      <c r="F7" s="342" t="s">
        <v>598</v>
      </c>
      <c r="G7" s="398">
        <v>0.33</v>
      </c>
      <c r="H7" s="398">
        <v>0.33500000000000002</v>
      </c>
      <c r="I7" s="399">
        <v>0.4</v>
      </c>
      <c r="J7" s="396">
        <v>0.5</v>
      </c>
      <c r="K7" s="396">
        <v>0.74</v>
      </c>
      <c r="L7" s="399">
        <v>0.72</v>
      </c>
      <c r="M7" s="399"/>
      <c r="N7" s="399"/>
      <c r="O7" s="399"/>
      <c r="P7" s="399"/>
    </row>
    <row r="8" spans="1:17">
      <c r="F8" s="342" t="s">
        <v>597</v>
      </c>
    </row>
    <row r="9" spans="1:17">
      <c r="A9" s="25"/>
      <c r="B9" s="400" t="s">
        <v>484</v>
      </c>
      <c r="C9" s="401"/>
      <c r="D9" s="402" t="s">
        <v>117</v>
      </c>
      <c r="E9" s="402" t="s">
        <v>118</v>
      </c>
      <c r="F9" s="402" t="s">
        <v>119</v>
      </c>
      <c r="G9" s="402" t="s">
        <v>120</v>
      </c>
      <c r="H9" s="402" t="s">
        <v>280</v>
      </c>
      <c r="I9" s="402" t="s">
        <v>281</v>
      </c>
      <c r="J9" s="402" t="s">
        <v>282</v>
      </c>
      <c r="K9" s="402" t="s">
        <v>283</v>
      </c>
      <c r="L9" s="402" t="s">
        <v>284</v>
      </c>
      <c r="M9" s="402" t="s">
        <v>286</v>
      </c>
      <c r="N9" s="402" t="s">
        <v>287</v>
      </c>
      <c r="O9" s="402" t="s">
        <v>288</v>
      </c>
      <c r="P9" s="403" t="s">
        <v>10</v>
      </c>
    </row>
    <row r="10" spans="1:17">
      <c r="B10" s="394" t="s">
        <v>592</v>
      </c>
      <c r="C10" s="395"/>
      <c r="D10" s="392"/>
      <c r="E10" s="392"/>
      <c r="F10" s="392"/>
      <c r="G10" s="392"/>
      <c r="H10" s="392"/>
      <c r="I10" s="392"/>
      <c r="J10" s="392"/>
      <c r="K10" s="392"/>
      <c r="L10" s="392"/>
      <c r="M10" s="392"/>
      <c r="N10" s="392"/>
      <c r="O10" s="392"/>
      <c r="P10" s="404"/>
    </row>
    <row r="11" spans="1:17">
      <c r="A11" s="59" t="s">
        <v>121</v>
      </c>
      <c r="B11" s="3" t="s">
        <v>591</v>
      </c>
      <c r="C11" s="395">
        <v>311</v>
      </c>
      <c r="D11" s="392">
        <v>646851.22</v>
      </c>
      <c r="E11" s="392">
        <v>1584309.78</v>
      </c>
      <c r="F11" s="392">
        <v>1110585.6299999999</v>
      </c>
      <c r="G11" s="392">
        <v>1101862.0900000001</v>
      </c>
      <c r="H11" s="392">
        <f>1041204.38</f>
        <v>1041204.38</v>
      </c>
      <c r="I11" s="392">
        <v>1041463.47</v>
      </c>
      <c r="J11" s="392">
        <v>1038282.04</v>
      </c>
      <c r="K11" s="392">
        <v>1036421.89</v>
      </c>
      <c r="L11" s="392">
        <v>1047813.28</v>
      </c>
      <c r="M11" s="392">
        <v>1031939.72</v>
      </c>
      <c r="N11" s="392">
        <f>1031371.47</f>
        <v>1031371.47</v>
      </c>
      <c r="O11" s="392">
        <f>2257142.6</f>
        <v>2257142.6</v>
      </c>
      <c r="P11" s="404">
        <f>SUM(D11:O11)</f>
        <v>13969247.57</v>
      </c>
      <c r="Q11" s="392">
        <f>13969247.57-P11</f>
        <v>0</v>
      </c>
    </row>
    <row r="12" spans="1:17">
      <c r="A12" s="59" t="s">
        <v>122</v>
      </c>
      <c r="B12" s="3" t="s">
        <v>593</v>
      </c>
      <c r="C12" s="395">
        <v>320</v>
      </c>
      <c r="D12" s="392">
        <v>40013.54</v>
      </c>
      <c r="E12" s="392">
        <v>25467.31</v>
      </c>
      <c r="F12" s="392">
        <f>43738.35</f>
        <v>43738.35</v>
      </c>
      <c r="G12" s="392">
        <v>147124.29</v>
      </c>
      <c r="H12" s="392">
        <f>167667.79</f>
        <v>167667.79</v>
      </c>
      <c r="I12" s="392">
        <v>197063.87</v>
      </c>
      <c r="J12" s="392">
        <v>79480.33</v>
      </c>
      <c r="K12" s="392">
        <v>114330.75</v>
      </c>
      <c r="L12" s="392">
        <v>39881.89</v>
      </c>
      <c r="M12" s="392">
        <v>76483.03</v>
      </c>
      <c r="N12" s="392">
        <f>132426.56</f>
        <v>132426.56</v>
      </c>
      <c r="O12" s="392">
        <f>81964.99</f>
        <v>81964.990000000005</v>
      </c>
      <c r="P12" s="404">
        <f>SUM(D12:O12)</f>
        <v>1145642.7</v>
      </c>
      <c r="Q12" s="392">
        <f>1145642.7-P12</f>
        <v>0</v>
      </c>
    </row>
    <row r="13" spans="1:17">
      <c r="B13" s="394" t="s">
        <v>594</v>
      </c>
      <c r="C13" s="395"/>
      <c r="D13" s="392">
        <v>1821306.69</v>
      </c>
      <c r="E13" s="392">
        <v>3418373.35</v>
      </c>
      <c r="F13" s="392">
        <v>2477691.9500000002</v>
      </c>
      <c r="G13" s="392">
        <v>2713144.41</v>
      </c>
      <c r="H13" s="392">
        <f>2527081.2</f>
        <v>2527081.2000000002</v>
      </c>
      <c r="I13" s="392">
        <v>2358458.2000000002</v>
      </c>
      <c r="J13" s="392">
        <v>2342207.5</v>
      </c>
      <c r="K13" s="392">
        <f>2308046.36</f>
        <v>2308046.36</v>
      </c>
      <c r="L13" s="392">
        <v>2466047.48</v>
      </c>
      <c r="M13" s="392">
        <v>2370360.38</v>
      </c>
      <c r="N13" s="392">
        <f>2878589.87</f>
        <v>2878589.87</v>
      </c>
      <c r="O13" s="392">
        <f>5272665.5</f>
        <v>5272665.5</v>
      </c>
      <c r="P13" s="404">
        <f>SUM(D13:N13)</f>
        <v>27681307.390000001</v>
      </c>
      <c r="Q13" s="340">
        <f>27681307.39-P13</f>
        <v>0</v>
      </c>
    </row>
    <row r="14" spans="1:17">
      <c r="A14" s="25"/>
      <c r="B14" s="25" t="s">
        <v>595</v>
      </c>
      <c r="C14" s="405"/>
      <c r="D14" s="406">
        <v>1774960.27</v>
      </c>
      <c r="E14" s="407">
        <v>1892028.52</v>
      </c>
      <c r="F14" s="407">
        <v>1916270.79</v>
      </c>
      <c r="G14" s="407">
        <v>1847527.88</v>
      </c>
      <c r="H14" s="407">
        <v>1862823.19</v>
      </c>
      <c r="I14" s="407">
        <f>1860508.85</f>
        <v>1860508.85</v>
      </c>
      <c r="J14" s="407">
        <v>1888869.79</v>
      </c>
      <c r="K14" s="407">
        <v>1864374.65</v>
      </c>
      <c r="L14" s="407">
        <f>1864704.24</f>
        <v>1864704.24</v>
      </c>
      <c r="M14" s="407">
        <v>1868149.11</v>
      </c>
      <c r="N14" s="407">
        <f>1866454.01</f>
        <v>1866454.01</v>
      </c>
      <c r="O14" s="407">
        <f>3707726.11</f>
        <v>3707726.11</v>
      </c>
      <c r="P14" s="421">
        <f>SUM(D14:O14)</f>
        <v>24214397.41</v>
      </c>
      <c r="Q14" s="340">
        <f>24214397.41-P14</f>
        <v>0</v>
      </c>
    </row>
    <row r="15" spans="1:17">
      <c r="B15" s="3" t="s">
        <v>596</v>
      </c>
      <c r="C15" s="395" t="s">
        <v>123</v>
      </c>
      <c r="D15" s="392">
        <f t="shared" ref="D15:K15" si="0">D13-D14</f>
        <v>46346.419999999925</v>
      </c>
      <c r="E15" s="392">
        <f t="shared" si="0"/>
        <v>1526344.83</v>
      </c>
      <c r="F15" s="392">
        <f t="shared" si="0"/>
        <v>561421.16000000015</v>
      </c>
      <c r="G15" s="392">
        <f>G13-G14</f>
        <v>865616.53000000026</v>
      </c>
      <c r="H15" s="392">
        <f t="shared" si="0"/>
        <v>664258.01000000024</v>
      </c>
      <c r="I15" s="408">
        <f t="shared" si="0"/>
        <v>497949.35000000009</v>
      </c>
      <c r="J15" s="408">
        <f t="shared" si="0"/>
        <v>453337.70999999996</v>
      </c>
      <c r="K15" s="408">
        <f t="shared" si="0"/>
        <v>443671.70999999996</v>
      </c>
      <c r="L15" s="408">
        <f>L13-L14</f>
        <v>601343.24</v>
      </c>
      <c r="M15" s="408">
        <f>M13-M14</f>
        <v>502211.26999999979</v>
      </c>
      <c r="N15" s="392">
        <f>N13-N14</f>
        <v>1012135.8600000001</v>
      </c>
      <c r="O15" s="392">
        <f>O13-O14</f>
        <v>1564939.3900000001</v>
      </c>
      <c r="P15" s="404">
        <f>SUM(D15:N15)</f>
        <v>7174636.0900000008</v>
      </c>
      <c r="Q15" s="340"/>
    </row>
    <row r="16" spans="1:17">
      <c r="C16" s="395"/>
      <c r="D16" s="392"/>
      <c r="P16" s="29"/>
    </row>
    <row r="17" spans="1:18">
      <c r="A17" s="25"/>
      <c r="B17" s="409" t="s">
        <v>124</v>
      </c>
      <c r="C17" s="405" t="s">
        <v>125</v>
      </c>
      <c r="D17" s="406">
        <f t="shared" ref="D17:J17" si="1">SUM(D11:D12)-D15</f>
        <v>640518.34000000008</v>
      </c>
      <c r="E17" s="406">
        <f t="shared" si="1"/>
        <v>83432.260000000009</v>
      </c>
      <c r="F17" s="406">
        <f t="shared" si="1"/>
        <v>592902.81999999983</v>
      </c>
      <c r="G17" s="406">
        <f t="shared" si="1"/>
        <v>383369.84999999986</v>
      </c>
      <c r="H17" s="406">
        <f t="shared" si="1"/>
        <v>544614.15999999968</v>
      </c>
      <c r="I17" s="406">
        <f t="shared" si="1"/>
        <v>740577.98999999976</v>
      </c>
      <c r="J17" s="406">
        <f t="shared" si="1"/>
        <v>664424.66000000015</v>
      </c>
      <c r="K17" s="406">
        <f>SUM(K11:K12)-K15</f>
        <v>707080.93000000017</v>
      </c>
      <c r="L17" s="406">
        <f>SUM(L11:L12)-L15</f>
        <v>486351.92999999993</v>
      </c>
      <c r="M17" s="406">
        <f>SUM(M11:M12)-M15</f>
        <v>606211.48000000021</v>
      </c>
      <c r="N17" s="406">
        <f>SUM(N11:N12)-N15</f>
        <v>151662.16999999993</v>
      </c>
      <c r="O17" s="406">
        <f>SUM(O11:O12)-O15</f>
        <v>774168.20000000019</v>
      </c>
      <c r="P17" s="421">
        <f>SUM(D17:O17)</f>
        <v>6375314.79</v>
      </c>
    </row>
    <row r="18" spans="1:18">
      <c r="B18" s="3" t="s">
        <v>485</v>
      </c>
      <c r="D18" s="392"/>
      <c r="E18" s="340">
        <f>D17+E17</f>
        <v>723950.60000000009</v>
      </c>
      <c r="F18" s="340">
        <f t="shared" ref="F18:J18" si="2">E18+F17</f>
        <v>1316853.42</v>
      </c>
      <c r="G18" s="340">
        <f t="shared" si="2"/>
        <v>1700223.2699999998</v>
      </c>
      <c r="H18" s="340">
        <f t="shared" si="2"/>
        <v>2244837.4299999997</v>
      </c>
      <c r="I18" s="340">
        <f t="shared" si="2"/>
        <v>2985415.4199999995</v>
      </c>
      <c r="J18" s="340">
        <f t="shared" si="2"/>
        <v>3649840.0799999996</v>
      </c>
      <c r="K18" s="340">
        <f>J18+K17</f>
        <v>4356921.01</v>
      </c>
      <c r="L18" s="340">
        <f>K18+L17</f>
        <v>4843272.9399999995</v>
      </c>
      <c r="M18" s="340">
        <f>L18+M17</f>
        <v>5449484.4199999999</v>
      </c>
      <c r="N18" s="340">
        <f>M18+N17</f>
        <v>5601146.5899999999</v>
      </c>
      <c r="O18" s="340">
        <f>N18+O17</f>
        <v>6375314.79</v>
      </c>
      <c r="P18" s="29"/>
    </row>
    <row r="19" spans="1:18">
      <c r="D19" s="392"/>
      <c r="P19" s="29"/>
    </row>
    <row r="20" spans="1:18">
      <c r="B20" s="342" t="s">
        <v>126</v>
      </c>
      <c r="C20" s="410"/>
      <c r="D20" s="392">
        <f>21390.5-13008.99</f>
        <v>8381.51</v>
      </c>
      <c r="E20" s="411">
        <v>7644.48</v>
      </c>
      <c r="F20" s="411">
        <f>70335.98-81867.41</f>
        <v>-11531.430000000008</v>
      </c>
      <c r="G20" s="411">
        <v>236970.22</v>
      </c>
      <c r="H20" s="411">
        <f>196118.17-25818.29</f>
        <v>170299.88</v>
      </c>
      <c r="I20" s="411">
        <f>48213.11-50509.62</f>
        <v>-2296.510000000002</v>
      </c>
      <c r="J20" s="411">
        <f>73898.94-87402.27</f>
        <v>-13503.330000000002</v>
      </c>
      <c r="K20" s="411">
        <f>93050.89-139895.26</f>
        <v>-46844.37000000001</v>
      </c>
      <c r="L20" s="411">
        <f>207190.52-117856.34</f>
        <v>89334.18</v>
      </c>
      <c r="M20" s="411">
        <f>356724.71-334520.02</f>
        <v>22204.690000000002</v>
      </c>
      <c r="N20" s="411">
        <f>559892.02-(2703.66+30050.01)</f>
        <v>527138.35</v>
      </c>
      <c r="O20" s="411">
        <f>468274.43</f>
        <v>468274.43</v>
      </c>
      <c r="P20" s="404">
        <f>SUM(D20:O20)</f>
        <v>1456072.0999999999</v>
      </c>
      <c r="Q20" s="340">
        <f>(2351279.88-(895207.78))-P20</f>
        <v>0</v>
      </c>
    </row>
    <row r="21" spans="1:18">
      <c r="D21" s="392"/>
      <c r="O21" s="342" t="s">
        <v>1196</v>
      </c>
      <c r="P21" s="473">
        <v>-352333.58</v>
      </c>
      <c r="R21" s="340"/>
    </row>
    <row r="22" spans="1:18">
      <c r="A22" s="3" t="s">
        <v>1197</v>
      </c>
      <c r="D22" s="392"/>
      <c r="O22" s="340">
        <f>P22-J38</f>
        <v>1103738.5199999998</v>
      </c>
      <c r="P22" s="340">
        <f>P20+P21</f>
        <v>1103738.5199999998</v>
      </c>
    </row>
    <row r="23" spans="1:18">
      <c r="A23" s="25"/>
      <c r="B23" s="409" t="s">
        <v>127</v>
      </c>
      <c r="C23" s="25"/>
      <c r="D23" s="416">
        <v>33033586.629999999</v>
      </c>
      <c r="E23" s="407">
        <v>32875956.559999999</v>
      </c>
      <c r="F23" s="407">
        <v>34457888.159999996</v>
      </c>
      <c r="G23" s="407">
        <v>35776936.130000003</v>
      </c>
      <c r="H23" s="407">
        <v>35898682.270000003</v>
      </c>
      <c r="I23" s="407">
        <f>35480656.82</f>
        <v>35480656.82</v>
      </c>
      <c r="J23" s="407">
        <f>35920808.42</f>
        <v>35920808.420000002</v>
      </c>
      <c r="K23" s="407">
        <v>36369533.189999998</v>
      </c>
      <c r="L23" s="407">
        <f>36874615.14</f>
        <v>36874615.140000001</v>
      </c>
      <c r="M23" s="407">
        <v>37473087.700000003</v>
      </c>
      <c r="N23" s="407">
        <v>38488332.469999999</v>
      </c>
      <c r="O23" s="407">
        <v>40962776.229999997</v>
      </c>
      <c r="P23" s="412" t="s">
        <v>10</v>
      </c>
    </row>
    <row r="24" spans="1:18">
      <c r="D24" s="392"/>
      <c r="E24" s="340">
        <f t="shared" ref="E24:K24" si="3">E23-D23</f>
        <v>-157630.0700000003</v>
      </c>
      <c r="F24" s="340">
        <f t="shared" si="3"/>
        <v>1581931.5999999978</v>
      </c>
      <c r="G24" s="340">
        <f t="shared" si="3"/>
        <v>1319047.9700000063</v>
      </c>
      <c r="H24" s="340">
        <f t="shared" si="3"/>
        <v>121746.1400000006</v>
      </c>
      <c r="I24" s="340">
        <f t="shared" si="3"/>
        <v>-418025.45000000298</v>
      </c>
      <c r="J24" s="340">
        <f t="shared" si="3"/>
        <v>440151.60000000149</v>
      </c>
      <c r="K24" s="340">
        <f t="shared" si="3"/>
        <v>448724.76999999583</v>
      </c>
      <c r="L24" s="340">
        <f>L23-K23</f>
        <v>505081.95000000298</v>
      </c>
      <c r="M24" s="340">
        <f>M23-L23</f>
        <v>598472.56000000238</v>
      </c>
      <c r="N24" s="340">
        <f>N23-M23</f>
        <v>1015244.7699999958</v>
      </c>
      <c r="O24" s="340">
        <f>O23-N23</f>
        <v>2474443.7599999979</v>
      </c>
      <c r="P24" s="413">
        <f>SUM(E24:O24)</f>
        <v>7929189.5999999978</v>
      </c>
      <c r="Q24" s="340">
        <f>O23-D23-P24</f>
        <v>0</v>
      </c>
    </row>
    <row r="25" spans="1:18">
      <c r="D25" s="392"/>
      <c r="P25" s="29"/>
    </row>
    <row r="26" spans="1:18">
      <c r="A26" s="25"/>
      <c r="B26" s="25"/>
      <c r="C26" s="409" t="s">
        <v>128</v>
      </c>
      <c r="D26" s="414">
        <f>D20/D23</f>
        <v>2.5372691418219155E-4</v>
      </c>
      <c r="E26" s="414">
        <f>E20/E23</f>
        <v>2.3252494527569115E-4</v>
      </c>
      <c r="F26" s="414">
        <f t="shared" ref="F26:L26" si="4">F20/F23</f>
        <v>-3.3465283613596847E-4</v>
      </c>
      <c r="G26" s="414">
        <f t="shared" si="4"/>
        <v>6.6235470566551272E-3</v>
      </c>
      <c r="H26" s="414">
        <f t="shared" si="4"/>
        <v>4.7439033755931788E-3</v>
      </c>
      <c r="I26" s="414">
        <f t="shared" si="4"/>
        <v>-6.4725690159870105E-5</v>
      </c>
      <c r="J26" s="414">
        <f t="shared" si="4"/>
        <v>-3.7591943483325426E-4</v>
      </c>
      <c r="K26" s="414">
        <f t="shared" si="4"/>
        <v>-1.288011307576533E-3</v>
      </c>
      <c r="L26" s="414">
        <f t="shared" si="4"/>
        <v>2.4226471153889848E-3</v>
      </c>
      <c r="M26" s="414">
        <f>M20/M23</f>
        <v>5.9255031711731619E-4</v>
      </c>
      <c r="N26" s="414">
        <f>N20/N23</f>
        <v>1.3696055821874893E-2</v>
      </c>
      <c r="O26" s="414">
        <f>O20/O23</f>
        <v>1.1431706370942915E-2</v>
      </c>
      <c r="P26" s="415">
        <f>SUM(D26:O26)</f>
        <v>3.7933352648324675E-2</v>
      </c>
    </row>
    <row r="27" spans="1:18">
      <c r="D27" s="392"/>
    </row>
    <row r="28" spans="1:18">
      <c r="D28" s="392"/>
    </row>
    <row r="29" spans="1:18">
      <c r="D29" s="392"/>
    </row>
    <row r="30" spans="1:18">
      <c r="D30" s="392"/>
    </row>
    <row r="31" spans="1:18">
      <c r="D31" s="392"/>
    </row>
    <row r="32" spans="1:18">
      <c r="A32" s="25"/>
      <c r="B32" s="400" t="s">
        <v>1210</v>
      </c>
      <c r="C32" s="401"/>
      <c r="D32" s="402" t="s">
        <v>117</v>
      </c>
      <c r="E32" s="402" t="s">
        <v>118</v>
      </c>
      <c r="F32" s="402" t="s">
        <v>119</v>
      </c>
      <c r="G32" s="402" t="s">
        <v>120</v>
      </c>
      <c r="H32" s="402" t="s">
        <v>280</v>
      </c>
      <c r="I32" s="402" t="s">
        <v>281</v>
      </c>
      <c r="J32" s="402" t="s">
        <v>282</v>
      </c>
      <c r="K32" s="402" t="s">
        <v>283</v>
      </c>
      <c r="L32" s="402" t="s">
        <v>284</v>
      </c>
      <c r="M32" s="402" t="s">
        <v>286</v>
      </c>
      <c r="N32" s="402" t="s">
        <v>287</v>
      </c>
      <c r="O32" s="402" t="s">
        <v>288</v>
      </c>
      <c r="P32" s="403" t="s">
        <v>10</v>
      </c>
    </row>
    <row r="33" spans="1:18">
      <c r="B33" s="394" t="s">
        <v>592</v>
      </c>
      <c r="C33" s="395"/>
      <c r="D33" s="392"/>
      <c r="E33" s="392"/>
      <c r="F33" s="392"/>
      <c r="G33" s="392"/>
      <c r="H33" s="392"/>
      <c r="I33" s="392"/>
      <c r="J33" s="392"/>
      <c r="K33" s="392"/>
      <c r="L33" s="392"/>
      <c r="M33" s="392"/>
      <c r="N33" s="392"/>
      <c r="O33" s="392"/>
      <c r="P33" s="404"/>
    </row>
    <row r="34" spans="1:18">
      <c r="A34" s="59" t="s">
        <v>121</v>
      </c>
      <c r="B34" s="3" t="s">
        <v>591</v>
      </c>
      <c r="C34" s="395">
        <v>2</v>
      </c>
      <c r="D34" s="392">
        <f>891787.92</f>
        <v>891787.92</v>
      </c>
      <c r="E34" s="392">
        <f>1297234.15</f>
        <v>1297234.1499999999</v>
      </c>
      <c r="F34" s="392">
        <f>1687898.51</f>
        <v>1687898.51</v>
      </c>
      <c r="G34" s="392">
        <f>1685861.8</f>
        <v>1685861.8</v>
      </c>
      <c r="H34" s="392"/>
      <c r="I34" s="392"/>
      <c r="J34" s="392"/>
      <c r="K34" s="392"/>
      <c r="L34" s="392"/>
      <c r="M34" s="392"/>
      <c r="N34" s="392"/>
      <c r="O34" s="392"/>
      <c r="P34" s="404">
        <f>SUM(D34:O34)</f>
        <v>5562782.3799999999</v>
      </c>
      <c r="Q34" s="392">
        <f>5562782.38-P34</f>
        <v>0</v>
      </c>
    </row>
    <row r="35" spans="1:18">
      <c r="A35" s="59" t="s">
        <v>122</v>
      </c>
      <c r="B35" s="3" t="s">
        <v>593</v>
      </c>
      <c r="C35" s="395">
        <v>7</v>
      </c>
      <c r="D35" s="392">
        <f>54875.67</f>
        <v>54875.67</v>
      </c>
      <c r="E35" s="392">
        <f>111840.76</f>
        <v>111840.76</v>
      </c>
      <c r="F35" s="392">
        <f>76216.62</f>
        <v>76216.62</v>
      </c>
      <c r="G35" s="392">
        <f>196927.82</f>
        <v>196927.82</v>
      </c>
      <c r="H35" s="392"/>
      <c r="I35" s="392"/>
      <c r="J35" s="392"/>
      <c r="K35" s="392"/>
      <c r="L35" s="392"/>
      <c r="M35" s="392"/>
      <c r="N35" s="392"/>
      <c r="O35" s="392"/>
      <c r="P35" s="404">
        <f>SUM(D35:O35)</f>
        <v>439860.87</v>
      </c>
      <c r="Q35" s="392">
        <f>439860.87-P35</f>
        <v>0</v>
      </c>
    </row>
    <row r="36" spans="1:18">
      <c r="B36" s="394" t="s">
        <v>594</v>
      </c>
      <c r="C36" s="395"/>
      <c r="D36" s="392">
        <f>2095430.84</f>
        <v>2095430.84</v>
      </c>
      <c r="E36" s="392">
        <f>2742554.41</f>
        <v>2742554.41</v>
      </c>
      <c r="F36" s="392">
        <f>3839700.82</f>
        <v>3839700.82</v>
      </c>
      <c r="G36" s="392">
        <f>3771843.75</f>
        <v>3771843.75</v>
      </c>
      <c r="H36" s="392"/>
      <c r="I36" s="392"/>
      <c r="J36" s="392"/>
      <c r="K36" s="392"/>
      <c r="L36" s="392"/>
      <c r="M36" s="392"/>
      <c r="N36" s="392"/>
      <c r="O36" s="392"/>
      <c r="P36" s="404">
        <f>SUM(D36:N36)</f>
        <v>12449529.82</v>
      </c>
      <c r="Q36" s="340">
        <f>12449529.82-P36</f>
        <v>0</v>
      </c>
    </row>
    <row r="37" spans="1:18">
      <c r="A37" s="25"/>
      <c r="B37" s="25" t="s">
        <v>595</v>
      </c>
      <c r="C37" s="405"/>
      <c r="D37" s="406">
        <f>1954791.97</f>
        <v>1954791.97</v>
      </c>
      <c r="E37" s="407">
        <f>2260829.3</f>
        <v>2260829.2999999998</v>
      </c>
      <c r="F37" s="407"/>
      <c r="G37" s="407"/>
      <c r="H37" s="407"/>
      <c r="I37" s="407"/>
      <c r="J37" s="407"/>
      <c r="K37" s="407"/>
      <c r="L37" s="407"/>
      <c r="M37" s="407"/>
      <c r="N37" s="407"/>
      <c r="O37" s="407"/>
      <c r="P37" s="421">
        <f>SUM(D37:O37)</f>
        <v>4215621.2699999996</v>
      </c>
      <c r="Q37" s="340">
        <f>4215621.27-P37</f>
        <v>0</v>
      </c>
    </row>
    <row r="38" spans="1:18">
      <c r="B38" s="3" t="s">
        <v>596</v>
      </c>
      <c r="C38" s="395" t="s">
        <v>123</v>
      </c>
      <c r="D38" s="392">
        <f t="shared" ref="D38:F38" si="5">D36-D37</f>
        <v>140638.87000000011</v>
      </c>
      <c r="E38" s="392">
        <f t="shared" si="5"/>
        <v>481725.11000000034</v>
      </c>
      <c r="F38" s="392">
        <f t="shared" si="5"/>
        <v>3839700.82</v>
      </c>
      <c r="G38" s="392">
        <f>G36-G37</f>
        <v>3771843.75</v>
      </c>
      <c r="H38" s="392">
        <f t="shared" ref="H38:K38" si="6">H36-H37</f>
        <v>0</v>
      </c>
      <c r="I38" s="408">
        <f t="shared" si="6"/>
        <v>0</v>
      </c>
      <c r="J38" s="408">
        <f t="shared" si="6"/>
        <v>0</v>
      </c>
      <c r="K38" s="408">
        <f t="shared" si="6"/>
        <v>0</v>
      </c>
      <c r="L38" s="408">
        <f>L36-L37</f>
        <v>0</v>
      </c>
      <c r="M38" s="408">
        <f>M36-M37</f>
        <v>0</v>
      </c>
      <c r="N38" s="392">
        <f>N36-N37</f>
        <v>0</v>
      </c>
      <c r="O38" s="392">
        <f>O36-O37</f>
        <v>0</v>
      </c>
      <c r="P38" s="404">
        <f>SUM(D38:N38)</f>
        <v>8233908.5500000007</v>
      </c>
      <c r="Q38" s="340"/>
    </row>
    <row r="39" spans="1:18">
      <c r="C39" s="395"/>
      <c r="D39" s="392"/>
      <c r="P39" s="29"/>
    </row>
    <row r="40" spans="1:18">
      <c r="A40" s="25"/>
      <c r="B40" s="409" t="s">
        <v>124</v>
      </c>
      <c r="C40" s="405" t="s">
        <v>125</v>
      </c>
      <c r="D40" s="406">
        <f t="shared" ref="D40:J40" si="7">SUM(D34:D35)-D38</f>
        <v>806024.72</v>
      </c>
      <c r="E40" s="406">
        <f t="shared" si="7"/>
        <v>927349.79999999958</v>
      </c>
      <c r="F40" s="406">
        <f t="shared" si="7"/>
        <v>-2075585.69</v>
      </c>
      <c r="G40" s="406">
        <f t="shared" si="7"/>
        <v>-1889054.13</v>
      </c>
      <c r="H40" s="406">
        <f t="shared" si="7"/>
        <v>0</v>
      </c>
      <c r="I40" s="406">
        <f t="shared" si="7"/>
        <v>0</v>
      </c>
      <c r="J40" s="406">
        <f t="shared" si="7"/>
        <v>0</v>
      </c>
      <c r="K40" s="406">
        <f>SUM(K34:K35)-K38</f>
        <v>0</v>
      </c>
      <c r="L40" s="406">
        <f>SUM(L34:L35)-L38</f>
        <v>0</v>
      </c>
      <c r="M40" s="406">
        <f>SUM(M34:M35)-M38</f>
        <v>0</v>
      </c>
      <c r="N40" s="406">
        <f>SUM(N34:N35)-N38</f>
        <v>0</v>
      </c>
      <c r="O40" s="406">
        <f>SUM(O34:O35)-O38</f>
        <v>0</v>
      </c>
      <c r="P40" s="421">
        <f>SUM(D40:O40)</f>
        <v>-2231265.3000000003</v>
      </c>
    </row>
    <row r="41" spans="1:18">
      <c r="B41" s="3" t="s">
        <v>485</v>
      </c>
      <c r="D41" s="392"/>
      <c r="E41" s="340">
        <f>D40+E40</f>
        <v>1733374.5199999996</v>
      </c>
      <c r="F41" s="340">
        <f t="shared" ref="F41" si="8">E41+F40</f>
        <v>-342211.17000000039</v>
      </c>
      <c r="G41" s="340">
        <f t="shared" ref="G41" si="9">F41+G40</f>
        <v>-2231265.3000000003</v>
      </c>
      <c r="H41" s="340">
        <f t="shared" ref="H41" si="10">G41+H40</f>
        <v>-2231265.3000000003</v>
      </c>
      <c r="I41" s="340">
        <f t="shared" ref="I41" si="11">H41+I40</f>
        <v>-2231265.3000000003</v>
      </c>
      <c r="J41" s="340">
        <f t="shared" ref="J41" si="12">I41+J40</f>
        <v>-2231265.3000000003</v>
      </c>
      <c r="K41" s="340">
        <f>J41+K40</f>
        <v>-2231265.3000000003</v>
      </c>
      <c r="L41" s="340">
        <f>K41+L40</f>
        <v>-2231265.3000000003</v>
      </c>
      <c r="M41" s="340">
        <f>L41+M40</f>
        <v>-2231265.3000000003</v>
      </c>
      <c r="N41" s="340">
        <f>M41+N40</f>
        <v>-2231265.3000000003</v>
      </c>
      <c r="O41" s="340">
        <f>N41+O40</f>
        <v>-2231265.3000000003</v>
      </c>
      <c r="P41" s="29"/>
    </row>
    <row r="42" spans="1:18">
      <c r="D42" s="392"/>
      <c r="P42" s="29"/>
    </row>
    <row r="43" spans="1:18">
      <c r="B43" s="342" t="s">
        <v>126</v>
      </c>
      <c r="C43" s="410"/>
      <c r="D43" s="392">
        <f>170931.46-130848.46</f>
        <v>40082.999999999985</v>
      </c>
      <c r="E43" s="411">
        <f>346111.52-258485.56</f>
        <v>87625.960000000021</v>
      </c>
      <c r="F43" s="411">
        <f>619278.08-40324.34</f>
        <v>578953.74</v>
      </c>
      <c r="G43" s="411">
        <f>416112.89-137141.35</f>
        <v>278971.54000000004</v>
      </c>
      <c r="H43" s="411"/>
      <c r="I43" s="411"/>
      <c r="J43" s="411"/>
      <c r="K43" s="411"/>
      <c r="L43" s="411"/>
      <c r="M43" s="411"/>
      <c r="N43" s="411"/>
      <c r="O43" s="411"/>
      <c r="P43" s="404">
        <f>SUM(D43:O43)</f>
        <v>985634.24</v>
      </c>
      <c r="Q43" s="340">
        <f>(1552433.95-566799.71)-P43</f>
        <v>0</v>
      </c>
    </row>
    <row r="44" spans="1:18">
      <c r="D44" s="392"/>
      <c r="O44" s="342"/>
      <c r="P44" s="473"/>
      <c r="R44" s="340"/>
    </row>
    <row r="45" spans="1:18">
      <c r="D45" s="392"/>
      <c r="O45" s="340"/>
      <c r="P45" s="340">
        <f>P43+P44</f>
        <v>985634.24</v>
      </c>
    </row>
    <row r="46" spans="1:18">
      <c r="A46" s="25"/>
      <c r="B46" s="409" t="s">
        <v>127</v>
      </c>
      <c r="C46" s="25"/>
      <c r="D46" s="407">
        <v>40962776.229999997</v>
      </c>
      <c r="E46" s="407">
        <f>41262902.53</f>
        <v>41262902.530000001</v>
      </c>
      <c r="F46" s="407">
        <f>43145513.5</f>
        <v>43145513.5</v>
      </c>
      <c r="G46" s="407">
        <f>44628052.33</f>
        <v>44628052.329999998</v>
      </c>
      <c r="H46" s="407"/>
      <c r="I46" s="407"/>
      <c r="J46" s="407"/>
      <c r="K46" s="407"/>
      <c r="L46" s="407"/>
      <c r="M46" s="407"/>
      <c r="N46" s="407"/>
      <c r="O46" s="407"/>
      <c r="P46" s="412" t="s">
        <v>10</v>
      </c>
    </row>
    <row r="47" spans="1:18">
      <c r="D47" s="392">
        <f>40962776.23-D46</f>
        <v>0</v>
      </c>
      <c r="E47" s="340">
        <f>E46-D46</f>
        <v>300126.30000000447</v>
      </c>
      <c r="F47" s="340">
        <f>F46-E46</f>
        <v>1882610.9699999988</v>
      </c>
      <c r="G47" s="340">
        <f t="shared" ref="G47" si="13">G46-F46</f>
        <v>1482538.8299999982</v>
      </c>
      <c r="H47" s="340"/>
      <c r="I47" s="340">
        <f t="shared" ref="I47" si="14">I46-H46</f>
        <v>0</v>
      </c>
      <c r="J47" s="340">
        <f t="shared" ref="J47" si="15">J46-I46</f>
        <v>0</v>
      </c>
      <c r="K47" s="340">
        <f t="shared" ref="K47" si="16">K46-J46</f>
        <v>0</v>
      </c>
      <c r="L47" s="340">
        <f>L46-K46</f>
        <v>0</v>
      </c>
      <c r="M47" s="340">
        <f>M46-L46</f>
        <v>0</v>
      </c>
      <c r="N47" s="340">
        <f>N46-M46</f>
        <v>0</v>
      </c>
      <c r="O47" s="340">
        <f>O46-N46</f>
        <v>0</v>
      </c>
      <c r="P47" s="413">
        <f>SUM(E47:O47)</f>
        <v>3665276.1000000015</v>
      </c>
      <c r="Q47" s="340">
        <f>G46-D46-P47</f>
        <v>0</v>
      </c>
    </row>
    <row r="48" spans="1:18">
      <c r="D48" s="392"/>
      <c r="P48" s="29"/>
    </row>
    <row r="49" spans="1:16">
      <c r="A49" s="25"/>
      <c r="B49" s="25"/>
      <c r="C49" s="409" t="s">
        <v>128</v>
      </c>
      <c r="D49" s="414">
        <f>D43/D46</f>
        <v>9.7852254385639797E-4</v>
      </c>
      <c r="E49" s="414">
        <f>E43/E46</f>
        <v>2.1236014586296244E-3</v>
      </c>
      <c r="F49" s="414">
        <f t="shared" ref="F49:L49" si="17">F43/F46</f>
        <v>1.3418631348541024E-2</v>
      </c>
      <c r="G49" s="414">
        <f>G43/G46</f>
        <v>6.2510355132049753E-3</v>
      </c>
      <c r="H49" s="414" t="e">
        <f t="shared" si="17"/>
        <v>#DIV/0!</v>
      </c>
      <c r="I49" s="414" t="e">
        <f t="shared" si="17"/>
        <v>#DIV/0!</v>
      </c>
      <c r="J49" s="414" t="e">
        <f t="shared" si="17"/>
        <v>#DIV/0!</v>
      </c>
      <c r="K49" s="414" t="e">
        <f t="shared" si="17"/>
        <v>#DIV/0!</v>
      </c>
      <c r="L49" s="414" t="e">
        <f t="shared" si="17"/>
        <v>#DIV/0!</v>
      </c>
      <c r="M49" s="414" t="e">
        <f>M43/M46</f>
        <v>#DIV/0!</v>
      </c>
      <c r="N49" s="414" t="e">
        <f>N43/N46</f>
        <v>#DIV/0!</v>
      </c>
      <c r="O49" s="414" t="e">
        <f>O43/O46</f>
        <v>#DIV/0!</v>
      </c>
      <c r="P49" s="415" t="e">
        <f>SUM(D49:O49)</f>
        <v>#DIV/0!</v>
      </c>
    </row>
    <row r="51" spans="1:16">
      <c r="D51" s="392"/>
    </row>
    <row r="52" spans="1:16">
      <c r="D52" s="392"/>
    </row>
    <row r="53" spans="1:16">
      <c r="D53" s="392"/>
    </row>
    <row r="54" spans="1:16">
      <c r="D54" s="392"/>
    </row>
    <row r="55" spans="1:16">
      <c r="D55" s="392"/>
    </row>
    <row r="56" spans="1:16" ht="11.25">
      <c r="D56" s="392"/>
      <c r="H56" s="55" t="s">
        <v>99</v>
      </c>
      <c r="I56" s="54"/>
      <c r="J56" s="54"/>
      <c r="K56" s="56" t="s">
        <v>100</v>
      </c>
      <c r="L56" s="56"/>
      <c r="M56" s="57"/>
      <c r="N56" s="55"/>
      <c r="O56" s="58" t="s">
        <v>101</v>
      </c>
    </row>
    <row r="57" spans="1:16" ht="11.25">
      <c r="D57" s="392"/>
      <c r="H57" s="55" t="s">
        <v>102</v>
      </c>
      <c r="I57" s="54"/>
      <c r="J57" s="54"/>
      <c r="K57" s="56" t="s">
        <v>103</v>
      </c>
      <c r="L57" s="56"/>
      <c r="M57" s="57"/>
      <c r="N57" s="55"/>
      <c r="O57" s="58" t="s">
        <v>104</v>
      </c>
    </row>
    <row r="58" spans="1:16">
      <c r="D58" s="392"/>
    </row>
    <row r="59" spans="1:16">
      <c r="D59" s="392"/>
    </row>
    <row r="60" spans="1:16">
      <c r="D60" s="392"/>
    </row>
    <row r="61" spans="1:16">
      <c r="D61" s="392"/>
    </row>
    <row r="62" spans="1:16">
      <c r="D62" s="392"/>
    </row>
    <row r="63" spans="1:16">
      <c r="D63" s="392"/>
    </row>
    <row r="64" spans="1:16">
      <c r="D64" s="392"/>
    </row>
    <row r="65" spans="4:4">
      <c r="D65" s="392"/>
    </row>
    <row r="66" spans="4:4">
      <c r="D66" s="392"/>
    </row>
    <row r="67" spans="4:4">
      <c r="D67" s="392"/>
    </row>
    <row r="68" spans="4:4">
      <c r="D68" s="392"/>
    </row>
    <row r="69" spans="4:4">
      <c r="D69" s="392"/>
    </row>
    <row r="70" spans="4:4">
      <c r="D70" s="392"/>
    </row>
    <row r="71" spans="4:4">
      <c r="D71" s="392"/>
    </row>
    <row r="72" spans="4:4">
      <c r="D72" s="392"/>
    </row>
    <row r="73" spans="4:4">
      <c r="D73" s="392"/>
    </row>
    <row r="74" spans="4:4">
      <c r="D74" s="392"/>
    </row>
    <row r="75" spans="4:4">
      <c r="D75" s="392"/>
    </row>
    <row r="76" spans="4:4">
      <c r="D76" s="392"/>
    </row>
    <row r="77" spans="4:4">
      <c r="D77" s="392"/>
    </row>
    <row r="78" spans="4:4">
      <c r="D78" s="392"/>
    </row>
    <row r="79" spans="4:4">
      <c r="D79" s="392"/>
    </row>
    <row r="80" spans="4:4">
      <c r="D80" s="392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H134"/>
  <sheetViews>
    <sheetView topLeftCell="C1" workbookViewId="0">
      <selection activeCell="J60" sqref="J60"/>
    </sheetView>
  </sheetViews>
  <sheetFormatPr defaultRowHeight="8.25"/>
  <cols>
    <col min="1" max="1" width="8.7109375" style="59" customWidth="1"/>
    <col min="2" max="2" width="9.42578125" style="59" customWidth="1"/>
    <col min="3" max="3" width="6.140625" style="59" customWidth="1"/>
    <col min="4" max="4" width="9.7109375" style="59" customWidth="1"/>
    <col min="5" max="5" width="9.140625" style="59" customWidth="1"/>
    <col min="6" max="6" width="10.28515625" style="59" customWidth="1"/>
    <col min="7" max="7" width="8.7109375" style="59" customWidth="1"/>
    <col min="8" max="8" width="10" style="59" customWidth="1"/>
    <col min="9" max="9" width="5.7109375" style="59" customWidth="1"/>
    <col min="10" max="10" width="11.140625" style="59" customWidth="1"/>
    <col min="11" max="11" width="8.5703125" style="59" customWidth="1"/>
    <col min="12" max="12" width="11.28515625" style="59" customWidth="1"/>
    <col min="13" max="13" width="9.140625" style="59" customWidth="1"/>
    <col min="14" max="14" width="11.7109375" style="59" bestFit="1" customWidth="1"/>
    <col min="15" max="15" width="10.7109375" style="59" customWidth="1"/>
    <col min="16" max="16" width="4.5703125" style="59" customWidth="1"/>
    <col min="17" max="17" width="3.28515625" style="59" bestFit="1" customWidth="1"/>
    <col min="18" max="18" width="7" style="59" customWidth="1"/>
    <col min="19" max="19" width="9.85546875" style="59" customWidth="1"/>
    <col min="20" max="21" width="9.42578125" style="59" customWidth="1"/>
    <col min="22" max="22" width="9.5703125" style="59" customWidth="1"/>
    <col min="23" max="23" width="9.28515625" style="59" customWidth="1"/>
    <col min="24" max="24" width="9.5703125" style="59" customWidth="1"/>
    <col min="25" max="26" width="9.42578125" style="59" customWidth="1"/>
    <col min="27" max="27" width="8.85546875" style="59" customWidth="1"/>
    <col min="28" max="28" width="9.28515625" style="59" customWidth="1"/>
    <col min="29" max="29" width="9" style="59" customWidth="1"/>
    <col min="30" max="30" width="9.5703125" style="59" customWidth="1"/>
    <col min="31" max="31" width="10.140625" style="59" customWidth="1"/>
    <col min="32" max="32" width="5.28515625" style="59" bestFit="1" customWidth="1"/>
    <col min="33" max="33" width="9.7109375" style="59" bestFit="1" customWidth="1"/>
    <col min="34" max="34" width="11" style="59" bestFit="1" customWidth="1"/>
    <col min="35" max="35" width="10.85546875" style="59" bestFit="1" customWidth="1"/>
    <col min="36" max="36" width="9.140625" style="59"/>
    <col min="37" max="37" width="3.85546875" style="59" bestFit="1" customWidth="1"/>
    <col min="38" max="38" width="7.28515625" style="59" bestFit="1" customWidth="1"/>
    <col min="39" max="41" width="9.140625" style="59"/>
    <col min="42" max="42" width="9.28515625" style="59" customWidth="1"/>
    <col min="43" max="43" width="9.28515625" style="59" bestFit="1" customWidth="1"/>
    <col min="44" max="256" width="9.140625" style="59"/>
    <col min="257" max="257" width="7.85546875" style="59" customWidth="1"/>
    <col min="258" max="258" width="12.140625" style="59" customWidth="1"/>
    <col min="259" max="259" width="6.28515625" style="59" customWidth="1"/>
    <col min="260" max="260" width="11.5703125" style="59" customWidth="1"/>
    <col min="261" max="261" width="7.85546875" style="59" customWidth="1"/>
    <col min="262" max="262" width="12.28515625" style="59" customWidth="1"/>
    <col min="263" max="263" width="5.28515625" style="59" customWidth="1"/>
    <col min="264" max="264" width="12.140625" style="59" bestFit="1" customWidth="1"/>
    <col min="265" max="265" width="5.7109375" style="59" customWidth="1"/>
    <col min="266" max="266" width="11.85546875" style="59" bestFit="1" customWidth="1"/>
    <col min="267" max="267" width="8" style="59" customWidth="1"/>
    <col min="268" max="268" width="12.5703125" style="59" customWidth="1"/>
    <col min="269" max="269" width="9" style="59" customWidth="1"/>
    <col min="270" max="270" width="11.7109375" style="59" bestFit="1" customWidth="1"/>
    <col min="271" max="271" width="9.42578125" style="59" customWidth="1"/>
    <col min="272" max="272" width="4.140625" style="59" customWidth="1"/>
    <col min="273" max="273" width="3.28515625" style="59" bestFit="1" customWidth="1"/>
    <col min="274" max="274" width="8.85546875" style="59" customWidth="1"/>
    <col min="275" max="275" width="10" style="59" bestFit="1" customWidth="1"/>
    <col min="276" max="277" width="9.42578125" style="59" customWidth="1"/>
    <col min="278" max="278" width="9.5703125" style="59" customWidth="1"/>
    <col min="279" max="279" width="9.85546875" style="59" customWidth="1"/>
    <col min="280" max="281" width="9.42578125" style="59" customWidth="1"/>
    <col min="282" max="282" width="9.85546875" style="59" customWidth="1"/>
    <col min="283" max="284" width="9.28515625" style="59" customWidth="1"/>
    <col min="285" max="285" width="9.85546875" style="59" customWidth="1"/>
    <col min="286" max="286" width="9.28515625" style="59" customWidth="1"/>
    <col min="287" max="287" width="10.42578125" style="59" customWidth="1"/>
    <col min="288" max="288" width="5.28515625" style="59" bestFit="1" customWidth="1"/>
    <col min="289" max="289" width="9.7109375" style="59" bestFit="1" customWidth="1"/>
    <col min="290" max="290" width="11" style="59" bestFit="1" customWidth="1"/>
    <col min="291" max="291" width="10.85546875" style="59" bestFit="1" customWidth="1"/>
    <col min="292" max="292" width="9.140625" style="59"/>
    <col min="293" max="293" width="3.85546875" style="59" bestFit="1" customWidth="1"/>
    <col min="294" max="294" width="7.28515625" style="59" bestFit="1" customWidth="1"/>
    <col min="295" max="297" width="9.140625" style="59"/>
    <col min="298" max="298" width="9.28515625" style="59" customWidth="1"/>
    <col min="299" max="299" width="9.28515625" style="59" bestFit="1" customWidth="1"/>
    <col min="300" max="512" width="9.140625" style="59"/>
    <col min="513" max="513" width="7.85546875" style="59" customWidth="1"/>
    <col min="514" max="514" width="12.140625" style="59" customWidth="1"/>
    <col min="515" max="515" width="6.28515625" style="59" customWidth="1"/>
    <col min="516" max="516" width="11.5703125" style="59" customWidth="1"/>
    <col min="517" max="517" width="7.85546875" style="59" customWidth="1"/>
    <col min="518" max="518" width="12.28515625" style="59" customWidth="1"/>
    <col min="519" max="519" width="5.28515625" style="59" customWidth="1"/>
    <col min="520" max="520" width="12.140625" style="59" bestFit="1" customWidth="1"/>
    <col min="521" max="521" width="5.7109375" style="59" customWidth="1"/>
    <col min="522" max="522" width="11.85546875" style="59" bestFit="1" customWidth="1"/>
    <col min="523" max="523" width="8" style="59" customWidth="1"/>
    <col min="524" max="524" width="12.5703125" style="59" customWidth="1"/>
    <col min="525" max="525" width="9" style="59" customWidth="1"/>
    <col min="526" max="526" width="11.7109375" style="59" bestFit="1" customWidth="1"/>
    <col min="527" max="527" width="9.42578125" style="59" customWidth="1"/>
    <col min="528" max="528" width="4.140625" style="59" customWidth="1"/>
    <col min="529" max="529" width="3.28515625" style="59" bestFit="1" customWidth="1"/>
    <col min="530" max="530" width="8.85546875" style="59" customWidth="1"/>
    <col min="531" max="531" width="10" style="59" bestFit="1" customWidth="1"/>
    <col min="532" max="533" width="9.42578125" style="59" customWidth="1"/>
    <col min="534" max="534" width="9.5703125" style="59" customWidth="1"/>
    <col min="535" max="535" width="9.85546875" style="59" customWidth="1"/>
    <col min="536" max="537" width="9.42578125" style="59" customWidth="1"/>
    <col min="538" max="538" width="9.85546875" style="59" customWidth="1"/>
    <col min="539" max="540" width="9.28515625" style="59" customWidth="1"/>
    <col min="541" max="541" width="9.85546875" style="59" customWidth="1"/>
    <col min="542" max="542" width="9.28515625" style="59" customWidth="1"/>
    <col min="543" max="543" width="10.42578125" style="59" customWidth="1"/>
    <col min="544" max="544" width="5.28515625" style="59" bestFit="1" customWidth="1"/>
    <col min="545" max="545" width="9.7109375" style="59" bestFit="1" customWidth="1"/>
    <col min="546" max="546" width="11" style="59" bestFit="1" customWidth="1"/>
    <col min="547" max="547" width="10.85546875" style="59" bestFit="1" customWidth="1"/>
    <col min="548" max="548" width="9.140625" style="59"/>
    <col min="549" max="549" width="3.85546875" style="59" bestFit="1" customWidth="1"/>
    <col min="550" max="550" width="7.28515625" style="59" bestFit="1" customWidth="1"/>
    <col min="551" max="553" width="9.140625" style="59"/>
    <col min="554" max="554" width="9.28515625" style="59" customWidth="1"/>
    <col min="555" max="555" width="9.28515625" style="59" bestFit="1" customWidth="1"/>
    <col min="556" max="768" width="9.140625" style="59"/>
    <col min="769" max="769" width="7.85546875" style="59" customWidth="1"/>
    <col min="770" max="770" width="12.140625" style="59" customWidth="1"/>
    <col min="771" max="771" width="6.28515625" style="59" customWidth="1"/>
    <col min="772" max="772" width="11.5703125" style="59" customWidth="1"/>
    <col min="773" max="773" width="7.85546875" style="59" customWidth="1"/>
    <col min="774" max="774" width="12.28515625" style="59" customWidth="1"/>
    <col min="775" max="775" width="5.28515625" style="59" customWidth="1"/>
    <col min="776" max="776" width="12.140625" style="59" bestFit="1" customWidth="1"/>
    <col min="777" max="777" width="5.7109375" style="59" customWidth="1"/>
    <col min="778" max="778" width="11.85546875" style="59" bestFit="1" customWidth="1"/>
    <col min="779" max="779" width="8" style="59" customWidth="1"/>
    <col min="780" max="780" width="12.5703125" style="59" customWidth="1"/>
    <col min="781" max="781" width="9" style="59" customWidth="1"/>
    <col min="782" max="782" width="11.7109375" style="59" bestFit="1" customWidth="1"/>
    <col min="783" max="783" width="9.42578125" style="59" customWidth="1"/>
    <col min="784" max="784" width="4.140625" style="59" customWidth="1"/>
    <col min="785" max="785" width="3.28515625" style="59" bestFit="1" customWidth="1"/>
    <col min="786" max="786" width="8.85546875" style="59" customWidth="1"/>
    <col min="787" max="787" width="10" style="59" bestFit="1" customWidth="1"/>
    <col min="788" max="789" width="9.42578125" style="59" customWidth="1"/>
    <col min="790" max="790" width="9.5703125" style="59" customWidth="1"/>
    <col min="791" max="791" width="9.85546875" style="59" customWidth="1"/>
    <col min="792" max="793" width="9.42578125" style="59" customWidth="1"/>
    <col min="794" max="794" width="9.85546875" style="59" customWidth="1"/>
    <col min="795" max="796" width="9.28515625" style="59" customWidth="1"/>
    <col min="797" max="797" width="9.85546875" style="59" customWidth="1"/>
    <col min="798" max="798" width="9.28515625" style="59" customWidth="1"/>
    <col min="799" max="799" width="10.42578125" style="59" customWidth="1"/>
    <col min="800" max="800" width="5.28515625" style="59" bestFit="1" customWidth="1"/>
    <col min="801" max="801" width="9.7109375" style="59" bestFit="1" customWidth="1"/>
    <col min="802" max="802" width="11" style="59" bestFit="1" customWidth="1"/>
    <col min="803" max="803" width="10.85546875" style="59" bestFit="1" customWidth="1"/>
    <col min="804" max="804" width="9.140625" style="59"/>
    <col min="805" max="805" width="3.85546875" style="59" bestFit="1" customWidth="1"/>
    <col min="806" max="806" width="7.28515625" style="59" bestFit="1" customWidth="1"/>
    <col min="807" max="809" width="9.140625" style="59"/>
    <col min="810" max="810" width="9.28515625" style="59" customWidth="1"/>
    <col min="811" max="811" width="9.28515625" style="59" bestFit="1" customWidth="1"/>
    <col min="812" max="1024" width="9.140625" style="59"/>
    <col min="1025" max="1025" width="7.85546875" style="59" customWidth="1"/>
    <col min="1026" max="1026" width="12.140625" style="59" customWidth="1"/>
    <col min="1027" max="1027" width="6.28515625" style="59" customWidth="1"/>
    <col min="1028" max="1028" width="11.5703125" style="59" customWidth="1"/>
    <col min="1029" max="1029" width="7.85546875" style="59" customWidth="1"/>
    <col min="1030" max="1030" width="12.28515625" style="59" customWidth="1"/>
    <col min="1031" max="1031" width="5.28515625" style="59" customWidth="1"/>
    <col min="1032" max="1032" width="12.140625" style="59" bestFit="1" customWidth="1"/>
    <col min="1033" max="1033" width="5.7109375" style="59" customWidth="1"/>
    <col min="1034" max="1034" width="11.85546875" style="59" bestFit="1" customWidth="1"/>
    <col min="1035" max="1035" width="8" style="59" customWidth="1"/>
    <col min="1036" max="1036" width="12.5703125" style="59" customWidth="1"/>
    <col min="1037" max="1037" width="9" style="59" customWidth="1"/>
    <col min="1038" max="1038" width="11.7109375" style="59" bestFit="1" customWidth="1"/>
    <col min="1039" max="1039" width="9.42578125" style="59" customWidth="1"/>
    <col min="1040" max="1040" width="4.140625" style="59" customWidth="1"/>
    <col min="1041" max="1041" width="3.28515625" style="59" bestFit="1" customWidth="1"/>
    <col min="1042" max="1042" width="8.85546875" style="59" customWidth="1"/>
    <col min="1043" max="1043" width="10" style="59" bestFit="1" customWidth="1"/>
    <col min="1044" max="1045" width="9.42578125" style="59" customWidth="1"/>
    <col min="1046" max="1046" width="9.5703125" style="59" customWidth="1"/>
    <col min="1047" max="1047" width="9.85546875" style="59" customWidth="1"/>
    <col min="1048" max="1049" width="9.42578125" style="59" customWidth="1"/>
    <col min="1050" max="1050" width="9.85546875" style="59" customWidth="1"/>
    <col min="1051" max="1052" width="9.28515625" style="59" customWidth="1"/>
    <col min="1053" max="1053" width="9.85546875" style="59" customWidth="1"/>
    <col min="1054" max="1054" width="9.28515625" style="59" customWidth="1"/>
    <col min="1055" max="1055" width="10.42578125" style="59" customWidth="1"/>
    <col min="1056" max="1056" width="5.28515625" style="59" bestFit="1" customWidth="1"/>
    <col min="1057" max="1057" width="9.7109375" style="59" bestFit="1" customWidth="1"/>
    <col min="1058" max="1058" width="11" style="59" bestFit="1" customWidth="1"/>
    <col min="1059" max="1059" width="10.85546875" style="59" bestFit="1" customWidth="1"/>
    <col min="1060" max="1060" width="9.140625" style="59"/>
    <col min="1061" max="1061" width="3.85546875" style="59" bestFit="1" customWidth="1"/>
    <col min="1062" max="1062" width="7.28515625" style="59" bestFit="1" customWidth="1"/>
    <col min="1063" max="1065" width="9.140625" style="59"/>
    <col min="1066" max="1066" width="9.28515625" style="59" customWidth="1"/>
    <col min="1067" max="1067" width="9.28515625" style="59" bestFit="1" customWidth="1"/>
    <col min="1068" max="1280" width="9.140625" style="59"/>
    <col min="1281" max="1281" width="7.85546875" style="59" customWidth="1"/>
    <col min="1282" max="1282" width="12.140625" style="59" customWidth="1"/>
    <col min="1283" max="1283" width="6.28515625" style="59" customWidth="1"/>
    <col min="1284" max="1284" width="11.5703125" style="59" customWidth="1"/>
    <col min="1285" max="1285" width="7.85546875" style="59" customWidth="1"/>
    <col min="1286" max="1286" width="12.28515625" style="59" customWidth="1"/>
    <col min="1287" max="1287" width="5.28515625" style="59" customWidth="1"/>
    <col min="1288" max="1288" width="12.140625" style="59" bestFit="1" customWidth="1"/>
    <col min="1289" max="1289" width="5.7109375" style="59" customWidth="1"/>
    <col min="1290" max="1290" width="11.85546875" style="59" bestFit="1" customWidth="1"/>
    <col min="1291" max="1291" width="8" style="59" customWidth="1"/>
    <col min="1292" max="1292" width="12.5703125" style="59" customWidth="1"/>
    <col min="1293" max="1293" width="9" style="59" customWidth="1"/>
    <col min="1294" max="1294" width="11.7109375" style="59" bestFit="1" customWidth="1"/>
    <col min="1295" max="1295" width="9.42578125" style="59" customWidth="1"/>
    <col min="1296" max="1296" width="4.140625" style="59" customWidth="1"/>
    <col min="1297" max="1297" width="3.28515625" style="59" bestFit="1" customWidth="1"/>
    <col min="1298" max="1298" width="8.85546875" style="59" customWidth="1"/>
    <col min="1299" max="1299" width="10" style="59" bestFit="1" customWidth="1"/>
    <col min="1300" max="1301" width="9.42578125" style="59" customWidth="1"/>
    <col min="1302" max="1302" width="9.5703125" style="59" customWidth="1"/>
    <col min="1303" max="1303" width="9.85546875" style="59" customWidth="1"/>
    <col min="1304" max="1305" width="9.42578125" style="59" customWidth="1"/>
    <col min="1306" max="1306" width="9.85546875" style="59" customWidth="1"/>
    <col min="1307" max="1308" width="9.28515625" style="59" customWidth="1"/>
    <col min="1309" max="1309" width="9.85546875" style="59" customWidth="1"/>
    <col min="1310" max="1310" width="9.28515625" style="59" customWidth="1"/>
    <col min="1311" max="1311" width="10.42578125" style="59" customWidth="1"/>
    <col min="1312" max="1312" width="5.28515625" style="59" bestFit="1" customWidth="1"/>
    <col min="1313" max="1313" width="9.7109375" style="59" bestFit="1" customWidth="1"/>
    <col min="1314" max="1314" width="11" style="59" bestFit="1" customWidth="1"/>
    <col min="1315" max="1315" width="10.85546875" style="59" bestFit="1" customWidth="1"/>
    <col min="1316" max="1316" width="9.140625" style="59"/>
    <col min="1317" max="1317" width="3.85546875" style="59" bestFit="1" customWidth="1"/>
    <col min="1318" max="1318" width="7.28515625" style="59" bestFit="1" customWidth="1"/>
    <col min="1319" max="1321" width="9.140625" style="59"/>
    <col min="1322" max="1322" width="9.28515625" style="59" customWidth="1"/>
    <col min="1323" max="1323" width="9.28515625" style="59" bestFit="1" customWidth="1"/>
    <col min="1324" max="1536" width="9.140625" style="59"/>
    <col min="1537" max="1537" width="7.85546875" style="59" customWidth="1"/>
    <col min="1538" max="1538" width="12.140625" style="59" customWidth="1"/>
    <col min="1539" max="1539" width="6.28515625" style="59" customWidth="1"/>
    <col min="1540" max="1540" width="11.5703125" style="59" customWidth="1"/>
    <col min="1541" max="1541" width="7.85546875" style="59" customWidth="1"/>
    <col min="1542" max="1542" width="12.28515625" style="59" customWidth="1"/>
    <col min="1543" max="1543" width="5.28515625" style="59" customWidth="1"/>
    <col min="1544" max="1544" width="12.140625" style="59" bestFit="1" customWidth="1"/>
    <col min="1545" max="1545" width="5.7109375" style="59" customWidth="1"/>
    <col min="1546" max="1546" width="11.85546875" style="59" bestFit="1" customWidth="1"/>
    <col min="1547" max="1547" width="8" style="59" customWidth="1"/>
    <col min="1548" max="1548" width="12.5703125" style="59" customWidth="1"/>
    <col min="1549" max="1549" width="9" style="59" customWidth="1"/>
    <col min="1550" max="1550" width="11.7109375" style="59" bestFit="1" customWidth="1"/>
    <col min="1551" max="1551" width="9.42578125" style="59" customWidth="1"/>
    <col min="1552" max="1552" width="4.140625" style="59" customWidth="1"/>
    <col min="1553" max="1553" width="3.28515625" style="59" bestFit="1" customWidth="1"/>
    <col min="1554" max="1554" width="8.85546875" style="59" customWidth="1"/>
    <col min="1555" max="1555" width="10" style="59" bestFit="1" customWidth="1"/>
    <col min="1556" max="1557" width="9.42578125" style="59" customWidth="1"/>
    <col min="1558" max="1558" width="9.5703125" style="59" customWidth="1"/>
    <col min="1559" max="1559" width="9.85546875" style="59" customWidth="1"/>
    <col min="1560" max="1561" width="9.42578125" style="59" customWidth="1"/>
    <col min="1562" max="1562" width="9.85546875" style="59" customWidth="1"/>
    <col min="1563" max="1564" width="9.28515625" style="59" customWidth="1"/>
    <col min="1565" max="1565" width="9.85546875" style="59" customWidth="1"/>
    <col min="1566" max="1566" width="9.28515625" style="59" customWidth="1"/>
    <col min="1567" max="1567" width="10.42578125" style="59" customWidth="1"/>
    <col min="1568" max="1568" width="5.28515625" style="59" bestFit="1" customWidth="1"/>
    <col min="1569" max="1569" width="9.7109375" style="59" bestFit="1" customWidth="1"/>
    <col min="1570" max="1570" width="11" style="59" bestFit="1" customWidth="1"/>
    <col min="1571" max="1571" width="10.85546875" style="59" bestFit="1" customWidth="1"/>
    <col min="1572" max="1572" width="9.140625" style="59"/>
    <col min="1573" max="1573" width="3.85546875" style="59" bestFit="1" customWidth="1"/>
    <col min="1574" max="1574" width="7.28515625" style="59" bestFit="1" customWidth="1"/>
    <col min="1575" max="1577" width="9.140625" style="59"/>
    <col min="1578" max="1578" width="9.28515625" style="59" customWidth="1"/>
    <col min="1579" max="1579" width="9.28515625" style="59" bestFit="1" customWidth="1"/>
    <col min="1580" max="1792" width="9.140625" style="59"/>
    <col min="1793" max="1793" width="7.85546875" style="59" customWidth="1"/>
    <col min="1794" max="1794" width="12.140625" style="59" customWidth="1"/>
    <col min="1795" max="1795" width="6.28515625" style="59" customWidth="1"/>
    <col min="1796" max="1796" width="11.5703125" style="59" customWidth="1"/>
    <col min="1797" max="1797" width="7.85546875" style="59" customWidth="1"/>
    <col min="1798" max="1798" width="12.28515625" style="59" customWidth="1"/>
    <col min="1799" max="1799" width="5.28515625" style="59" customWidth="1"/>
    <col min="1800" max="1800" width="12.140625" style="59" bestFit="1" customWidth="1"/>
    <col min="1801" max="1801" width="5.7109375" style="59" customWidth="1"/>
    <col min="1802" max="1802" width="11.85546875" style="59" bestFit="1" customWidth="1"/>
    <col min="1803" max="1803" width="8" style="59" customWidth="1"/>
    <col min="1804" max="1804" width="12.5703125" style="59" customWidth="1"/>
    <col min="1805" max="1805" width="9" style="59" customWidth="1"/>
    <col min="1806" max="1806" width="11.7109375" style="59" bestFit="1" customWidth="1"/>
    <col min="1807" max="1807" width="9.42578125" style="59" customWidth="1"/>
    <col min="1808" max="1808" width="4.140625" style="59" customWidth="1"/>
    <col min="1809" max="1809" width="3.28515625" style="59" bestFit="1" customWidth="1"/>
    <col min="1810" max="1810" width="8.85546875" style="59" customWidth="1"/>
    <col min="1811" max="1811" width="10" style="59" bestFit="1" customWidth="1"/>
    <col min="1812" max="1813" width="9.42578125" style="59" customWidth="1"/>
    <col min="1814" max="1814" width="9.5703125" style="59" customWidth="1"/>
    <col min="1815" max="1815" width="9.85546875" style="59" customWidth="1"/>
    <col min="1816" max="1817" width="9.42578125" style="59" customWidth="1"/>
    <col min="1818" max="1818" width="9.85546875" style="59" customWidth="1"/>
    <col min="1819" max="1820" width="9.28515625" style="59" customWidth="1"/>
    <col min="1821" max="1821" width="9.85546875" style="59" customWidth="1"/>
    <col min="1822" max="1822" width="9.28515625" style="59" customWidth="1"/>
    <col min="1823" max="1823" width="10.42578125" style="59" customWidth="1"/>
    <col min="1824" max="1824" width="5.28515625" style="59" bestFit="1" customWidth="1"/>
    <col min="1825" max="1825" width="9.7109375" style="59" bestFit="1" customWidth="1"/>
    <col min="1826" max="1826" width="11" style="59" bestFit="1" customWidth="1"/>
    <col min="1827" max="1827" width="10.85546875" style="59" bestFit="1" customWidth="1"/>
    <col min="1828" max="1828" width="9.140625" style="59"/>
    <col min="1829" max="1829" width="3.85546875" style="59" bestFit="1" customWidth="1"/>
    <col min="1830" max="1830" width="7.28515625" style="59" bestFit="1" customWidth="1"/>
    <col min="1831" max="1833" width="9.140625" style="59"/>
    <col min="1834" max="1834" width="9.28515625" style="59" customWidth="1"/>
    <col min="1835" max="1835" width="9.28515625" style="59" bestFit="1" customWidth="1"/>
    <col min="1836" max="2048" width="9.140625" style="59"/>
    <col min="2049" max="2049" width="7.85546875" style="59" customWidth="1"/>
    <col min="2050" max="2050" width="12.140625" style="59" customWidth="1"/>
    <col min="2051" max="2051" width="6.28515625" style="59" customWidth="1"/>
    <col min="2052" max="2052" width="11.5703125" style="59" customWidth="1"/>
    <col min="2053" max="2053" width="7.85546875" style="59" customWidth="1"/>
    <col min="2054" max="2054" width="12.28515625" style="59" customWidth="1"/>
    <col min="2055" max="2055" width="5.28515625" style="59" customWidth="1"/>
    <col min="2056" max="2056" width="12.140625" style="59" bestFit="1" customWidth="1"/>
    <col min="2057" max="2057" width="5.7109375" style="59" customWidth="1"/>
    <col min="2058" max="2058" width="11.85546875" style="59" bestFit="1" customWidth="1"/>
    <col min="2059" max="2059" width="8" style="59" customWidth="1"/>
    <col min="2060" max="2060" width="12.5703125" style="59" customWidth="1"/>
    <col min="2061" max="2061" width="9" style="59" customWidth="1"/>
    <col min="2062" max="2062" width="11.7109375" style="59" bestFit="1" customWidth="1"/>
    <col min="2063" max="2063" width="9.42578125" style="59" customWidth="1"/>
    <col min="2064" max="2064" width="4.140625" style="59" customWidth="1"/>
    <col min="2065" max="2065" width="3.28515625" style="59" bestFit="1" customWidth="1"/>
    <col min="2066" max="2066" width="8.85546875" style="59" customWidth="1"/>
    <col min="2067" max="2067" width="10" style="59" bestFit="1" customWidth="1"/>
    <col min="2068" max="2069" width="9.42578125" style="59" customWidth="1"/>
    <col min="2070" max="2070" width="9.5703125" style="59" customWidth="1"/>
    <col min="2071" max="2071" width="9.85546875" style="59" customWidth="1"/>
    <col min="2072" max="2073" width="9.42578125" style="59" customWidth="1"/>
    <col min="2074" max="2074" width="9.85546875" style="59" customWidth="1"/>
    <col min="2075" max="2076" width="9.28515625" style="59" customWidth="1"/>
    <col min="2077" max="2077" width="9.85546875" style="59" customWidth="1"/>
    <col min="2078" max="2078" width="9.28515625" style="59" customWidth="1"/>
    <col min="2079" max="2079" width="10.42578125" style="59" customWidth="1"/>
    <col min="2080" max="2080" width="5.28515625" style="59" bestFit="1" customWidth="1"/>
    <col min="2081" max="2081" width="9.7109375" style="59" bestFit="1" customWidth="1"/>
    <col min="2082" max="2082" width="11" style="59" bestFit="1" customWidth="1"/>
    <col min="2083" max="2083" width="10.85546875" style="59" bestFit="1" customWidth="1"/>
    <col min="2084" max="2084" width="9.140625" style="59"/>
    <col min="2085" max="2085" width="3.85546875" style="59" bestFit="1" customWidth="1"/>
    <col min="2086" max="2086" width="7.28515625" style="59" bestFit="1" customWidth="1"/>
    <col min="2087" max="2089" width="9.140625" style="59"/>
    <col min="2090" max="2090" width="9.28515625" style="59" customWidth="1"/>
    <col min="2091" max="2091" width="9.28515625" style="59" bestFit="1" customWidth="1"/>
    <col min="2092" max="2304" width="9.140625" style="59"/>
    <col min="2305" max="2305" width="7.85546875" style="59" customWidth="1"/>
    <col min="2306" max="2306" width="12.140625" style="59" customWidth="1"/>
    <col min="2307" max="2307" width="6.28515625" style="59" customWidth="1"/>
    <col min="2308" max="2308" width="11.5703125" style="59" customWidth="1"/>
    <col min="2309" max="2309" width="7.85546875" style="59" customWidth="1"/>
    <col min="2310" max="2310" width="12.28515625" style="59" customWidth="1"/>
    <col min="2311" max="2311" width="5.28515625" style="59" customWidth="1"/>
    <col min="2312" max="2312" width="12.140625" style="59" bestFit="1" customWidth="1"/>
    <col min="2313" max="2313" width="5.7109375" style="59" customWidth="1"/>
    <col min="2314" max="2314" width="11.85546875" style="59" bestFit="1" customWidth="1"/>
    <col min="2315" max="2315" width="8" style="59" customWidth="1"/>
    <col min="2316" max="2316" width="12.5703125" style="59" customWidth="1"/>
    <col min="2317" max="2317" width="9" style="59" customWidth="1"/>
    <col min="2318" max="2318" width="11.7109375" style="59" bestFit="1" customWidth="1"/>
    <col min="2319" max="2319" width="9.42578125" style="59" customWidth="1"/>
    <col min="2320" max="2320" width="4.140625" style="59" customWidth="1"/>
    <col min="2321" max="2321" width="3.28515625" style="59" bestFit="1" customWidth="1"/>
    <col min="2322" max="2322" width="8.85546875" style="59" customWidth="1"/>
    <col min="2323" max="2323" width="10" style="59" bestFit="1" customWidth="1"/>
    <col min="2324" max="2325" width="9.42578125" style="59" customWidth="1"/>
    <col min="2326" max="2326" width="9.5703125" style="59" customWidth="1"/>
    <col min="2327" max="2327" width="9.85546875" style="59" customWidth="1"/>
    <col min="2328" max="2329" width="9.42578125" style="59" customWidth="1"/>
    <col min="2330" max="2330" width="9.85546875" style="59" customWidth="1"/>
    <col min="2331" max="2332" width="9.28515625" style="59" customWidth="1"/>
    <col min="2333" max="2333" width="9.85546875" style="59" customWidth="1"/>
    <col min="2334" max="2334" width="9.28515625" style="59" customWidth="1"/>
    <col min="2335" max="2335" width="10.42578125" style="59" customWidth="1"/>
    <col min="2336" max="2336" width="5.28515625" style="59" bestFit="1" customWidth="1"/>
    <col min="2337" max="2337" width="9.7109375" style="59" bestFit="1" customWidth="1"/>
    <col min="2338" max="2338" width="11" style="59" bestFit="1" customWidth="1"/>
    <col min="2339" max="2339" width="10.85546875" style="59" bestFit="1" customWidth="1"/>
    <col min="2340" max="2340" width="9.140625" style="59"/>
    <col min="2341" max="2341" width="3.85546875" style="59" bestFit="1" customWidth="1"/>
    <col min="2342" max="2342" width="7.28515625" style="59" bestFit="1" customWidth="1"/>
    <col min="2343" max="2345" width="9.140625" style="59"/>
    <col min="2346" max="2346" width="9.28515625" style="59" customWidth="1"/>
    <col min="2347" max="2347" width="9.28515625" style="59" bestFit="1" customWidth="1"/>
    <col min="2348" max="2560" width="9.140625" style="59"/>
    <col min="2561" max="2561" width="7.85546875" style="59" customWidth="1"/>
    <col min="2562" max="2562" width="12.140625" style="59" customWidth="1"/>
    <col min="2563" max="2563" width="6.28515625" style="59" customWidth="1"/>
    <col min="2564" max="2564" width="11.5703125" style="59" customWidth="1"/>
    <col min="2565" max="2565" width="7.85546875" style="59" customWidth="1"/>
    <col min="2566" max="2566" width="12.28515625" style="59" customWidth="1"/>
    <col min="2567" max="2567" width="5.28515625" style="59" customWidth="1"/>
    <col min="2568" max="2568" width="12.140625" style="59" bestFit="1" customWidth="1"/>
    <col min="2569" max="2569" width="5.7109375" style="59" customWidth="1"/>
    <col min="2570" max="2570" width="11.85546875" style="59" bestFit="1" customWidth="1"/>
    <col min="2571" max="2571" width="8" style="59" customWidth="1"/>
    <col min="2572" max="2572" width="12.5703125" style="59" customWidth="1"/>
    <col min="2573" max="2573" width="9" style="59" customWidth="1"/>
    <col min="2574" max="2574" width="11.7109375" style="59" bestFit="1" customWidth="1"/>
    <col min="2575" max="2575" width="9.42578125" style="59" customWidth="1"/>
    <col min="2576" max="2576" width="4.140625" style="59" customWidth="1"/>
    <col min="2577" max="2577" width="3.28515625" style="59" bestFit="1" customWidth="1"/>
    <col min="2578" max="2578" width="8.85546875" style="59" customWidth="1"/>
    <col min="2579" max="2579" width="10" style="59" bestFit="1" customWidth="1"/>
    <col min="2580" max="2581" width="9.42578125" style="59" customWidth="1"/>
    <col min="2582" max="2582" width="9.5703125" style="59" customWidth="1"/>
    <col min="2583" max="2583" width="9.85546875" style="59" customWidth="1"/>
    <col min="2584" max="2585" width="9.42578125" style="59" customWidth="1"/>
    <col min="2586" max="2586" width="9.85546875" style="59" customWidth="1"/>
    <col min="2587" max="2588" width="9.28515625" style="59" customWidth="1"/>
    <col min="2589" max="2589" width="9.85546875" style="59" customWidth="1"/>
    <col min="2590" max="2590" width="9.28515625" style="59" customWidth="1"/>
    <col min="2591" max="2591" width="10.42578125" style="59" customWidth="1"/>
    <col min="2592" max="2592" width="5.28515625" style="59" bestFit="1" customWidth="1"/>
    <col min="2593" max="2593" width="9.7109375" style="59" bestFit="1" customWidth="1"/>
    <col min="2594" max="2594" width="11" style="59" bestFit="1" customWidth="1"/>
    <col min="2595" max="2595" width="10.85546875" style="59" bestFit="1" customWidth="1"/>
    <col min="2596" max="2596" width="9.140625" style="59"/>
    <col min="2597" max="2597" width="3.85546875" style="59" bestFit="1" customWidth="1"/>
    <col min="2598" max="2598" width="7.28515625" style="59" bestFit="1" customWidth="1"/>
    <col min="2599" max="2601" width="9.140625" style="59"/>
    <col min="2602" max="2602" width="9.28515625" style="59" customWidth="1"/>
    <col min="2603" max="2603" width="9.28515625" style="59" bestFit="1" customWidth="1"/>
    <col min="2604" max="2816" width="9.140625" style="59"/>
    <col min="2817" max="2817" width="7.85546875" style="59" customWidth="1"/>
    <col min="2818" max="2818" width="12.140625" style="59" customWidth="1"/>
    <col min="2819" max="2819" width="6.28515625" style="59" customWidth="1"/>
    <col min="2820" max="2820" width="11.5703125" style="59" customWidth="1"/>
    <col min="2821" max="2821" width="7.85546875" style="59" customWidth="1"/>
    <col min="2822" max="2822" width="12.28515625" style="59" customWidth="1"/>
    <col min="2823" max="2823" width="5.28515625" style="59" customWidth="1"/>
    <col min="2824" max="2824" width="12.140625" style="59" bestFit="1" customWidth="1"/>
    <col min="2825" max="2825" width="5.7109375" style="59" customWidth="1"/>
    <col min="2826" max="2826" width="11.85546875" style="59" bestFit="1" customWidth="1"/>
    <col min="2827" max="2827" width="8" style="59" customWidth="1"/>
    <col min="2828" max="2828" width="12.5703125" style="59" customWidth="1"/>
    <col min="2829" max="2829" width="9" style="59" customWidth="1"/>
    <col min="2830" max="2830" width="11.7109375" style="59" bestFit="1" customWidth="1"/>
    <col min="2831" max="2831" width="9.42578125" style="59" customWidth="1"/>
    <col min="2832" max="2832" width="4.140625" style="59" customWidth="1"/>
    <col min="2833" max="2833" width="3.28515625" style="59" bestFit="1" customWidth="1"/>
    <col min="2834" max="2834" width="8.85546875" style="59" customWidth="1"/>
    <col min="2835" max="2835" width="10" style="59" bestFit="1" customWidth="1"/>
    <col min="2836" max="2837" width="9.42578125" style="59" customWidth="1"/>
    <col min="2838" max="2838" width="9.5703125" style="59" customWidth="1"/>
    <col min="2839" max="2839" width="9.85546875" style="59" customWidth="1"/>
    <col min="2840" max="2841" width="9.42578125" style="59" customWidth="1"/>
    <col min="2842" max="2842" width="9.85546875" style="59" customWidth="1"/>
    <col min="2843" max="2844" width="9.28515625" style="59" customWidth="1"/>
    <col min="2845" max="2845" width="9.85546875" style="59" customWidth="1"/>
    <col min="2846" max="2846" width="9.28515625" style="59" customWidth="1"/>
    <col min="2847" max="2847" width="10.42578125" style="59" customWidth="1"/>
    <col min="2848" max="2848" width="5.28515625" style="59" bestFit="1" customWidth="1"/>
    <col min="2849" max="2849" width="9.7109375" style="59" bestFit="1" customWidth="1"/>
    <col min="2850" max="2850" width="11" style="59" bestFit="1" customWidth="1"/>
    <col min="2851" max="2851" width="10.85546875" style="59" bestFit="1" customWidth="1"/>
    <col min="2852" max="2852" width="9.140625" style="59"/>
    <col min="2853" max="2853" width="3.85546875" style="59" bestFit="1" customWidth="1"/>
    <col min="2854" max="2854" width="7.28515625" style="59" bestFit="1" customWidth="1"/>
    <col min="2855" max="2857" width="9.140625" style="59"/>
    <col min="2858" max="2858" width="9.28515625" style="59" customWidth="1"/>
    <col min="2859" max="2859" width="9.28515625" style="59" bestFit="1" customWidth="1"/>
    <col min="2860" max="3072" width="9.140625" style="59"/>
    <col min="3073" max="3073" width="7.85546875" style="59" customWidth="1"/>
    <col min="3074" max="3074" width="12.140625" style="59" customWidth="1"/>
    <col min="3075" max="3075" width="6.28515625" style="59" customWidth="1"/>
    <col min="3076" max="3076" width="11.5703125" style="59" customWidth="1"/>
    <col min="3077" max="3077" width="7.85546875" style="59" customWidth="1"/>
    <col min="3078" max="3078" width="12.28515625" style="59" customWidth="1"/>
    <col min="3079" max="3079" width="5.28515625" style="59" customWidth="1"/>
    <col min="3080" max="3080" width="12.140625" style="59" bestFit="1" customWidth="1"/>
    <col min="3081" max="3081" width="5.7109375" style="59" customWidth="1"/>
    <col min="3082" max="3082" width="11.85546875" style="59" bestFit="1" customWidth="1"/>
    <col min="3083" max="3083" width="8" style="59" customWidth="1"/>
    <col min="3084" max="3084" width="12.5703125" style="59" customWidth="1"/>
    <col min="3085" max="3085" width="9" style="59" customWidth="1"/>
    <col min="3086" max="3086" width="11.7109375" style="59" bestFit="1" customWidth="1"/>
    <col min="3087" max="3087" width="9.42578125" style="59" customWidth="1"/>
    <col min="3088" max="3088" width="4.140625" style="59" customWidth="1"/>
    <col min="3089" max="3089" width="3.28515625" style="59" bestFit="1" customWidth="1"/>
    <col min="3090" max="3090" width="8.85546875" style="59" customWidth="1"/>
    <col min="3091" max="3091" width="10" style="59" bestFit="1" customWidth="1"/>
    <col min="3092" max="3093" width="9.42578125" style="59" customWidth="1"/>
    <col min="3094" max="3094" width="9.5703125" style="59" customWidth="1"/>
    <col min="3095" max="3095" width="9.85546875" style="59" customWidth="1"/>
    <col min="3096" max="3097" width="9.42578125" style="59" customWidth="1"/>
    <col min="3098" max="3098" width="9.85546875" style="59" customWidth="1"/>
    <col min="3099" max="3100" width="9.28515625" style="59" customWidth="1"/>
    <col min="3101" max="3101" width="9.85546875" style="59" customWidth="1"/>
    <col min="3102" max="3102" width="9.28515625" style="59" customWidth="1"/>
    <col min="3103" max="3103" width="10.42578125" style="59" customWidth="1"/>
    <col min="3104" max="3104" width="5.28515625" style="59" bestFit="1" customWidth="1"/>
    <col min="3105" max="3105" width="9.7109375" style="59" bestFit="1" customWidth="1"/>
    <col min="3106" max="3106" width="11" style="59" bestFit="1" customWidth="1"/>
    <col min="3107" max="3107" width="10.85546875" style="59" bestFit="1" customWidth="1"/>
    <col min="3108" max="3108" width="9.140625" style="59"/>
    <col min="3109" max="3109" width="3.85546875" style="59" bestFit="1" customWidth="1"/>
    <col min="3110" max="3110" width="7.28515625" style="59" bestFit="1" customWidth="1"/>
    <col min="3111" max="3113" width="9.140625" style="59"/>
    <col min="3114" max="3114" width="9.28515625" style="59" customWidth="1"/>
    <col min="3115" max="3115" width="9.28515625" style="59" bestFit="1" customWidth="1"/>
    <col min="3116" max="3328" width="9.140625" style="59"/>
    <col min="3329" max="3329" width="7.85546875" style="59" customWidth="1"/>
    <col min="3330" max="3330" width="12.140625" style="59" customWidth="1"/>
    <col min="3331" max="3331" width="6.28515625" style="59" customWidth="1"/>
    <col min="3332" max="3332" width="11.5703125" style="59" customWidth="1"/>
    <col min="3333" max="3333" width="7.85546875" style="59" customWidth="1"/>
    <col min="3334" max="3334" width="12.28515625" style="59" customWidth="1"/>
    <col min="3335" max="3335" width="5.28515625" style="59" customWidth="1"/>
    <col min="3336" max="3336" width="12.140625" style="59" bestFit="1" customWidth="1"/>
    <col min="3337" max="3337" width="5.7109375" style="59" customWidth="1"/>
    <col min="3338" max="3338" width="11.85546875" style="59" bestFit="1" customWidth="1"/>
    <col min="3339" max="3339" width="8" style="59" customWidth="1"/>
    <col min="3340" max="3340" width="12.5703125" style="59" customWidth="1"/>
    <col min="3341" max="3341" width="9" style="59" customWidth="1"/>
    <col min="3342" max="3342" width="11.7109375" style="59" bestFit="1" customWidth="1"/>
    <col min="3343" max="3343" width="9.42578125" style="59" customWidth="1"/>
    <col min="3344" max="3344" width="4.140625" style="59" customWidth="1"/>
    <col min="3345" max="3345" width="3.28515625" style="59" bestFit="1" customWidth="1"/>
    <col min="3346" max="3346" width="8.85546875" style="59" customWidth="1"/>
    <col min="3347" max="3347" width="10" style="59" bestFit="1" customWidth="1"/>
    <col min="3348" max="3349" width="9.42578125" style="59" customWidth="1"/>
    <col min="3350" max="3350" width="9.5703125" style="59" customWidth="1"/>
    <col min="3351" max="3351" width="9.85546875" style="59" customWidth="1"/>
    <col min="3352" max="3353" width="9.42578125" style="59" customWidth="1"/>
    <col min="3354" max="3354" width="9.85546875" style="59" customWidth="1"/>
    <col min="3355" max="3356" width="9.28515625" style="59" customWidth="1"/>
    <col min="3357" max="3357" width="9.85546875" style="59" customWidth="1"/>
    <col min="3358" max="3358" width="9.28515625" style="59" customWidth="1"/>
    <col min="3359" max="3359" width="10.42578125" style="59" customWidth="1"/>
    <col min="3360" max="3360" width="5.28515625" style="59" bestFit="1" customWidth="1"/>
    <col min="3361" max="3361" width="9.7109375" style="59" bestFit="1" customWidth="1"/>
    <col min="3362" max="3362" width="11" style="59" bestFit="1" customWidth="1"/>
    <col min="3363" max="3363" width="10.85546875" style="59" bestFit="1" customWidth="1"/>
    <col min="3364" max="3364" width="9.140625" style="59"/>
    <col min="3365" max="3365" width="3.85546875" style="59" bestFit="1" customWidth="1"/>
    <col min="3366" max="3366" width="7.28515625" style="59" bestFit="1" customWidth="1"/>
    <col min="3367" max="3369" width="9.140625" style="59"/>
    <col min="3370" max="3370" width="9.28515625" style="59" customWidth="1"/>
    <col min="3371" max="3371" width="9.28515625" style="59" bestFit="1" customWidth="1"/>
    <col min="3372" max="3584" width="9.140625" style="59"/>
    <col min="3585" max="3585" width="7.85546875" style="59" customWidth="1"/>
    <col min="3586" max="3586" width="12.140625" style="59" customWidth="1"/>
    <col min="3587" max="3587" width="6.28515625" style="59" customWidth="1"/>
    <col min="3588" max="3588" width="11.5703125" style="59" customWidth="1"/>
    <col min="3589" max="3589" width="7.85546875" style="59" customWidth="1"/>
    <col min="3590" max="3590" width="12.28515625" style="59" customWidth="1"/>
    <col min="3591" max="3591" width="5.28515625" style="59" customWidth="1"/>
    <col min="3592" max="3592" width="12.140625" style="59" bestFit="1" customWidth="1"/>
    <col min="3593" max="3593" width="5.7109375" style="59" customWidth="1"/>
    <col min="3594" max="3594" width="11.85546875" style="59" bestFit="1" customWidth="1"/>
    <col min="3595" max="3595" width="8" style="59" customWidth="1"/>
    <col min="3596" max="3596" width="12.5703125" style="59" customWidth="1"/>
    <col min="3597" max="3597" width="9" style="59" customWidth="1"/>
    <col min="3598" max="3598" width="11.7109375" style="59" bestFit="1" customWidth="1"/>
    <col min="3599" max="3599" width="9.42578125" style="59" customWidth="1"/>
    <col min="3600" max="3600" width="4.140625" style="59" customWidth="1"/>
    <col min="3601" max="3601" width="3.28515625" style="59" bestFit="1" customWidth="1"/>
    <col min="3602" max="3602" width="8.85546875" style="59" customWidth="1"/>
    <col min="3603" max="3603" width="10" style="59" bestFit="1" customWidth="1"/>
    <col min="3604" max="3605" width="9.42578125" style="59" customWidth="1"/>
    <col min="3606" max="3606" width="9.5703125" style="59" customWidth="1"/>
    <col min="3607" max="3607" width="9.85546875" style="59" customWidth="1"/>
    <col min="3608" max="3609" width="9.42578125" style="59" customWidth="1"/>
    <col min="3610" max="3610" width="9.85546875" style="59" customWidth="1"/>
    <col min="3611" max="3612" width="9.28515625" style="59" customWidth="1"/>
    <col min="3613" max="3613" width="9.85546875" style="59" customWidth="1"/>
    <col min="3614" max="3614" width="9.28515625" style="59" customWidth="1"/>
    <col min="3615" max="3615" width="10.42578125" style="59" customWidth="1"/>
    <col min="3616" max="3616" width="5.28515625" style="59" bestFit="1" customWidth="1"/>
    <col min="3617" max="3617" width="9.7109375" style="59" bestFit="1" customWidth="1"/>
    <col min="3618" max="3618" width="11" style="59" bestFit="1" customWidth="1"/>
    <col min="3619" max="3619" width="10.85546875" style="59" bestFit="1" customWidth="1"/>
    <col min="3620" max="3620" width="9.140625" style="59"/>
    <col min="3621" max="3621" width="3.85546875" style="59" bestFit="1" customWidth="1"/>
    <col min="3622" max="3622" width="7.28515625" style="59" bestFit="1" customWidth="1"/>
    <col min="3623" max="3625" width="9.140625" style="59"/>
    <col min="3626" max="3626" width="9.28515625" style="59" customWidth="1"/>
    <col min="3627" max="3627" width="9.28515625" style="59" bestFit="1" customWidth="1"/>
    <col min="3628" max="3840" width="9.140625" style="59"/>
    <col min="3841" max="3841" width="7.85546875" style="59" customWidth="1"/>
    <col min="3842" max="3842" width="12.140625" style="59" customWidth="1"/>
    <col min="3843" max="3843" width="6.28515625" style="59" customWidth="1"/>
    <col min="3844" max="3844" width="11.5703125" style="59" customWidth="1"/>
    <col min="3845" max="3845" width="7.85546875" style="59" customWidth="1"/>
    <col min="3846" max="3846" width="12.28515625" style="59" customWidth="1"/>
    <col min="3847" max="3847" width="5.28515625" style="59" customWidth="1"/>
    <col min="3848" max="3848" width="12.140625" style="59" bestFit="1" customWidth="1"/>
    <col min="3849" max="3849" width="5.7109375" style="59" customWidth="1"/>
    <col min="3850" max="3850" width="11.85546875" style="59" bestFit="1" customWidth="1"/>
    <col min="3851" max="3851" width="8" style="59" customWidth="1"/>
    <col min="3852" max="3852" width="12.5703125" style="59" customWidth="1"/>
    <col min="3853" max="3853" width="9" style="59" customWidth="1"/>
    <col min="3854" max="3854" width="11.7109375" style="59" bestFit="1" customWidth="1"/>
    <col min="3855" max="3855" width="9.42578125" style="59" customWidth="1"/>
    <col min="3856" max="3856" width="4.140625" style="59" customWidth="1"/>
    <col min="3857" max="3857" width="3.28515625" style="59" bestFit="1" customWidth="1"/>
    <col min="3858" max="3858" width="8.85546875" style="59" customWidth="1"/>
    <col min="3859" max="3859" width="10" style="59" bestFit="1" customWidth="1"/>
    <col min="3860" max="3861" width="9.42578125" style="59" customWidth="1"/>
    <col min="3862" max="3862" width="9.5703125" style="59" customWidth="1"/>
    <col min="3863" max="3863" width="9.85546875" style="59" customWidth="1"/>
    <col min="3864" max="3865" width="9.42578125" style="59" customWidth="1"/>
    <col min="3866" max="3866" width="9.85546875" style="59" customWidth="1"/>
    <col min="3867" max="3868" width="9.28515625" style="59" customWidth="1"/>
    <col min="3869" max="3869" width="9.85546875" style="59" customWidth="1"/>
    <col min="3870" max="3870" width="9.28515625" style="59" customWidth="1"/>
    <col min="3871" max="3871" width="10.42578125" style="59" customWidth="1"/>
    <col min="3872" max="3872" width="5.28515625" style="59" bestFit="1" customWidth="1"/>
    <col min="3873" max="3873" width="9.7109375" style="59" bestFit="1" customWidth="1"/>
    <col min="3874" max="3874" width="11" style="59" bestFit="1" customWidth="1"/>
    <col min="3875" max="3875" width="10.85546875" style="59" bestFit="1" customWidth="1"/>
    <col min="3876" max="3876" width="9.140625" style="59"/>
    <col min="3877" max="3877" width="3.85546875" style="59" bestFit="1" customWidth="1"/>
    <col min="3878" max="3878" width="7.28515625" style="59" bestFit="1" customWidth="1"/>
    <col min="3879" max="3881" width="9.140625" style="59"/>
    <col min="3882" max="3882" width="9.28515625" style="59" customWidth="1"/>
    <col min="3883" max="3883" width="9.28515625" style="59" bestFit="1" customWidth="1"/>
    <col min="3884" max="4096" width="9.140625" style="59"/>
    <col min="4097" max="4097" width="7.85546875" style="59" customWidth="1"/>
    <col min="4098" max="4098" width="12.140625" style="59" customWidth="1"/>
    <col min="4099" max="4099" width="6.28515625" style="59" customWidth="1"/>
    <col min="4100" max="4100" width="11.5703125" style="59" customWidth="1"/>
    <col min="4101" max="4101" width="7.85546875" style="59" customWidth="1"/>
    <col min="4102" max="4102" width="12.28515625" style="59" customWidth="1"/>
    <col min="4103" max="4103" width="5.28515625" style="59" customWidth="1"/>
    <col min="4104" max="4104" width="12.140625" style="59" bestFit="1" customWidth="1"/>
    <col min="4105" max="4105" width="5.7109375" style="59" customWidth="1"/>
    <col min="4106" max="4106" width="11.85546875" style="59" bestFit="1" customWidth="1"/>
    <col min="4107" max="4107" width="8" style="59" customWidth="1"/>
    <col min="4108" max="4108" width="12.5703125" style="59" customWidth="1"/>
    <col min="4109" max="4109" width="9" style="59" customWidth="1"/>
    <col min="4110" max="4110" width="11.7109375" style="59" bestFit="1" customWidth="1"/>
    <col min="4111" max="4111" width="9.42578125" style="59" customWidth="1"/>
    <col min="4112" max="4112" width="4.140625" style="59" customWidth="1"/>
    <col min="4113" max="4113" width="3.28515625" style="59" bestFit="1" customWidth="1"/>
    <col min="4114" max="4114" width="8.85546875" style="59" customWidth="1"/>
    <col min="4115" max="4115" width="10" style="59" bestFit="1" customWidth="1"/>
    <col min="4116" max="4117" width="9.42578125" style="59" customWidth="1"/>
    <col min="4118" max="4118" width="9.5703125" style="59" customWidth="1"/>
    <col min="4119" max="4119" width="9.85546875" style="59" customWidth="1"/>
    <col min="4120" max="4121" width="9.42578125" style="59" customWidth="1"/>
    <col min="4122" max="4122" width="9.85546875" style="59" customWidth="1"/>
    <col min="4123" max="4124" width="9.28515625" style="59" customWidth="1"/>
    <col min="4125" max="4125" width="9.85546875" style="59" customWidth="1"/>
    <col min="4126" max="4126" width="9.28515625" style="59" customWidth="1"/>
    <col min="4127" max="4127" width="10.42578125" style="59" customWidth="1"/>
    <col min="4128" max="4128" width="5.28515625" style="59" bestFit="1" customWidth="1"/>
    <col min="4129" max="4129" width="9.7109375" style="59" bestFit="1" customWidth="1"/>
    <col min="4130" max="4130" width="11" style="59" bestFit="1" customWidth="1"/>
    <col min="4131" max="4131" width="10.85546875" style="59" bestFit="1" customWidth="1"/>
    <col min="4132" max="4132" width="9.140625" style="59"/>
    <col min="4133" max="4133" width="3.85546875" style="59" bestFit="1" customWidth="1"/>
    <col min="4134" max="4134" width="7.28515625" style="59" bestFit="1" customWidth="1"/>
    <col min="4135" max="4137" width="9.140625" style="59"/>
    <col min="4138" max="4138" width="9.28515625" style="59" customWidth="1"/>
    <col min="4139" max="4139" width="9.28515625" style="59" bestFit="1" customWidth="1"/>
    <col min="4140" max="4352" width="9.140625" style="59"/>
    <col min="4353" max="4353" width="7.85546875" style="59" customWidth="1"/>
    <col min="4354" max="4354" width="12.140625" style="59" customWidth="1"/>
    <col min="4355" max="4355" width="6.28515625" style="59" customWidth="1"/>
    <col min="4356" max="4356" width="11.5703125" style="59" customWidth="1"/>
    <col min="4357" max="4357" width="7.85546875" style="59" customWidth="1"/>
    <col min="4358" max="4358" width="12.28515625" style="59" customWidth="1"/>
    <col min="4359" max="4359" width="5.28515625" style="59" customWidth="1"/>
    <col min="4360" max="4360" width="12.140625" style="59" bestFit="1" customWidth="1"/>
    <col min="4361" max="4361" width="5.7109375" style="59" customWidth="1"/>
    <col min="4362" max="4362" width="11.85546875" style="59" bestFit="1" customWidth="1"/>
    <col min="4363" max="4363" width="8" style="59" customWidth="1"/>
    <col min="4364" max="4364" width="12.5703125" style="59" customWidth="1"/>
    <col min="4365" max="4365" width="9" style="59" customWidth="1"/>
    <col min="4366" max="4366" width="11.7109375" style="59" bestFit="1" customWidth="1"/>
    <col min="4367" max="4367" width="9.42578125" style="59" customWidth="1"/>
    <col min="4368" max="4368" width="4.140625" style="59" customWidth="1"/>
    <col min="4369" max="4369" width="3.28515625" style="59" bestFit="1" customWidth="1"/>
    <col min="4370" max="4370" width="8.85546875" style="59" customWidth="1"/>
    <col min="4371" max="4371" width="10" style="59" bestFit="1" customWidth="1"/>
    <col min="4372" max="4373" width="9.42578125" style="59" customWidth="1"/>
    <col min="4374" max="4374" width="9.5703125" style="59" customWidth="1"/>
    <col min="4375" max="4375" width="9.85546875" style="59" customWidth="1"/>
    <col min="4376" max="4377" width="9.42578125" style="59" customWidth="1"/>
    <col min="4378" max="4378" width="9.85546875" style="59" customWidth="1"/>
    <col min="4379" max="4380" width="9.28515625" style="59" customWidth="1"/>
    <col min="4381" max="4381" width="9.85546875" style="59" customWidth="1"/>
    <col min="4382" max="4382" width="9.28515625" style="59" customWidth="1"/>
    <col min="4383" max="4383" width="10.42578125" style="59" customWidth="1"/>
    <col min="4384" max="4384" width="5.28515625" style="59" bestFit="1" customWidth="1"/>
    <col min="4385" max="4385" width="9.7109375" style="59" bestFit="1" customWidth="1"/>
    <col min="4386" max="4386" width="11" style="59" bestFit="1" customWidth="1"/>
    <col min="4387" max="4387" width="10.85546875" style="59" bestFit="1" customWidth="1"/>
    <col min="4388" max="4388" width="9.140625" style="59"/>
    <col min="4389" max="4389" width="3.85546875" style="59" bestFit="1" customWidth="1"/>
    <col min="4390" max="4390" width="7.28515625" style="59" bestFit="1" customWidth="1"/>
    <col min="4391" max="4393" width="9.140625" style="59"/>
    <col min="4394" max="4394" width="9.28515625" style="59" customWidth="1"/>
    <col min="4395" max="4395" width="9.28515625" style="59" bestFit="1" customWidth="1"/>
    <col min="4396" max="4608" width="9.140625" style="59"/>
    <col min="4609" max="4609" width="7.85546875" style="59" customWidth="1"/>
    <col min="4610" max="4610" width="12.140625" style="59" customWidth="1"/>
    <col min="4611" max="4611" width="6.28515625" style="59" customWidth="1"/>
    <col min="4612" max="4612" width="11.5703125" style="59" customWidth="1"/>
    <col min="4613" max="4613" width="7.85546875" style="59" customWidth="1"/>
    <col min="4614" max="4614" width="12.28515625" style="59" customWidth="1"/>
    <col min="4615" max="4615" width="5.28515625" style="59" customWidth="1"/>
    <col min="4616" max="4616" width="12.140625" style="59" bestFit="1" customWidth="1"/>
    <col min="4617" max="4617" width="5.7109375" style="59" customWidth="1"/>
    <col min="4618" max="4618" width="11.85546875" style="59" bestFit="1" customWidth="1"/>
    <col min="4619" max="4619" width="8" style="59" customWidth="1"/>
    <col min="4620" max="4620" width="12.5703125" style="59" customWidth="1"/>
    <col min="4621" max="4621" width="9" style="59" customWidth="1"/>
    <col min="4622" max="4622" width="11.7109375" style="59" bestFit="1" customWidth="1"/>
    <col min="4623" max="4623" width="9.42578125" style="59" customWidth="1"/>
    <col min="4624" max="4624" width="4.140625" style="59" customWidth="1"/>
    <col min="4625" max="4625" width="3.28515625" style="59" bestFit="1" customWidth="1"/>
    <col min="4626" max="4626" width="8.85546875" style="59" customWidth="1"/>
    <col min="4627" max="4627" width="10" style="59" bestFit="1" customWidth="1"/>
    <col min="4628" max="4629" width="9.42578125" style="59" customWidth="1"/>
    <col min="4630" max="4630" width="9.5703125" style="59" customWidth="1"/>
    <col min="4631" max="4631" width="9.85546875" style="59" customWidth="1"/>
    <col min="4632" max="4633" width="9.42578125" style="59" customWidth="1"/>
    <col min="4634" max="4634" width="9.85546875" style="59" customWidth="1"/>
    <col min="4635" max="4636" width="9.28515625" style="59" customWidth="1"/>
    <col min="4637" max="4637" width="9.85546875" style="59" customWidth="1"/>
    <col min="4638" max="4638" width="9.28515625" style="59" customWidth="1"/>
    <col min="4639" max="4639" width="10.42578125" style="59" customWidth="1"/>
    <col min="4640" max="4640" width="5.28515625" style="59" bestFit="1" customWidth="1"/>
    <col min="4641" max="4641" width="9.7109375" style="59" bestFit="1" customWidth="1"/>
    <col min="4642" max="4642" width="11" style="59" bestFit="1" customWidth="1"/>
    <col min="4643" max="4643" width="10.85546875" style="59" bestFit="1" customWidth="1"/>
    <col min="4644" max="4644" width="9.140625" style="59"/>
    <col min="4645" max="4645" width="3.85546875" style="59" bestFit="1" customWidth="1"/>
    <col min="4646" max="4646" width="7.28515625" style="59" bestFit="1" customWidth="1"/>
    <col min="4647" max="4649" width="9.140625" style="59"/>
    <col min="4650" max="4650" width="9.28515625" style="59" customWidth="1"/>
    <col min="4651" max="4651" width="9.28515625" style="59" bestFit="1" customWidth="1"/>
    <col min="4652" max="4864" width="9.140625" style="59"/>
    <col min="4865" max="4865" width="7.85546875" style="59" customWidth="1"/>
    <col min="4866" max="4866" width="12.140625" style="59" customWidth="1"/>
    <col min="4867" max="4867" width="6.28515625" style="59" customWidth="1"/>
    <col min="4868" max="4868" width="11.5703125" style="59" customWidth="1"/>
    <col min="4869" max="4869" width="7.85546875" style="59" customWidth="1"/>
    <col min="4870" max="4870" width="12.28515625" style="59" customWidth="1"/>
    <col min="4871" max="4871" width="5.28515625" style="59" customWidth="1"/>
    <col min="4872" max="4872" width="12.140625" style="59" bestFit="1" customWidth="1"/>
    <col min="4873" max="4873" width="5.7109375" style="59" customWidth="1"/>
    <col min="4874" max="4874" width="11.85546875" style="59" bestFit="1" customWidth="1"/>
    <col min="4875" max="4875" width="8" style="59" customWidth="1"/>
    <col min="4876" max="4876" width="12.5703125" style="59" customWidth="1"/>
    <col min="4877" max="4877" width="9" style="59" customWidth="1"/>
    <col min="4878" max="4878" width="11.7109375" style="59" bestFit="1" customWidth="1"/>
    <col min="4879" max="4879" width="9.42578125" style="59" customWidth="1"/>
    <col min="4880" max="4880" width="4.140625" style="59" customWidth="1"/>
    <col min="4881" max="4881" width="3.28515625" style="59" bestFit="1" customWidth="1"/>
    <col min="4882" max="4882" width="8.85546875" style="59" customWidth="1"/>
    <col min="4883" max="4883" width="10" style="59" bestFit="1" customWidth="1"/>
    <col min="4884" max="4885" width="9.42578125" style="59" customWidth="1"/>
    <col min="4886" max="4886" width="9.5703125" style="59" customWidth="1"/>
    <col min="4887" max="4887" width="9.85546875" style="59" customWidth="1"/>
    <col min="4888" max="4889" width="9.42578125" style="59" customWidth="1"/>
    <col min="4890" max="4890" width="9.85546875" style="59" customWidth="1"/>
    <col min="4891" max="4892" width="9.28515625" style="59" customWidth="1"/>
    <col min="4893" max="4893" width="9.85546875" style="59" customWidth="1"/>
    <col min="4894" max="4894" width="9.28515625" style="59" customWidth="1"/>
    <col min="4895" max="4895" width="10.42578125" style="59" customWidth="1"/>
    <col min="4896" max="4896" width="5.28515625" style="59" bestFit="1" customWidth="1"/>
    <col min="4897" max="4897" width="9.7109375" style="59" bestFit="1" customWidth="1"/>
    <col min="4898" max="4898" width="11" style="59" bestFit="1" customWidth="1"/>
    <col min="4899" max="4899" width="10.85546875" style="59" bestFit="1" customWidth="1"/>
    <col min="4900" max="4900" width="9.140625" style="59"/>
    <col min="4901" max="4901" width="3.85546875" style="59" bestFit="1" customWidth="1"/>
    <col min="4902" max="4902" width="7.28515625" style="59" bestFit="1" customWidth="1"/>
    <col min="4903" max="4905" width="9.140625" style="59"/>
    <col min="4906" max="4906" width="9.28515625" style="59" customWidth="1"/>
    <col min="4907" max="4907" width="9.28515625" style="59" bestFit="1" customWidth="1"/>
    <col min="4908" max="5120" width="9.140625" style="59"/>
    <col min="5121" max="5121" width="7.85546875" style="59" customWidth="1"/>
    <col min="5122" max="5122" width="12.140625" style="59" customWidth="1"/>
    <col min="5123" max="5123" width="6.28515625" style="59" customWidth="1"/>
    <col min="5124" max="5124" width="11.5703125" style="59" customWidth="1"/>
    <col min="5125" max="5125" width="7.85546875" style="59" customWidth="1"/>
    <col min="5126" max="5126" width="12.28515625" style="59" customWidth="1"/>
    <col min="5127" max="5127" width="5.28515625" style="59" customWidth="1"/>
    <col min="5128" max="5128" width="12.140625" style="59" bestFit="1" customWidth="1"/>
    <col min="5129" max="5129" width="5.7109375" style="59" customWidth="1"/>
    <col min="5130" max="5130" width="11.85546875" style="59" bestFit="1" customWidth="1"/>
    <col min="5131" max="5131" width="8" style="59" customWidth="1"/>
    <col min="5132" max="5132" width="12.5703125" style="59" customWidth="1"/>
    <col min="5133" max="5133" width="9" style="59" customWidth="1"/>
    <col min="5134" max="5134" width="11.7109375" style="59" bestFit="1" customWidth="1"/>
    <col min="5135" max="5135" width="9.42578125" style="59" customWidth="1"/>
    <col min="5136" max="5136" width="4.140625" style="59" customWidth="1"/>
    <col min="5137" max="5137" width="3.28515625" style="59" bestFit="1" customWidth="1"/>
    <col min="5138" max="5138" width="8.85546875" style="59" customWidth="1"/>
    <col min="5139" max="5139" width="10" style="59" bestFit="1" customWidth="1"/>
    <col min="5140" max="5141" width="9.42578125" style="59" customWidth="1"/>
    <col min="5142" max="5142" width="9.5703125" style="59" customWidth="1"/>
    <col min="5143" max="5143" width="9.85546875" style="59" customWidth="1"/>
    <col min="5144" max="5145" width="9.42578125" style="59" customWidth="1"/>
    <col min="5146" max="5146" width="9.85546875" style="59" customWidth="1"/>
    <col min="5147" max="5148" width="9.28515625" style="59" customWidth="1"/>
    <col min="5149" max="5149" width="9.85546875" style="59" customWidth="1"/>
    <col min="5150" max="5150" width="9.28515625" style="59" customWidth="1"/>
    <col min="5151" max="5151" width="10.42578125" style="59" customWidth="1"/>
    <col min="5152" max="5152" width="5.28515625" style="59" bestFit="1" customWidth="1"/>
    <col min="5153" max="5153" width="9.7109375" style="59" bestFit="1" customWidth="1"/>
    <col min="5154" max="5154" width="11" style="59" bestFit="1" customWidth="1"/>
    <col min="5155" max="5155" width="10.85546875" style="59" bestFit="1" customWidth="1"/>
    <col min="5156" max="5156" width="9.140625" style="59"/>
    <col min="5157" max="5157" width="3.85546875" style="59" bestFit="1" customWidth="1"/>
    <col min="5158" max="5158" width="7.28515625" style="59" bestFit="1" customWidth="1"/>
    <col min="5159" max="5161" width="9.140625" style="59"/>
    <col min="5162" max="5162" width="9.28515625" style="59" customWidth="1"/>
    <col min="5163" max="5163" width="9.28515625" style="59" bestFit="1" customWidth="1"/>
    <col min="5164" max="5376" width="9.140625" style="59"/>
    <col min="5377" max="5377" width="7.85546875" style="59" customWidth="1"/>
    <col min="5378" max="5378" width="12.140625" style="59" customWidth="1"/>
    <col min="5379" max="5379" width="6.28515625" style="59" customWidth="1"/>
    <col min="5380" max="5380" width="11.5703125" style="59" customWidth="1"/>
    <col min="5381" max="5381" width="7.85546875" style="59" customWidth="1"/>
    <col min="5382" max="5382" width="12.28515625" style="59" customWidth="1"/>
    <col min="5383" max="5383" width="5.28515625" style="59" customWidth="1"/>
    <col min="5384" max="5384" width="12.140625" style="59" bestFit="1" customWidth="1"/>
    <col min="5385" max="5385" width="5.7109375" style="59" customWidth="1"/>
    <col min="5386" max="5386" width="11.85546875" style="59" bestFit="1" customWidth="1"/>
    <col min="5387" max="5387" width="8" style="59" customWidth="1"/>
    <col min="5388" max="5388" width="12.5703125" style="59" customWidth="1"/>
    <col min="5389" max="5389" width="9" style="59" customWidth="1"/>
    <col min="5390" max="5390" width="11.7109375" style="59" bestFit="1" customWidth="1"/>
    <col min="5391" max="5391" width="9.42578125" style="59" customWidth="1"/>
    <col min="5392" max="5392" width="4.140625" style="59" customWidth="1"/>
    <col min="5393" max="5393" width="3.28515625" style="59" bestFit="1" customWidth="1"/>
    <col min="5394" max="5394" width="8.85546875" style="59" customWidth="1"/>
    <col min="5395" max="5395" width="10" style="59" bestFit="1" customWidth="1"/>
    <col min="5396" max="5397" width="9.42578125" style="59" customWidth="1"/>
    <col min="5398" max="5398" width="9.5703125" style="59" customWidth="1"/>
    <col min="5399" max="5399" width="9.85546875" style="59" customWidth="1"/>
    <col min="5400" max="5401" width="9.42578125" style="59" customWidth="1"/>
    <col min="5402" max="5402" width="9.85546875" style="59" customWidth="1"/>
    <col min="5403" max="5404" width="9.28515625" style="59" customWidth="1"/>
    <col min="5405" max="5405" width="9.85546875" style="59" customWidth="1"/>
    <col min="5406" max="5406" width="9.28515625" style="59" customWidth="1"/>
    <col min="5407" max="5407" width="10.42578125" style="59" customWidth="1"/>
    <col min="5408" max="5408" width="5.28515625" style="59" bestFit="1" customWidth="1"/>
    <col min="5409" max="5409" width="9.7109375" style="59" bestFit="1" customWidth="1"/>
    <col min="5410" max="5410" width="11" style="59" bestFit="1" customWidth="1"/>
    <col min="5411" max="5411" width="10.85546875" style="59" bestFit="1" customWidth="1"/>
    <col min="5412" max="5412" width="9.140625" style="59"/>
    <col min="5413" max="5413" width="3.85546875" style="59" bestFit="1" customWidth="1"/>
    <col min="5414" max="5414" width="7.28515625" style="59" bestFit="1" customWidth="1"/>
    <col min="5415" max="5417" width="9.140625" style="59"/>
    <col min="5418" max="5418" width="9.28515625" style="59" customWidth="1"/>
    <col min="5419" max="5419" width="9.28515625" style="59" bestFit="1" customWidth="1"/>
    <col min="5420" max="5632" width="9.140625" style="59"/>
    <col min="5633" max="5633" width="7.85546875" style="59" customWidth="1"/>
    <col min="5634" max="5634" width="12.140625" style="59" customWidth="1"/>
    <col min="5635" max="5635" width="6.28515625" style="59" customWidth="1"/>
    <col min="5636" max="5636" width="11.5703125" style="59" customWidth="1"/>
    <col min="5637" max="5637" width="7.85546875" style="59" customWidth="1"/>
    <col min="5638" max="5638" width="12.28515625" style="59" customWidth="1"/>
    <col min="5639" max="5639" width="5.28515625" style="59" customWidth="1"/>
    <col min="5640" max="5640" width="12.140625" style="59" bestFit="1" customWidth="1"/>
    <col min="5641" max="5641" width="5.7109375" style="59" customWidth="1"/>
    <col min="5642" max="5642" width="11.85546875" style="59" bestFit="1" customWidth="1"/>
    <col min="5643" max="5643" width="8" style="59" customWidth="1"/>
    <col min="5644" max="5644" width="12.5703125" style="59" customWidth="1"/>
    <col min="5645" max="5645" width="9" style="59" customWidth="1"/>
    <col min="5646" max="5646" width="11.7109375" style="59" bestFit="1" customWidth="1"/>
    <col min="5647" max="5647" width="9.42578125" style="59" customWidth="1"/>
    <col min="5648" max="5648" width="4.140625" style="59" customWidth="1"/>
    <col min="5649" max="5649" width="3.28515625" style="59" bestFit="1" customWidth="1"/>
    <col min="5650" max="5650" width="8.85546875" style="59" customWidth="1"/>
    <col min="5651" max="5651" width="10" style="59" bestFit="1" customWidth="1"/>
    <col min="5652" max="5653" width="9.42578125" style="59" customWidth="1"/>
    <col min="5654" max="5654" width="9.5703125" style="59" customWidth="1"/>
    <col min="5655" max="5655" width="9.85546875" style="59" customWidth="1"/>
    <col min="5656" max="5657" width="9.42578125" style="59" customWidth="1"/>
    <col min="5658" max="5658" width="9.85546875" style="59" customWidth="1"/>
    <col min="5659" max="5660" width="9.28515625" style="59" customWidth="1"/>
    <col min="5661" max="5661" width="9.85546875" style="59" customWidth="1"/>
    <col min="5662" max="5662" width="9.28515625" style="59" customWidth="1"/>
    <col min="5663" max="5663" width="10.42578125" style="59" customWidth="1"/>
    <col min="5664" max="5664" width="5.28515625" style="59" bestFit="1" customWidth="1"/>
    <col min="5665" max="5665" width="9.7109375" style="59" bestFit="1" customWidth="1"/>
    <col min="5666" max="5666" width="11" style="59" bestFit="1" customWidth="1"/>
    <col min="5667" max="5667" width="10.85546875" style="59" bestFit="1" customWidth="1"/>
    <col min="5668" max="5668" width="9.140625" style="59"/>
    <col min="5669" max="5669" width="3.85546875" style="59" bestFit="1" customWidth="1"/>
    <col min="5670" max="5670" width="7.28515625" style="59" bestFit="1" customWidth="1"/>
    <col min="5671" max="5673" width="9.140625" style="59"/>
    <col min="5674" max="5674" width="9.28515625" style="59" customWidth="1"/>
    <col min="5675" max="5675" width="9.28515625" style="59" bestFit="1" customWidth="1"/>
    <col min="5676" max="5888" width="9.140625" style="59"/>
    <col min="5889" max="5889" width="7.85546875" style="59" customWidth="1"/>
    <col min="5890" max="5890" width="12.140625" style="59" customWidth="1"/>
    <col min="5891" max="5891" width="6.28515625" style="59" customWidth="1"/>
    <col min="5892" max="5892" width="11.5703125" style="59" customWidth="1"/>
    <col min="5893" max="5893" width="7.85546875" style="59" customWidth="1"/>
    <col min="5894" max="5894" width="12.28515625" style="59" customWidth="1"/>
    <col min="5895" max="5895" width="5.28515625" style="59" customWidth="1"/>
    <col min="5896" max="5896" width="12.140625" style="59" bestFit="1" customWidth="1"/>
    <col min="5897" max="5897" width="5.7109375" style="59" customWidth="1"/>
    <col min="5898" max="5898" width="11.85546875" style="59" bestFit="1" customWidth="1"/>
    <col min="5899" max="5899" width="8" style="59" customWidth="1"/>
    <col min="5900" max="5900" width="12.5703125" style="59" customWidth="1"/>
    <col min="5901" max="5901" width="9" style="59" customWidth="1"/>
    <col min="5902" max="5902" width="11.7109375" style="59" bestFit="1" customWidth="1"/>
    <col min="5903" max="5903" width="9.42578125" style="59" customWidth="1"/>
    <col min="5904" max="5904" width="4.140625" style="59" customWidth="1"/>
    <col min="5905" max="5905" width="3.28515625" style="59" bestFit="1" customWidth="1"/>
    <col min="5906" max="5906" width="8.85546875" style="59" customWidth="1"/>
    <col min="5907" max="5907" width="10" style="59" bestFit="1" customWidth="1"/>
    <col min="5908" max="5909" width="9.42578125" style="59" customWidth="1"/>
    <col min="5910" max="5910" width="9.5703125" style="59" customWidth="1"/>
    <col min="5911" max="5911" width="9.85546875" style="59" customWidth="1"/>
    <col min="5912" max="5913" width="9.42578125" style="59" customWidth="1"/>
    <col min="5914" max="5914" width="9.85546875" style="59" customWidth="1"/>
    <col min="5915" max="5916" width="9.28515625" style="59" customWidth="1"/>
    <col min="5917" max="5917" width="9.85546875" style="59" customWidth="1"/>
    <col min="5918" max="5918" width="9.28515625" style="59" customWidth="1"/>
    <col min="5919" max="5919" width="10.42578125" style="59" customWidth="1"/>
    <col min="5920" max="5920" width="5.28515625" style="59" bestFit="1" customWidth="1"/>
    <col min="5921" max="5921" width="9.7109375" style="59" bestFit="1" customWidth="1"/>
    <col min="5922" max="5922" width="11" style="59" bestFit="1" customWidth="1"/>
    <col min="5923" max="5923" width="10.85546875" style="59" bestFit="1" customWidth="1"/>
    <col min="5924" max="5924" width="9.140625" style="59"/>
    <col min="5925" max="5925" width="3.85546875" style="59" bestFit="1" customWidth="1"/>
    <col min="5926" max="5926" width="7.28515625" style="59" bestFit="1" customWidth="1"/>
    <col min="5927" max="5929" width="9.140625" style="59"/>
    <col min="5930" max="5930" width="9.28515625" style="59" customWidth="1"/>
    <col min="5931" max="5931" width="9.28515625" style="59" bestFit="1" customWidth="1"/>
    <col min="5932" max="6144" width="9.140625" style="59"/>
    <col min="6145" max="6145" width="7.85546875" style="59" customWidth="1"/>
    <col min="6146" max="6146" width="12.140625" style="59" customWidth="1"/>
    <col min="6147" max="6147" width="6.28515625" style="59" customWidth="1"/>
    <col min="6148" max="6148" width="11.5703125" style="59" customWidth="1"/>
    <col min="6149" max="6149" width="7.85546875" style="59" customWidth="1"/>
    <col min="6150" max="6150" width="12.28515625" style="59" customWidth="1"/>
    <col min="6151" max="6151" width="5.28515625" style="59" customWidth="1"/>
    <col min="6152" max="6152" width="12.140625" style="59" bestFit="1" customWidth="1"/>
    <col min="6153" max="6153" width="5.7109375" style="59" customWidth="1"/>
    <col min="6154" max="6154" width="11.85546875" style="59" bestFit="1" customWidth="1"/>
    <col min="6155" max="6155" width="8" style="59" customWidth="1"/>
    <col min="6156" max="6156" width="12.5703125" style="59" customWidth="1"/>
    <col min="6157" max="6157" width="9" style="59" customWidth="1"/>
    <col min="6158" max="6158" width="11.7109375" style="59" bestFit="1" customWidth="1"/>
    <col min="6159" max="6159" width="9.42578125" style="59" customWidth="1"/>
    <col min="6160" max="6160" width="4.140625" style="59" customWidth="1"/>
    <col min="6161" max="6161" width="3.28515625" style="59" bestFit="1" customWidth="1"/>
    <col min="6162" max="6162" width="8.85546875" style="59" customWidth="1"/>
    <col min="6163" max="6163" width="10" style="59" bestFit="1" customWidth="1"/>
    <col min="6164" max="6165" width="9.42578125" style="59" customWidth="1"/>
    <col min="6166" max="6166" width="9.5703125" style="59" customWidth="1"/>
    <col min="6167" max="6167" width="9.85546875" style="59" customWidth="1"/>
    <col min="6168" max="6169" width="9.42578125" style="59" customWidth="1"/>
    <col min="6170" max="6170" width="9.85546875" style="59" customWidth="1"/>
    <col min="6171" max="6172" width="9.28515625" style="59" customWidth="1"/>
    <col min="6173" max="6173" width="9.85546875" style="59" customWidth="1"/>
    <col min="6174" max="6174" width="9.28515625" style="59" customWidth="1"/>
    <col min="6175" max="6175" width="10.42578125" style="59" customWidth="1"/>
    <col min="6176" max="6176" width="5.28515625" style="59" bestFit="1" customWidth="1"/>
    <col min="6177" max="6177" width="9.7109375" style="59" bestFit="1" customWidth="1"/>
    <col min="6178" max="6178" width="11" style="59" bestFit="1" customWidth="1"/>
    <col min="6179" max="6179" width="10.85546875" style="59" bestFit="1" customWidth="1"/>
    <col min="6180" max="6180" width="9.140625" style="59"/>
    <col min="6181" max="6181" width="3.85546875" style="59" bestFit="1" customWidth="1"/>
    <col min="6182" max="6182" width="7.28515625" style="59" bestFit="1" customWidth="1"/>
    <col min="6183" max="6185" width="9.140625" style="59"/>
    <col min="6186" max="6186" width="9.28515625" style="59" customWidth="1"/>
    <col min="6187" max="6187" width="9.28515625" style="59" bestFit="1" customWidth="1"/>
    <col min="6188" max="6400" width="9.140625" style="59"/>
    <col min="6401" max="6401" width="7.85546875" style="59" customWidth="1"/>
    <col min="6402" max="6402" width="12.140625" style="59" customWidth="1"/>
    <col min="6403" max="6403" width="6.28515625" style="59" customWidth="1"/>
    <col min="6404" max="6404" width="11.5703125" style="59" customWidth="1"/>
    <col min="6405" max="6405" width="7.85546875" style="59" customWidth="1"/>
    <col min="6406" max="6406" width="12.28515625" style="59" customWidth="1"/>
    <col min="6407" max="6407" width="5.28515625" style="59" customWidth="1"/>
    <col min="6408" max="6408" width="12.140625" style="59" bestFit="1" customWidth="1"/>
    <col min="6409" max="6409" width="5.7109375" style="59" customWidth="1"/>
    <col min="6410" max="6410" width="11.85546875" style="59" bestFit="1" customWidth="1"/>
    <col min="6411" max="6411" width="8" style="59" customWidth="1"/>
    <col min="6412" max="6412" width="12.5703125" style="59" customWidth="1"/>
    <col min="6413" max="6413" width="9" style="59" customWidth="1"/>
    <col min="6414" max="6414" width="11.7109375" style="59" bestFit="1" customWidth="1"/>
    <col min="6415" max="6415" width="9.42578125" style="59" customWidth="1"/>
    <col min="6416" max="6416" width="4.140625" style="59" customWidth="1"/>
    <col min="6417" max="6417" width="3.28515625" style="59" bestFit="1" customWidth="1"/>
    <col min="6418" max="6418" width="8.85546875" style="59" customWidth="1"/>
    <col min="6419" max="6419" width="10" style="59" bestFit="1" customWidth="1"/>
    <col min="6420" max="6421" width="9.42578125" style="59" customWidth="1"/>
    <col min="6422" max="6422" width="9.5703125" style="59" customWidth="1"/>
    <col min="6423" max="6423" width="9.85546875" style="59" customWidth="1"/>
    <col min="6424" max="6425" width="9.42578125" style="59" customWidth="1"/>
    <col min="6426" max="6426" width="9.85546875" style="59" customWidth="1"/>
    <col min="6427" max="6428" width="9.28515625" style="59" customWidth="1"/>
    <col min="6429" max="6429" width="9.85546875" style="59" customWidth="1"/>
    <col min="6430" max="6430" width="9.28515625" style="59" customWidth="1"/>
    <col min="6431" max="6431" width="10.42578125" style="59" customWidth="1"/>
    <col min="6432" max="6432" width="5.28515625" style="59" bestFit="1" customWidth="1"/>
    <col min="6433" max="6433" width="9.7109375" style="59" bestFit="1" customWidth="1"/>
    <col min="6434" max="6434" width="11" style="59" bestFit="1" customWidth="1"/>
    <col min="6435" max="6435" width="10.85546875" style="59" bestFit="1" customWidth="1"/>
    <col min="6436" max="6436" width="9.140625" style="59"/>
    <col min="6437" max="6437" width="3.85546875" style="59" bestFit="1" customWidth="1"/>
    <col min="6438" max="6438" width="7.28515625" style="59" bestFit="1" customWidth="1"/>
    <col min="6439" max="6441" width="9.140625" style="59"/>
    <col min="6442" max="6442" width="9.28515625" style="59" customWidth="1"/>
    <col min="6443" max="6443" width="9.28515625" style="59" bestFit="1" customWidth="1"/>
    <col min="6444" max="6656" width="9.140625" style="59"/>
    <col min="6657" max="6657" width="7.85546875" style="59" customWidth="1"/>
    <col min="6658" max="6658" width="12.140625" style="59" customWidth="1"/>
    <col min="6659" max="6659" width="6.28515625" style="59" customWidth="1"/>
    <col min="6660" max="6660" width="11.5703125" style="59" customWidth="1"/>
    <col min="6661" max="6661" width="7.85546875" style="59" customWidth="1"/>
    <col min="6662" max="6662" width="12.28515625" style="59" customWidth="1"/>
    <col min="6663" max="6663" width="5.28515625" style="59" customWidth="1"/>
    <col min="6664" max="6664" width="12.140625" style="59" bestFit="1" customWidth="1"/>
    <col min="6665" max="6665" width="5.7109375" style="59" customWidth="1"/>
    <col min="6666" max="6666" width="11.85546875" style="59" bestFit="1" customWidth="1"/>
    <col min="6667" max="6667" width="8" style="59" customWidth="1"/>
    <col min="6668" max="6668" width="12.5703125" style="59" customWidth="1"/>
    <col min="6669" max="6669" width="9" style="59" customWidth="1"/>
    <col min="6670" max="6670" width="11.7109375" style="59" bestFit="1" customWidth="1"/>
    <col min="6671" max="6671" width="9.42578125" style="59" customWidth="1"/>
    <col min="6672" max="6672" width="4.140625" style="59" customWidth="1"/>
    <col min="6673" max="6673" width="3.28515625" style="59" bestFit="1" customWidth="1"/>
    <col min="6674" max="6674" width="8.85546875" style="59" customWidth="1"/>
    <col min="6675" max="6675" width="10" style="59" bestFit="1" customWidth="1"/>
    <col min="6676" max="6677" width="9.42578125" style="59" customWidth="1"/>
    <col min="6678" max="6678" width="9.5703125" style="59" customWidth="1"/>
    <col min="6679" max="6679" width="9.85546875" style="59" customWidth="1"/>
    <col min="6680" max="6681" width="9.42578125" style="59" customWidth="1"/>
    <col min="6682" max="6682" width="9.85546875" style="59" customWidth="1"/>
    <col min="6683" max="6684" width="9.28515625" style="59" customWidth="1"/>
    <col min="6685" max="6685" width="9.85546875" style="59" customWidth="1"/>
    <col min="6686" max="6686" width="9.28515625" style="59" customWidth="1"/>
    <col min="6687" max="6687" width="10.42578125" style="59" customWidth="1"/>
    <col min="6688" max="6688" width="5.28515625" style="59" bestFit="1" customWidth="1"/>
    <col min="6689" max="6689" width="9.7109375" style="59" bestFit="1" customWidth="1"/>
    <col min="6690" max="6690" width="11" style="59" bestFit="1" customWidth="1"/>
    <col min="6691" max="6691" width="10.85546875" style="59" bestFit="1" customWidth="1"/>
    <col min="6692" max="6692" width="9.140625" style="59"/>
    <col min="6693" max="6693" width="3.85546875" style="59" bestFit="1" customWidth="1"/>
    <col min="6694" max="6694" width="7.28515625" style="59" bestFit="1" customWidth="1"/>
    <col min="6695" max="6697" width="9.140625" style="59"/>
    <col min="6698" max="6698" width="9.28515625" style="59" customWidth="1"/>
    <col min="6699" max="6699" width="9.28515625" style="59" bestFit="1" customWidth="1"/>
    <col min="6700" max="6912" width="9.140625" style="59"/>
    <col min="6913" max="6913" width="7.85546875" style="59" customWidth="1"/>
    <col min="6914" max="6914" width="12.140625" style="59" customWidth="1"/>
    <col min="6915" max="6915" width="6.28515625" style="59" customWidth="1"/>
    <col min="6916" max="6916" width="11.5703125" style="59" customWidth="1"/>
    <col min="6917" max="6917" width="7.85546875" style="59" customWidth="1"/>
    <col min="6918" max="6918" width="12.28515625" style="59" customWidth="1"/>
    <col min="6919" max="6919" width="5.28515625" style="59" customWidth="1"/>
    <col min="6920" max="6920" width="12.140625" style="59" bestFit="1" customWidth="1"/>
    <col min="6921" max="6921" width="5.7109375" style="59" customWidth="1"/>
    <col min="6922" max="6922" width="11.85546875" style="59" bestFit="1" customWidth="1"/>
    <col min="6923" max="6923" width="8" style="59" customWidth="1"/>
    <col min="6924" max="6924" width="12.5703125" style="59" customWidth="1"/>
    <col min="6925" max="6925" width="9" style="59" customWidth="1"/>
    <col min="6926" max="6926" width="11.7109375" style="59" bestFit="1" customWidth="1"/>
    <col min="6927" max="6927" width="9.42578125" style="59" customWidth="1"/>
    <col min="6928" max="6928" width="4.140625" style="59" customWidth="1"/>
    <col min="6929" max="6929" width="3.28515625" style="59" bestFit="1" customWidth="1"/>
    <col min="6930" max="6930" width="8.85546875" style="59" customWidth="1"/>
    <col min="6931" max="6931" width="10" style="59" bestFit="1" customWidth="1"/>
    <col min="6932" max="6933" width="9.42578125" style="59" customWidth="1"/>
    <col min="6934" max="6934" width="9.5703125" style="59" customWidth="1"/>
    <col min="6935" max="6935" width="9.85546875" style="59" customWidth="1"/>
    <col min="6936" max="6937" width="9.42578125" style="59" customWidth="1"/>
    <col min="6938" max="6938" width="9.85546875" style="59" customWidth="1"/>
    <col min="6939" max="6940" width="9.28515625" style="59" customWidth="1"/>
    <col min="6941" max="6941" width="9.85546875" style="59" customWidth="1"/>
    <col min="6942" max="6942" width="9.28515625" style="59" customWidth="1"/>
    <col min="6943" max="6943" width="10.42578125" style="59" customWidth="1"/>
    <col min="6944" max="6944" width="5.28515625" style="59" bestFit="1" customWidth="1"/>
    <col min="6945" max="6945" width="9.7109375" style="59" bestFit="1" customWidth="1"/>
    <col min="6946" max="6946" width="11" style="59" bestFit="1" customWidth="1"/>
    <col min="6947" max="6947" width="10.85546875" style="59" bestFit="1" customWidth="1"/>
    <col min="6948" max="6948" width="9.140625" style="59"/>
    <col min="6949" max="6949" width="3.85546875" style="59" bestFit="1" customWidth="1"/>
    <col min="6950" max="6950" width="7.28515625" style="59" bestFit="1" customWidth="1"/>
    <col min="6951" max="6953" width="9.140625" style="59"/>
    <col min="6954" max="6954" width="9.28515625" style="59" customWidth="1"/>
    <col min="6955" max="6955" width="9.28515625" style="59" bestFit="1" customWidth="1"/>
    <col min="6956" max="7168" width="9.140625" style="59"/>
    <col min="7169" max="7169" width="7.85546875" style="59" customWidth="1"/>
    <col min="7170" max="7170" width="12.140625" style="59" customWidth="1"/>
    <col min="7171" max="7171" width="6.28515625" style="59" customWidth="1"/>
    <col min="7172" max="7172" width="11.5703125" style="59" customWidth="1"/>
    <col min="7173" max="7173" width="7.85546875" style="59" customWidth="1"/>
    <col min="7174" max="7174" width="12.28515625" style="59" customWidth="1"/>
    <col min="7175" max="7175" width="5.28515625" style="59" customWidth="1"/>
    <col min="7176" max="7176" width="12.140625" style="59" bestFit="1" customWidth="1"/>
    <col min="7177" max="7177" width="5.7109375" style="59" customWidth="1"/>
    <col min="7178" max="7178" width="11.85546875" style="59" bestFit="1" customWidth="1"/>
    <col min="7179" max="7179" width="8" style="59" customWidth="1"/>
    <col min="7180" max="7180" width="12.5703125" style="59" customWidth="1"/>
    <col min="7181" max="7181" width="9" style="59" customWidth="1"/>
    <col min="7182" max="7182" width="11.7109375" style="59" bestFit="1" customWidth="1"/>
    <col min="7183" max="7183" width="9.42578125" style="59" customWidth="1"/>
    <col min="7184" max="7184" width="4.140625" style="59" customWidth="1"/>
    <col min="7185" max="7185" width="3.28515625" style="59" bestFit="1" customWidth="1"/>
    <col min="7186" max="7186" width="8.85546875" style="59" customWidth="1"/>
    <col min="7187" max="7187" width="10" style="59" bestFit="1" customWidth="1"/>
    <col min="7188" max="7189" width="9.42578125" style="59" customWidth="1"/>
    <col min="7190" max="7190" width="9.5703125" style="59" customWidth="1"/>
    <col min="7191" max="7191" width="9.85546875" style="59" customWidth="1"/>
    <col min="7192" max="7193" width="9.42578125" style="59" customWidth="1"/>
    <col min="7194" max="7194" width="9.85546875" style="59" customWidth="1"/>
    <col min="7195" max="7196" width="9.28515625" style="59" customWidth="1"/>
    <col min="7197" max="7197" width="9.85546875" style="59" customWidth="1"/>
    <col min="7198" max="7198" width="9.28515625" style="59" customWidth="1"/>
    <col min="7199" max="7199" width="10.42578125" style="59" customWidth="1"/>
    <col min="7200" max="7200" width="5.28515625" style="59" bestFit="1" customWidth="1"/>
    <col min="7201" max="7201" width="9.7109375" style="59" bestFit="1" customWidth="1"/>
    <col min="7202" max="7202" width="11" style="59" bestFit="1" customWidth="1"/>
    <col min="7203" max="7203" width="10.85546875" style="59" bestFit="1" customWidth="1"/>
    <col min="7204" max="7204" width="9.140625" style="59"/>
    <col min="7205" max="7205" width="3.85546875" style="59" bestFit="1" customWidth="1"/>
    <col min="7206" max="7206" width="7.28515625" style="59" bestFit="1" customWidth="1"/>
    <col min="7207" max="7209" width="9.140625" style="59"/>
    <col min="7210" max="7210" width="9.28515625" style="59" customWidth="1"/>
    <col min="7211" max="7211" width="9.28515625" style="59" bestFit="1" customWidth="1"/>
    <col min="7212" max="7424" width="9.140625" style="59"/>
    <col min="7425" max="7425" width="7.85546875" style="59" customWidth="1"/>
    <col min="7426" max="7426" width="12.140625" style="59" customWidth="1"/>
    <col min="7427" max="7427" width="6.28515625" style="59" customWidth="1"/>
    <col min="7428" max="7428" width="11.5703125" style="59" customWidth="1"/>
    <col min="7429" max="7429" width="7.85546875" style="59" customWidth="1"/>
    <col min="7430" max="7430" width="12.28515625" style="59" customWidth="1"/>
    <col min="7431" max="7431" width="5.28515625" style="59" customWidth="1"/>
    <col min="7432" max="7432" width="12.140625" style="59" bestFit="1" customWidth="1"/>
    <col min="7433" max="7433" width="5.7109375" style="59" customWidth="1"/>
    <col min="7434" max="7434" width="11.85546875" style="59" bestFit="1" customWidth="1"/>
    <col min="7435" max="7435" width="8" style="59" customWidth="1"/>
    <col min="7436" max="7436" width="12.5703125" style="59" customWidth="1"/>
    <col min="7437" max="7437" width="9" style="59" customWidth="1"/>
    <col min="7438" max="7438" width="11.7109375" style="59" bestFit="1" customWidth="1"/>
    <col min="7439" max="7439" width="9.42578125" style="59" customWidth="1"/>
    <col min="7440" max="7440" width="4.140625" style="59" customWidth="1"/>
    <col min="7441" max="7441" width="3.28515625" style="59" bestFit="1" customWidth="1"/>
    <col min="7442" max="7442" width="8.85546875" style="59" customWidth="1"/>
    <col min="7443" max="7443" width="10" style="59" bestFit="1" customWidth="1"/>
    <col min="7444" max="7445" width="9.42578125" style="59" customWidth="1"/>
    <col min="7446" max="7446" width="9.5703125" style="59" customWidth="1"/>
    <col min="7447" max="7447" width="9.85546875" style="59" customWidth="1"/>
    <col min="7448" max="7449" width="9.42578125" style="59" customWidth="1"/>
    <col min="7450" max="7450" width="9.85546875" style="59" customWidth="1"/>
    <col min="7451" max="7452" width="9.28515625" style="59" customWidth="1"/>
    <col min="7453" max="7453" width="9.85546875" style="59" customWidth="1"/>
    <col min="7454" max="7454" width="9.28515625" style="59" customWidth="1"/>
    <col min="7455" max="7455" width="10.42578125" style="59" customWidth="1"/>
    <col min="7456" max="7456" width="5.28515625" style="59" bestFit="1" customWidth="1"/>
    <col min="7457" max="7457" width="9.7109375" style="59" bestFit="1" customWidth="1"/>
    <col min="7458" max="7458" width="11" style="59" bestFit="1" customWidth="1"/>
    <col min="7459" max="7459" width="10.85546875" style="59" bestFit="1" customWidth="1"/>
    <col min="7460" max="7460" width="9.140625" style="59"/>
    <col min="7461" max="7461" width="3.85546875" style="59" bestFit="1" customWidth="1"/>
    <col min="7462" max="7462" width="7.28515625" style="59" bestFit="1" customWidth="1"/>
    <col min="7463" max="7465" width="9.140625" style="59"/>
    <col min="7466" max="7466" width="9.28515625" style="59" customWidth="1"/>
    <col min="7467" max="7467" width="9.28515625" style="59" bestFit="1" customWidth="1"/>
    <col min="7468" max="7680" width="9.140625" style="59"/>
    <col min="7681" max="7681" width="7.85546875" style="59" customWidth="1"/>
    <col min="7682" max="7682" width="12.140625" style="59" customWidth="1"/>
    <col min="7683" max="7683" width="6.28515625" style="59" customWidth="1"/>
    <col min="7684" max="7684" width="11.5703125" style="59" customWidth="1"/>
    <col min="7685" max="7685" width="7.85546875" style="59" customWidth="1"/>
    <col min="7686" max="7686" width="12.28515625" style="59" customWidth="1"/>
    <col min="7687" max="7687" width="5.28515625" style="59" customWidth="1"/>
    <col min="7688" max="7688" width="12.140625" style="59" bestFit="1" customWidth="1"/>
    <col min="7689" max="7689" width="5.7109375" style="59" customWidth="1"/>
    <col min="7690" max="7690" width="11.85546875" style="59" bestFit="1" customWidth="1"/>
    <col min="7691" max="7691" width="8" style="59" customWidth="1"/>
    <col min="7692" max="7692" width="12.5703125" style="59" customWidth="1"/>
    <col min="7693" max="7693" width="9" style="59" customWidth="1"/>
    <col min="7694" max="7694" width="11.7109375" style="59" bestFit="1" customWidth="1"/>
    <col min="7695" max="7695" width="9.42578125" style="59" customWidth="1"/>
    <col min="7696" max="7696" width="4.140625" style="59" customWidth="1"/>
    <col min="7697" max="7697" width="3.28515625" style="59" bestFit="1" customWidth="1"/>
    <col min="7698" max="7698" width="8.85546875" style="59" customWidth="1"/>
    <col min="7699" max="7699" width="10" style="59" bestFit="1" customWidth="1"/>
    <col min="7700" max="7701" width="9.42578125" style="59" customWidth="1"/>
    <col min="7702" max="7702" width="9.5703125" style="59" customWidth="1"/>
    <col min="7703" max="7703" width="9.85546875" style="59" customWidth="1"/>
    <col min="7704" max="7705" width="9.42578125" style="59" customWidth="1"/>
    <col min="7706" max="7706" width="9.85546875" style="59" customWidth="1"/>
    <col min="7707" max="7708" width="9.28515625" style="59" customWidth="1"/>
    <col min="7709" max="7709" width="9.85546875" style="59" customWidth="1"/>
    <col min="7710" max="7710" width="9.28515625" style="59" customWidth="1"/>
    <col min="7711" max="7711" width="10.42578125" style="59" customWidth="1"/>
    <col min="7712" max="7712" width="5.28515625" style="59" bestFit="1" customWidth="1"/>
    <col min="7713" max="7713" width="9.7109375" style="59" bestFit="1" customWidth="1"/>
    <col min="7714" max="7714" width="11" style="59" bestFit="1" customWidth="1"/>
    <col min="7715" max="7715" width="10.85546875" style="59" bestFit="1" customWidth="1"/>
    <col min="7716" max="7716" width="9.140625" style="59"/>
    <col min="7717" max="7717" width="3.85546875" style="59" bestFit="1" customWidth="1"/>
    <col min="7718" max="7718" width="7.28515625" style="59" bestFit="1" customWidth="1"/>
    <col min="7719" max="7721" width="9.140625" style="59"/>
    <col min="7722" max="7722" width="9.28515625" style="59" customWidth="1"/>
    <col min="7723" max="7723" width="9.28515625" style="59" bestFit="1" customWidth="1"/>
    <col min="7724" max="7936" width="9.140625" style="59"/>
    <col min="7937" max="7937" width="7.85546875" style="59" customWidth="1"/>
    <col min="7938" max="7938" width="12.140625" style="59" customWidth="1"/>
    <col min="7939" max="7939" width="6.28515625" style="59" customWidth="1"/>
    <col min="7940" max="7940" width="11.5703125" style="59" customWidth="1"/>
    <col min="7941" max="7941" width="7.85546875" style="59" customWidth="1"/>
    <col min="7942" max="7942" width="12.28515625" style="59" customWidth="1"/>
    <col min="7943" max="7943" width="5.28515625" style="59" customWidth="1"/>
    <col min="7944" max="7944" width="12.140625" style="59" bestFit="1" customWidth="1"/>
    <col min="7945" max="7945" width="5.7109375" style="59" customWidth="1"/>
    <col min="7946" max="7946" width="11.85546875" style="59" bestFit="1" customWidth="1"/>
    <col min="7947" max="7947" width="8" style="59" customWidth="1"/>
    <col min="7948" max="7948" width="12.5703125" style="59" customWidth="1"/>
    <col min="7949" max="7949" width="9" style="59" customWidth="1"/>
    <col min="7950" max="7950" width="11.7109375" style="59" bestFit="1" customWidth="1"/>
    <col min="7951" max="7951" width="9.42578125" style="59" customWidth="1"/>
    <col min="7952" max="7952" width="4.140625" style="59" customWidth="1"/>
    <col min="7953" max="7953" width="3.28515625" style="59" bestFit="1" customWidth="1"/>
    <col min="7954" max="7954" width="8.85546875" style="59" customWidth="1"/>
    <col min="7955" max="7955" width="10" style="59" bestFit="1" customWidth="1"/>
    <col min="7956" max="7957" width="9.42578125" style="59" customWidth="1"/>
    <col min="7958" max="7958" width="9.5703125" style="59" customWidth="1"/>
    <col min="7959" max="7959" width="9.85546875" style="59" customWidth="1"/>
    <col min="7960" max="7961" width="9.42578125" style="59" customWidth="1"/>
    <col min="7962" max="7962" width="9.85546875" style="59" customWidth="1"/>
    <col min="7963" max="7964" width="9.28515625" style="59" customWidth="1"/>
    <col min="7965" max="7965" width="9.85546875" style="59" customWidth="1"/>
    <col min="7966" max="7966" width="9.28515625" style="59" customWidth="1"/>
    <col min="7967" max="7967" width="10.42578125" style="59" customWidth="1"/>
    <col min="7968" max="7968" width="5.28515625" style="59" bestFit="1" customWidth="1"/>
    <col min="7969" max="7969" width="9.7109375" style="59" bestFit="1" customWidth="1"/>
    <col min="7970" max="7970" width="11" style="59" bestFit="1" customWidth="1"/>
    <col min="7971" max="7971" width="10.85546875" style="59" bestFit="1" customWidth="1"/>
    <col min="7972" max="7972" width="9.140625" style="59"/>
    <col min="7973" max="7973" width="3.85546875" style="59" bestFit="1" customWidth="1"/>
    <col min="7974" max="7974" width="7.28515625" style="59" bestFit="1" customWidth="1"/>
    <col min="7975" max="7977" width="9.140625" style="59"/>
    <col min="7978" max="7978" width="9.28515625" style="59" customWidth="1"/>
    <col min="7979" max="7979" width="9.28515625" style="59" bestFit="1" customWidth="1"/>
    <col min="7980" max="8192" width="9.140625" style="59"/>
    <col min="8193" max="8193" width="7.85546875" style="59" customWidth="1"/>
    <col min="8194" max="8194" width="12.140625" style="59" customWidth="1"/>
    <col min="8195" max="8195" width="6.28515625" style="59" customWidth="1"/>
    <col min="8196" max="8196" width="11.5703125" style="59" customWidth="1"/>
    <col min="8197" max="8197" width="7.85546875" style="59" customWidth="1"/>
    <col min="8198" max="8198" width="12.28515625" style="59" customWidth="1"/>
    <col min="8199" max="8199" width="5.28515625" style="59" customWidth="1"/>
    <col min="8200" max="8200" width="12.140625" style="59" bestFit="1" customWidth="1"/>
    <col min="8201" max="8201" width="5.7109375" style="59" customWidth="1"/>
    <col min="8202" max="8202" width="11.85546875" style="59" bestFit="1" customWidth="1"/>
    <col min="8203" max="8203" width="8" style="59" customWidth="1"/>
    <col min="8204" max="8204" width="12.5703125" style="59" customWidth="1"/>
    <col min="8205" max="8205" width="9" style="59" customWidth="1"/>
    <col min="8206" max="8206" width="11.7109375" style="59" bestFit="1" customWidth="1"/>
    <col min="8207" max="8207" width="9.42578125" style="59" customWidth="1"/>
    <col min="8208" max="8208" width="4.140625" style="59" customWidth="1"/>
    <col min="8209" max="8209" width="3.28515625" style="59" bestFit="1" customWidth="1"/>
    <col min="8210" max="8210" width="8.85546875" style="59" customWidth="1"/>
    <col min="8211" max="8211" width="10" style="59" bestFit="1" customWidth="1"/>
    <col min="8212" max="8213" width="9.42578125" style="59" customWidth="1"/>
    <col min="8214" max="8214" width="9.5703125" style="59" customWidth="1"/>
    <col min="8215" max="8215" width="9.85546875" style="59" customWidth="1"/>
    <col min="8216" max="8217" width="9.42578125" style="59" customWidth="1"/>
    <col min="8218" max="8218" width="9.85546875" style="59" customWidth="1"/>
    <col min="8219" max="8220" width="9.28515625" style="59" customWidth="1"/>
    <col min="8221" max="8221" width="9.85546875" style="59" customWidth="1"/>
    <col min="8222" max="8222" width="9.28515625" style="59" customWidth="1"/>
    <col min="8223" max="8223" width="10.42578125" style="59" customWidth="1"/>
    <col min="8224" max="8224" width="5.28515625" style="59" bestFit="1" customWidth="1"/>
    <col min="8225" max="8225" width="9.7109375" style="59" bestFit="1" customWidth="1"/>
    <col min="8226" max="8226" width="11" style="59" bestFit="1" customWidth="1"/>
    <col min="8227" max="8227" width="10.85546875" style="59" bestFit="1" customWidth="1"/>
    <col min="8228" max="8228" width="9.140625" style="59"/>
    <col min="8229" max="8229" width="3.85546875" style="59" bestFit="1" customWidth="1"/>
    <col min="8230" max="8230" width="7.28515625" style="59" bestFit="1" customWidth="1"/>
    <col min="8231" max="8233" width="9.140625" style="59"/>
    <col min="8234" max="8234" width="9.28515625" style="59" customWidth="1"/>
    <col min="8235" max="8235" width="9.28515625" style="59" bestFit="1" customWidth="1"/>
    <col min="8236" max="8448" width="9.140625" style="59"/>
    <col min="8449" max="8449" width="7.85546875" style="59" customWidth="1"/>
    <col min="8450" max="8450" width="12.140625" style="59" customWidth="1"/>
    <col min="8451" max="8451" width="6.28515625" style="59" customWidth="1"/>
    <col min="8452" max="8452" width="11.5703125" style="59" customWidth="1"/>
    <col min="8453" max="8453" width="7.85546875" style="59" customWidth="1"/>
    <col min="8454" max="8454" width="12.28515625" style="59" customWidth="1"/>
    <col min="8455" max="8455" width="5.28515625" style="59" customWidth="1"/>
    <col min="8456" max="8456" width="12.140625" style="59" bestFit="1" customWidth="1"/>
    <col min="8457" max="8457" width="5.7109375" style="59" customWidth="1"/>
    <col min="8458" max="8458" width="11.85546875" style="59" bestFit="1" customWidth="1"/>
    <col min="8459" max="8459" width="8" style="59" customWidth="1"/>
    <col min="8460" max="8460" width="12.5703125" style="59" customWidth="1"/>
    <col min="8461" max="8461" width="9" style="59" customWidth="1"/>
    <col min="8462" max="8462" width="11.7109375" style="59" bestFit="1" customWidth="1"/>
    <col min="8463" max="8463" width="9.42578125" style="59" customWidth="1"/>
    <col min="8464" max="8464" width="4.140625" style="59" customWidth="1"/>
    <col min="8465" max="8465" width="3.28515625" style="59" bestFit="1" customWidth="1"/>
    <col min="8466" max="8466" width="8.85546875" style="59" customWidth="1"/>
    <col min="8467" max="8467" width="10" style="59" bestFit="1" customWidth="1"/>
    <col min="8468" max="8469" width="9.42578125" style="59" customWidth="1"/>
    <col min="8470" max="8470" width="9.5703125" style="59" customWidth="1"/>
    <col min="8471" max="8471" width="9.85546875" style="59" customWidth="1"/>
    <col min="8472" max="8473" width="9.42578125" style="59" customWidth="1"/>
    <col min="8474" max="8474" width="9.85546875" style="59" customWidth="1"/>
    <col min="8475" max="8476" width="9.28515625" style="59" customWidth="1"/>
    <col min="8477" max="8477" width="9.85546875" style="59" customWidth="1"/>
    <col min="8478" max="8478" width="9.28515625" style="59" customWidth="1"/>
    <col min="8479" max="8479" width="10.42578125" style="59" customWidth="1"/>
    <col min="8480" max="8480" width="5.28515625" style="59" bestFit="1" customWidth="1"/>
    <col min="8481" max="8481" width="9.7109375" style="59" bestFit="1" customWidth="1"/>
    <col min="8482" max="8482" width="11" style="59" bestFit="1" customWidth="1"/>
    <col min="8483" max="8483" width="10.85546875" style="59" bestFit="1" customWidth="1"/>
    <col min="8484" max="8484" width="9.140625" style="59"/>
    <col min="8485" max="8485" width="3.85546875" style="59" bestFit="1" customWidth="1"/>
    <col min="8486" max="8486" width="7.28515625" style="59" bestFit="1" customWidth="1"/>
    <col min="8487" max="8489" width="9.140625" style="59"/>
    <col min="8490" max="8490" width="9.28515625" style="59" customWidth="1"/>
    <col min="8491" max="8491" width="9.28515625" style="59" bestFit="1" customWidth="1"/>
    <col min="8492" max="8704" width="9.140625" style="59"/>
    <col min="8705" max="8705" width="7.85546875" style="59" customWidth="1"/>
    <col min="8706" max="8706" width="12.140625" style="59" customWidth="1"/>
    <col min="8707" max="8707" width="6.28515625" style="59" customWidth="1"/>
    <col min="8708" max="8708" width="11.5703125" style="59" customWidth="1"/>
    <col min="8709" max="8709" width="7.85546875" style="59" customWidth="1"/>
    <col min="8710" max="8710" width="12.28515625" style="59" customWidth="1"/>
    <col min="8711" max="8711" width="5.28515625" style="59" customWidth="1"/>
    <col min="8712" max="8712" width="12.140625" style="59" bestFit="1" customWidth="1"/>
    <col min="8713" max="8713" width="5.7109375" style="59" customWidth="1"/>
    <col min="8714" max="8714" width="11.85546875" style="59" bestFit="1" customWidth="1"/>
    <col min="8715" max="8715" width="8" style="59" customWidth="1"/>
    <col min="8716" max="8716" width="12.5703125" style="59" customWidth="1"/>
    <col min="8717" max="8717" width="9" style="59" customWidth="1"/>
    <col min="8718" max="8718" width="11.7109375" style="59" bestFit="1" customWidth="1"/>
    <col min="8719" max="8719" width="9.42578125" style="59" customWidth="1"/>
    <col min="8720" max="8720" width="4.140625" style="59" customWidth="1"/>
    <col min="8721" max="8721" width="3.28515625" style="59" bestFit="1" customWidth="1"/>
    <col min="8722" max="8722" width="8.85546875" style="59" customWidth="1"/>
    <col min="8723" max="8723" width="10" style="59" bestFit="1" customWidth="1"/>
    <col min="8724" max="8725" width="9.42578125" style="59" customWidth="1"/>
    <col min="8726" max="8726" width="9.5703125" style="59" customWidth="1"/>
    <col min="8727" max="8727" width="9.85546875" style="59" customWidth="1"/>
    <col min="8728" max="8729" width="9.42578125" style="59" customWidth="1"/>
    <col min="8730" max="8730" width="9.85546875" style="59" customWidth="1"/>
    <col min="8731" max="8732" width="9.28515625" style="59" customWidth="1"/>
    <col min="8733" max="8733" width="9.85546875" style="59" customWidth="1"/>
    <col min="8734" max="8734" width="9.28515625" style="59" customWidth="1"/>
    <col min="8735" max="8735" width="10.42578125" style="59" customWidth="1"/>
    <col min="8736" max="8736" width="5.28515625" style="59" bestFit="1" customWidth="1"/>
    <col min="8737" max="8737" width="9.7109375" style="59" bestFit="1" customWidth="1"/>
    <col min="8738" max="8738" width="11" style="59" bestFit="1" customWidth="1"/>
    <col min="8739" max="8739" width="10.85546875" style="59" bestFit="1" customWidth="1"/>
    <col min="8740" max="8740" width="9.140625" style="59"/>
    <col min="8741" max="8741" width="3.85546875" style="59" bestFit="1" customWidth="1"/>
    <col min="8742" max="8742" width="7.28515625" style="59" bestFit="1" customWidth="1"/>
    <col min="8743" max="8745" width="9.140625" style="59"/>
    <col min="8746" max="8746" width="9.28515625" style="59" customWidth="1"/>
    <col min="8747" max="8747" width="9.28515625" style="59" bestFit="1" customWidth="1"/>
    <col min="8748" max="8960" width="9.140625" style="59"/>
    <col min="8961" max="8961" width="7.85546875" style="59" customWidth="1"/>
    <col min="8962" max="8962" width="12.140625" style="59" customWidth="1"/>
    <col min="8963" max="8963" width="6.28515625" style="59" customWidth="1"/>
    <col min="8964" max="8964" width="11.5703125" style="59" customWidth="1"/>
    <col min="8965" max="8965" width="7.85546875" style="59" customWidth="1"/>
    <col min="8966" max="8966" width="12.28515625" style="59" customWidth="1"/>
    <col min="8967" max="8967" width="5.28515625" style="59" customWidth="1"/>
    <col min="8968" max="8968" width="12.140625" style="59" bestFit="1" customWidth="1"/>
    <col min="8969" max="8969" width="5.7109375" style="59" customWidth="1"/>
    <col min="8970" max="8970" width="11.85546875" style="59" bestFit="1" customWidth="1"/>
    <col min="8971" max="8971" width="8" style="59" customWidth="1"/>
    <col min="8972" max="8972" width="12.5703125" style="59" customWidth="1"/>
    <col min="8973" max="8973" width="9" style="59" customWidth="1"/>
    <col min="8974" max="8974" width="11.7109375" style="59" bestFit="1" customWidth="1"/>
    <col min="8975" max="8975" width="9.42578125" style="59" customWidth="1"/>
    <col min="8976" max="8976" width="4.140625" style="59" customWidth="1"/>
    <col min="8977" max="8977" width="3.28515625" style="59" bestFit="1" customWidth="1"/>
    <col min="8978" max="8978" width="8.85546875" style="59" customWidth="1"/>
    <col min="8979" max="8979" width="10" style="59" bestFit="1" customWidth="1"/>
    <col min="8980" max="8981" width="9.42578125" style="59" customWidth="1"/>
    <col min="8982" max="8982" width="9.5703125" style="59" customWidth="1"/>
    <col min="8983" max="8983" width="9.85546875" style="59" customWidth="1"/>
    <col min="8984" max="8985" width="9.42578125" style="59" customWidth="1"/>
    <col min="8986" max="8986" width="9.85546875" style="59" customWidth="1"/>
    <col min="8987" max="8988" width="9.28515625" style="59" customWidth="1"/>
    <col min="8989" max="8989" width="9.85546875" style="59" customWidth="1"/>
    <col min="8990" max="8990" width="9.28515625" style="59" customWidth="1"/>
    <col min="8991" max="8991" width="10.42578125" style="59" customWidth="1"/>
    <col min="8992" max="8992" width="5.28515625" style="59" bestFit="1" customWidth="1"/>
    <col min="8993" max="8993" width="9.7109375" style="59" bestFit="1" customWidth="1"/>
    <col min="8994" max="8994" width="11" style="59" bestFit="1" customWidth="1"/>
    <col min="8995" max="8995" width="10.85546875" style="59" bestFit="1" customWidth="1"/>
    <col min="8996" max="8996" width="9.140625" style="59"/>
    <col min="8997" max="8997" width="3.85546875" style="59" bestFit="1" customWidth="1"/>
    <col min="8998" max="8998" width="7.28515625" style="59" bestFit="1" customWidth="1"/>
    <col min="8999" max="9001" width="9.140625" style="59"/>
    <col min="9002" max="9002" width="9.28515625" style="59" customWidth="1"/>
    <col min="9003" max="9003" width="9.28515625" style="59" bestFit="1" customWidth="1"/>
    <col min="9004" max="9216" width="9.140625" style="59"/>
    <col min="9217" max="9217" width="7.85546875" style="59" customWidth="1"/>
    <col min="9218" max="9218" width="12.140625" style="59" customWidth="1"/>
    <col min="9219" max="9219" width="6.28515625" style="59" customWidth="1"/>
    <col min="9220" max="9220" width="11.5703125" style="59" customWidth="1"/>
    <col min="9221" max="9221" width="7.85546875" style="59" customWidth="1"/>
    <col min="9222" max="9222" width="12.28515625" style="59" customWidth="1"/>
    <col min="9223" max="9223" width="5.28515625" style="59" customWidth="1"/>
    <col min="9224" max="9224" width="12.140625" style="59" bestFit="1" customWidth="1"/>
    <col min="9225" max="9225" width="5.7109375" style="59" customWidth="1"/>
    <col min="9226" max="9226" width="11.85546875" style="59" bestFit="1" customWidth="1"/>
    <col min="9227" max="9227" width="8" style="59" customWidth="1"/>
    <col min="9228" max="9228" width="12.5703125" style="59" customWidth="1"/>
    <col min="9229" max="9229" width="9" style="59" customWidth="1"/>
    <col min="9230" max="9230" width="11.7109375" style="59" bestFit="1" customWidth="1"/>
    <col min="9231" max="9231" width="9.42578125" style="59" customWidth="1"/>
    <col min="9232" max="9232" width="4.140625" style="59" customWidth="1"/>
    <col min="9233" max="9233" width="3.28515625" style="59" bestFit="1" customWidth="1"/>
    <col min="9234" max="9234" width="8.85546875" style="59" customWidth="1"/>
    <col min="9235" max="9235" width="10" style="59" bestFit="1" customWidth="1"/>
    <col min="9236" max="9237" width="9.42578125" style="59" customWidth="1"/>
    <col min="9238" max="9238" width="9.5703125" style="59" customWidth="1"/>
    <col min="9239" max="9239" width="9.85546875" style="59" customWidth="1"/>
    <col min="9240" max="9241" width="9.42578125" style="59" customWidth="1"/>
    <col min="9242" max="9242" width="9.85546875" style="59" customWidth="1"/>
    <col min="9243" max="9244" width="9.28515625" style="59" customWidth="1"/>
    <col min="9245" max="9245" width="9.85546875" style="59" customWidth="1"/>
    <col min="9246" max="9246" width="9.28515625" style="59" customWidth="1"/>
    <col min="9247" max="9247" width="10.42578125" style="59" customWidth="1"/>
    <col min="9248" max="9248" width="5.28515625" style="59" bestFit="1" customWidth="1"/>
    <col min="9249" max="9249" width="9.7109375" style="59" bestFit="1" customWidth="1"/>
    <col min="9250" max="9250" width="11" style="59" bestFit="1" customWidth="1"/>
    <col min="9251" max="9251" width="10.85546875" style="59" bestFit="1" customWidth="1"/>
    <col min="9252" max="9252" width="9.140625" style="59"/>
    <col min="9253" max="9253" width="3.85546875" style="59" bestFit="1" customWidth="1"/>
    <col min="9254" max="9254" width="7.28515625" style="59" bestFit="1" customWidth="1"/>
    <col min="9255" max="9257" width="9.140625" style="59"/>
    <col min="9258" max="9258" width="9.28515625" style="59" customWidth="1"/>
    <col min="9259" max="9259" width="9.28515625" style="59" bestFit="1" customWidth="1"/>
    <col min="9260" max="9472" width="9.140625" style="59"/>
    <col min="9473" max="9473" width="7.85546875" style="59" customWidth="1"/>
    <col min="9474" max="9474" width="12.140625" style="59" customWidth="1"/>
    <col min="9475" max="9475" width="6.28515625" style="59" customWidth="1"/>
    <col min="9476" max="9476" width="11.5703125" style="59" customWidth="1"/>
    <col min="9477" max="9477" width="7.85546875" style="59" customWidth="1"/>
    <col min="9478" max="9478" width="12.28515625" style="59" customWidth="1"/>
    <col min="9479" max="9479" width="5.28515625" style="59" customWidth="1"/>
    <col min="9480" max="9480" width="12.140625" style="59" bestFit="1" customWidth="1"/>
    <col min="9481" max="9481" width="5.7109375" style="59" customWidth="1"/>
    <col min="9482" max="9482" width="11.85546875" style="59" bestFit="1" customWidth="1"/>
    <col min="9483" max="9483" width="8" style="59" customWidth="1"/>
    <col min="9484" max="9484" width="12.5703125" style="59" customWidth="1"/>
    <col min="9485" max="9485" width="9" style="59" customWidth="1"/>
    <col min="9486" max="9486" width="11.7109375" style="59" bestFit="1" customWidth="1"/>
    <col min="9487" max="9487" width="9.42578125" style="59" customWidth="1"/>
    <col min="9488" max="9488" width="4.140625" style="59" customWidth="1"/>
    <col min="9489" max="9489" width="3.28515625" style="59" bestFit="1" customWidth="1"/>
    <col min="9490" max="9490" width="8.85546875" style="59" customWidth="1"/>
    <col min="9491" max="9491" width="10" style="59" bestFit="1" customWidth="1"/>
    <col min="9492" max="9493" width="9.42578125" style="59" customWidth="1"/>
    <col min="9494" max="9494" width="9.5703125" style="59" customWidth="1"/>
    <col min="9495" max="9495" width="9.85546875" style="59" customWidth="1"/>
    <col min="9496" max="9497" width="9.42578125" style="59" customWidth="1"/>
    <col min="9498" max="9498" width="9.85546875" style="59" customWidth="1"/>
    <col min="9499" max="9500" width="9.28515625" style="59" customWidth="1"/>
    <col min="9501" max="9501" width="9.85546875" style="59" customWidth="1"/>
    <col min="9502" max="9502" width="9.28515625" style="59" customWidth="1"/>
    <col min="9503" max="9503" width="10.42578125" style="59" customWidth="1"/>
    <col min="9504" max="9504" width="5.28515625" style="59" bestFit="1" customWidth="1"/>
    <col min="9505" max="9505" width="9.7109375" style="59" bestFit="1" customWidth="1"/>
    <col min="9506" max="9506" width="11" style="59" bestFit="1" customWidth="1"/>
    <col min="9507" max="9507" width="10.85546875" style="59" bestFit="1" customWidth="1"/>
    <col min="9508" max="9508" width="9.140625" style="59"/>
    <col min="9509" max="9509" width="3.85546875" style="59" bestFit="1" customWidth="1"/>
    <col min="9510" max="9510" width="7.28515625" style="59" bestFit="1" customWidth="1"/>
    <col min="9511" max="9513" width="9.140625" style="59"/>
    <col min="9514" max="9514" width="9.28515625" style="59" customWidth="1"/>
    <col min="9515" max="9515" width="9.28515625" style="59" bestFit="1" customWidth="1"/>
    <col min="9516" max="9728" width="9.140625" style="59"/>
    <col min="9729" max="9729" width="7.85546875" style="59" customWidth="1"/>
    <col min="9730" max="9730" width="12.140625" style="59" customWidth="1"/>
    <col min="9731" max="9731" width="6.28515625" style="59" customWidth="1"/>
    <col min="9732" max="9732" width="11.5703125" style="59" customWidth="1"/>
    <col min="9733" max="9733" width="7.85546875" style="59" customWidth="1"/>
    <col min="9734" max="9734" width="12.28515625" style="59" customWidth="1"/>
    <col min="9735" max="9735" width="5.28515625" style="59" customWidth="1"/>
    <col min="9736" max="9736" width="12.140625" style="59" bestFit="1" customWidth="1"/>
    <col min="9737" max="9737" width="5.7109375" style="59" customWidth="1"/>
    <col min="9738" max="9738" width="11.85546875" style="59" bestFit="1" customWidth="1"/>
    <col min="9739" max="9739" width="8" style="59" customWidth="1"/>
    <col min="9740" max="9740" width="12.5703125" style="59" customWidth="1"/>
    <col min="9741" max="9741" width="9" style="59" customWidth="1"/>
    <col min="9742" max="9742" width="11.7109375" style="59" bestFit="1" customWidth="1"/>
    <col min="9743" max="9743" width="9.42578125" style="59" customWidth="1"/>
    <col min="9744" max="9744" width="4.140625" style="59" customWidth="1"/>
    <col min="9745" max="9745" width="3.28515625" style="59" bestFit="1" customWidth="1"/>
    <col min="9746" max="9746" width="8.85546875" style="59" customWidth="1"/>
    <col min="9747" max="9747" width="10" style="59" bestFit="1" customWidth="1"/>
    <col min="9748" max="9749" width="9.42578125" style="59" customWidth="1"/>
    <col min="9750" max="9750" width="9.5703125" style="59" customWidth="1"/>
    <col min="9751" max="9751" width="9.85546875" style="59" customWidth="1"/>
    <col min="9752" max="9753" width="9.42578125" style="59" customWidth="1"/>
    <col min="9754" max="9754" width="9.85546875" style="59" customWidth="1"/>
    <col min="9755" max="9756" width="9.28515625" style="59" customWidth="1"/>
    <col min="9757" max="9757" width="9.85546875" style="59" customWidth="1"/>
    <col min="9758" max="9758" width="9.28515625" style="59" customWidth="1"/>
    <col min="9759" max="9759" width="10.42578125" style="59" customWidth="1"/>
    <col min="9760" max="9760" width="5.28515625" style="59" bestFit="1" customWidth="1"/>
    <col min="9761" max="9761" width="9.7109375" style="59" bestFit="1" customWidth="1"/>
    <col min="9762" max="9762" width="11" style="59" bestFit="1" customWidth="1"/>
    <col min="9763" max="9763" width="10.85546875" style="59" bestFit="1" customWidth="1"/>
    <col min="9764" max="9764" width="9.140625" style="59"/>
    <col min="9765" max="9765" width="3.85546875" style="59" bestFit="1" customWidth="1"/>
    <col min="9766" max="9766" width="7.28515625" style="59" bestFit="1" customWidth="1"/>
    <col min="9767" max="9769" width="9.140625" style="59"/>
    <col min="9770" max="9770" width="9.28515625" style="59" customWidth="1"/>
    <col min="9771" max="9771" width="9.28515625" style="59" bestFit="1" customWidth="1"/>
    <col min="9772" max="9984" width="9.140625" style="59"/>
    <col min="9985" max="9985" width="7.85546875" style="59" customWidth="1"/>
    <col min="9986" max="9986" width="12.140625" style="59" customWidth="1"/>
    <col min="9987" max="9987" width="6.28515625" style="59" customWidth="1"/>
    <col min="9988" max="9988" width="11.5703125" style="59" customWidth="1"/>
    <col min="9989" max="9989" width="7.85546875" style="59" customWidth="1"/>
    <col min="9990" max="9990" width="12.28515625" style="59" customWidth="1"/>
    <col min="9991" max="9991" width="5.28515625" style="59" customWidth="1"/>
    <col min="9992" max="9992" width="12.140625" style="59" bestFit="1" customWidth="1"/>
    <col min="9993" max="9993" width="5.7109375" style="59" customWidth="1"/>
    <col min="9994" max="9994" width="11.85546875" style="59" bestFit="1" customWidth="1"/>
    <col min="9995" max="9995" width="8" style="59" customWidth="1"/>
    <col min="9996" max="9996" width="12.5703125" style="59" customWidth="1"/>
    <col min="9997" max="9997" width="9" style="59" customWidth="1"/>
    <col min="9998" max="9998" width="11.7109375" style="59" bestFit="1" customWidth="1"/>
    <col min="9999" max="9999" width="9.42578125" style="59" customWidth="1"/>
    <col min="10000" max="10000" width="4.140625" style="59" customWidth="1"/>
    <col min="10001" max="10001" width="3.28515625" style="59" bestFit="1" customWidth="1"/>
    <col min="10002" max="10002" width="8.85546875" style="59" customWidth="1"/>
    <col min="10003" max="10003" width="10" style="59" bestFit="1" customWidth="1"/>
    <col min="10004" max="10005" width="9.42578125" style="59" customWidth="1"/>
    <col min="10006" max="10006" width="9.5703125" style="59" customWidth="1"/>
    <col min="10007" max="10007" width="9.85546875" style="59" customWidth="1"/>
    <col min="10008" max="10009" width="9.42578125" style="59" customWidth="1"/>
    <col min="10010" max="10010" width="9.85546875" style="59" customWidth="1"/>
    <col min="10011" max="10012" width="9.28515625" style="59" customWidth="1"/>
    <col min="10013" max="10013" width="9.85546875" style="59" customWidth="1"/>
    <col min="10014" max="10014" width="9.28515625" style="59" customWidth="1"/>
    <col min="10015" max="10015" width="10.42578125" style="59" customWidth="1"/>
    <col min="10016" max="10016" width="5.28515625" style="59" bestFit="1" customWidth="1"/>
    <col min="10017" max="10017" width="9.7109375" style="59" bestFit="1" customWidth="1"/>
    <col min="10018" max="10018" width="11" style="59" bestFit="1" customWidth="1"/>
    <col min="10019" max="10019" width="10.85546875" style="59" bestFit="1" customWidth="1"/>
    <col min="10020" max="10020" width="9.140625" style="59"/>
    <col min="10021" max="10021" width="3.85546875" style="59" bestFit="1" customWidth="1"/>
    <col min="10022" max="10022" width="7.28515625" style="59" bestFit="1" customWidth="1"/>
    <col min="10023" max="10025" width="9.140625" style="59"/>
    <col min="10026" max="10026" width="9.28515625" style="59" customWidth="1"/>
    <col min="10027" max="10027" width="9.28515625" style="59" bestFit="1" customWidth="1"/>
    <col min="10028" max="10240" width="9.140625" style="59"/>
    <col min="10241" max="10241" width="7.85546875" style="59" customWidth="1"/>
    <col min="10242" max="10242" width="12.140625" style="59" customWidth="1"/>
    <col min="10243" max="10243" width="6.28515625" style="59" customWidth="1"/>
    <col min="10244" max="10244" width="11.5703125" style="59" customWidth="1"/>
    <col min="10245" max="10245" width="7.85546875" style="59" customWidth="1"/>
    <col min="10246" max="10246" width="12.28515625" style="59" customWidth="1"/>
    <col min="10247" max="10247" width="5.28515625" style="59" customWidth="1"/>
    <col min="10248" max="10248" width="12.140625" style="59" bestFit="1" customWidth="1"/>
    <col min="10249" max="10249" width="5.7109375" style="59" customWidth="1"/>
    <col min="10250" max="10250" width="11.85546875" style="59" bestFit="1" customWidth="1"/>
    <col min="10251" max="10251" width="8" style="59" customWidth="1"/>
    <col min="10252" max="10252" width="12.5703125" style="59" customWidth="1"/>
    <col min="10253" max="10253" width="9" style="59" customWidth="1"/>
    <col min="10254" max="10254" width="11.7109375" style="59" bestFit="1" customWidth="1"/>
    <col min="10255" max="10255" width="9.42578125" style="59" customWidth="1"/>
    <col min="10256" max="10256" width="4.140625" style="59" customWidth="1"/>
    <col min="10257" max="10257" width="3.28515625" style="59" bestFit="1" customWidth="1"/>
    <col min="10258" max="10258" width="8.85546875" style="59" customWidth="1"/>
    <col min="10259" max="10259" width="10" style="59" bestFit="1" customWidth="1"/>
    <col min="10260" max="10261" width="9.42578125" style="59" customWidth="1"/>
    <col min="10262" max="10262" width="9.5703125" style="59" customWidth="1"/>
    <col min="10263" max="10263" width="9.85546875" style="59" customWidth="1"/>
    <col min="10264" max="10265" width="9.42578125" style="59" customWidth="1"/>
    <col min="10266" max="10266" width="9.85546875" style="59" customWidth="1"/>
    <col min="10267" max="10268" width="9.28515625" style="59" customWidth="1"/>
    <col min="10269" max="10269" width="9.85546875" style="59" customWidth="1"/>
    <col min="10270" max="10270" width="9.28515625" style="59" customWidth="1"/>
    <col min="10271" max="10271" width="10.42578125" style="59" customWidth="1"/>
    <col min="10272" max="10272" width="5.28515625" style="59" bestFit="1" customWidth="1"/>
    <col min="10273" max="10273" width="9.7109375" style="59" bestFit="1" customWidth="1"/>
    <col min="10274" max="10274" width="11" style="59" bestFit="1" customWidth="1"/>
    <col min="10275" max="10275" width="10.85546875" style="59" bestFit="1" customWidth="1"/>
    <col min="10276" max="10276" width="9.140625" style="59"/>
    <col min="10277" max="10277" width="3.85546875" style="59" bestFit="1" customWidth="1"/>
    <col min="10278" max="10278" width="7.28515625" style="59" bestFit="1" customWidth="1"/>
    <col min="10279" max="10281" width="9.140625" style="59"/>
    <col min="10282" max="10282" width="9.28515625" style="59" customWidth="1"/>
    <col min="10283" max="10283" width="9.28515625" style="59" bestFit="1" customWidth="1"/>
    <col min="10284" max="10496" width="9.140625" style="59"/>
    <col min="10497" max="10497" width="7.85546875" style="59" customWidth="1"/>
    <col min="10498" max="10498" width="12.140625" style="59" customWidth="1"/>
    <col min="10499" max="10499" width="6.28515625" style="59" customWidth="1"/>
    <col min="10500" max="10500" width="11.5703125" style="59" customWidth="1"/>
    <col min="10501" max="10501" width="7.85546875" style="59" customWidth="1"/>
    <col min="10502" max="10502" width="12.28515625" style="59" customWidth="1"/>
    <col min="10503" max="10503" width="5.28515625" style="59" customWidth="1"/>
    <col min="10504" max="10504" width="12.140625" style="59" bestFit="1" customWidth="1"/>
    <col min="10505" max="10505" width="5.7109375" style="59" customWidth="1"/>
    <col min="10506" max="10506" width="11.85546875" style="59" bestFit="1" customWidth="1"/>
    <col min="10507" max="10507" width="8" style="59" customWidth="1"/>
    <col min="10508" max="10508" width="12.5703125" style="59" customWidth="1"/>
    <col min="10509" max="10509" width="9" style="59" customWidth="1"/>
    <col min="10510" max="10510" width="11.7109375" style="59" bestFit="1" customWidth="1"/>
    <col min="10511" max="10511" width="9.42578125" style="59" customWidth="1"/>
    <col min="10512" max="10512" width="4.140625" style="59" customWidth="1"/>
    <col min="10513" max="10513" width="3.28515625" style="59" bestFit="1" customWidth="1"/>
    <col min="10514" max="10514" width="8.85546875" style="59" customWidth="1"/>
    <col min="10515" max="10515" width="10" style="59" bestFit="1" customWidth="1"/>
    <col min="10516" max="10517" width="9.42578125" style="59" customWidth="1"/>
    <col min="10518" max="10518" width="9.5703125" style="59" customWidth="1"/>
    <col min="10519" max="10519" width="9.85546875" style="59" customWidth="1"/>
    <col min="10520" max="10521" width="9.42578125" style="59" customWidth="1"/>
    <col min="10522" max="10522" width="9.85546875" style="59" customWidth="1"/>
    <col min="10523" max="10524" width="9.28515625" style="59" customWidth="1"/>
    <col min="10525" max="10525" width="9.85546875" style="59" customWidth="1"/>
    <col min="10526" max="10526" width="9.28515625" style="59" customWidth="1"/>
    <col min="10527" max="10527" width="10.42578125" style="59" customWidth="1"/>
    <col min="10528" max="10528" width="5.28515625" style="59" bestFit="1" customWidth="1"/>
    <col min="10529" max="10529" width="9.7109375" style="59" bestFit="1" customWidth="1"/>
    <col min="10530" max="10530" width="11" style="59" bestFit="1" customWidth="1"/>
    <col min="10531" max="10531" width="10.85546875" style="59" bestFit="1" customWidth="1"/>
    <col min="10532" max="10532" width="9.140625" style="59"/>
    <col min="10533" max="10533" width="3.85546875" style="59" bestFit="1" customWidth="1"/>
    <col min="10534" max="10534" width="7.28515625" style="59" bestFit="1" customWidth="1"/>
    <col min="10535" max="10537" width="9.140625" style="59"/>
    <col min="10538" max="10538" width="9.28515625" style="59" customWidth="1"/>
    <col min="10539" max="10539" width="9.28515625" style="59" bestFit="1" customWidth="1"/>
    <col min="10540" max="10752" width="9.140625" style="59"/>
    <col min="10753" max="10753" width="7.85546875" style="59" customWidth="1"/>
    <col min="10754" max="10754" width="12.140625" style="59" customWidth="1"/>
    <col min="10755" max="10755" width="6.28515625" style="59" customWidth="1"/>
    <col min="10756" max="10756" width="11.5703125" style="59" customWidth="1"/>
    <col min="10757" max="10757" width="7.85546875" style="59" customWidth="1"/>
    <col min="10758" max="10758" width="12.28515625" style="59" customWidth="1"/>
    <col min="10759" max="10759" width="5.28515625" style="59" customWidth="1"/>
    <col min="10760" max="10760" width="12.140625" style="59" bestFit="1" customWidth="1"/>
    <col min="10761" max="10761" width="5.7109375" style="59" customWidth="1"/>
    <col min="10762" max="10762" width="11.85546875" style="59" bestFit="1" customWidth="1"/>
    <col min="10763" max="10763" width="8" style="59" customWidth="1"/>
    <col min="10764" max="10764" width="12.5703125" style="59" customWidth="1"/>
    <col min="10765" max="10765" width="9" style="59" customWidth="1"/>
    <col min="10766" max="10766" width="11.7109375" style="59" bestFit="1" customWidth="1"/>
    <col min="10767" max="10767" width="9.42578125" style="59" customWidth="1"/>
    <col min="10768" max="10768" width="4.140625" style="59" customWidth="1"/>
    <col min="10769" max="10769" width="3.28515625" style="59" bestFit="1" customWidth="1"/>
    <col min="10770" max="10770" width="8.85546875" style="59" customWidth="1"/>
    <col min="10771" max="10771" width="10" style="59" bestFit="1" customWidth="1"/>
    <col min="10772" max="10773" width="9.42578125" style="59" customWidth="1"/>
    <col min="10774" max="10774" width="9.5703125" style="59" customWidth="1"/>
    <col min="10775" max="10775" width="9.85546875" style="59" customWidth="1"/>
    <col min="10776" max="10777" width="9.42578125" style="59" customWidth="1"/>
    <col min="10778" max="10778" width="9.85546875" style="59" customWidth="1"/>
    <col min="10779" max="10780" width="9.28515625" style="59" customWidth="1"/>
    <col min="10781" max="10781" width="9.85546875" style="59" customWidth="1"/>
    <col min="10782" max="10782" width="9.28515625" style="59" customWidth="1"/>
    <col min="10783" max="10783" width="10.42578125" style="59" customWidth="1"/>
    <col min="10784" max="10784" width="5.28515625" style="59" bestFit="1" customWidth="1"/>
    <col min="10785" max="10785" width="9.7109375" style="59" bestFit="1" customWidth="1"/>
    <col min="10786" max="10786" width="11" style="59" bestFit="1" customWidth="1"/>
    <col min="10787" max="10787" width="10.85546875" style="59" bestFit="1" customWidth="1"/>
    <col min="10788" max="10788" width="9.140625" style="59"/>
    <col min="10789" max="10789" width="3.85546875" style="59" bestFit="1" customWidth="1"/>
    <col min="10790" max="10790" width="7.28515625" style="59" bestFit="1" customWidth="1"/>
    <col min="10791" max="10793" width="9.140625" style="59"/>
    <col min="10794" max="10794" width="9.28515625" style="59" customWidth="1"/>
    <col min="10795" max="10795" width="9.28515625" style="59" bestFit="1" customWidth="1"/>
    <col min="10796" max="11008" width="9.140625" style="59"/>
    <col min="11009" max="11009" width="7.85546875" style="59" customWidth="1"/>
    <col min="11010" max="11010" width="12.140625" style="59" customWidth="1"/>
    <col min="11011" max="11011" width="6.28515625" style="59" customWidth="1"/>
    <col min="11012" max="11012" width="11.5703125" style="59" customWidth="1"/>
    <col min="11013" max="11013" width="7.85546875" style="59" customWidth="1"/>
    <col min="11014" max="11014" width="12.28515625" style="59" customWidth="1"/>
    <col min="11015" max="11015" width="5.28515625" style="59" customWidth="1"/>
    <col min="11016" max="11016" width="12.140625" style="59" bestFit="1" customWidth="1"/>
    <col min="11017" max="11017" width="5.7109375" style="59" customWidth="1"/>
    <col min="11018" max="11018" width="11.85546875" style="59" bestFit="1" customWidth="1"/>
    <col min="11019" max="11019" width="8" style="59" customWidth="1"/>
    <col min="11020" max="11020" width="12.5703125" style="59" customWidth="1"/>
    <col min="11021" max="11021" width="9" style="59" customWidth="1"/>
    <col min="11022" max="11022" width="11.7109375" style="59" bestFit="1" customWidth="1"/>
    <col min="11023" max="11023" width="9.42578125" style="59" customWidth="1"/>
    <col min="11024" max="11024" width="4.140625" style="59" customWidth="1"/>
    <col min="11025" max="11025" width="3.28515625" style="59" bestFit="1" customWidth="1"/>
    <col min="11026" max="11026" width="8.85546875" style="59" customWidth="1"/>
    <col min="11027" max="11027" width="10" style="59" bestFit="1" customWidth="1"/>
    <col min="11028" max="11029" width="9.42578125" style="59" customWidth="1"/>
    <col min="11030" max="11030" width="9.5703125" style="59" customWidth="1"/>
    <col min="11031" max="11031" width="9.85546875" style="59" customWidth="1"/>
    <col min="11032" max="11033" width="9.42578125" style="59" customWidth="1"/>
    <col min="11034" max="11034" width="9.85546875" style="59" customWidth="1"/>
    <col min="11035" max="11036" width="9.28515625" style="59" customWidth="1"/>
    <col min="11037" max="11037" width="9.85546875" style="59" customWidth="1"/>
    <col min="11038" max="11038" width="9.28515625" style="59" customWidth="1"/>
    <col min="11039" max="11039" width="10.42578125" style="59" customWidth="1"/>
    <col min="11040" max="11040" width="5.28515625" style="59" bestFit="1" customWidth="1"/>
    <col min="11041" max="11041" width="9.7109375" style="59" bestFit="1" customWidth="1"/>
    <col min="11042" max="11042" width="11" style="59" bestFit="1" customWidth="1"/>
    <col min="11043" max="11043" width="10.85546875" style="59" bestFit="1" customWidth="1"/>
    <col min="11044" max="11044" width="9.140625" style="59"/>
    <col min="11045" max="11045" width="3.85546875" style="59" bestFit="1" customWidth="1"/>
    <col min="11046" max="11046" width="7.28515625" style="59" bestFit="1" customWidth="1"/>
    <col min="11047" max="11049" width="9.140625" style="59"/>
    <col min="11050" max="11050" width="9.28515625" style="59" customWidth="1"/>
    <col min="11051" max="11051" width="9.28515625" style="59" bestFit="1" customWidth="1"/>
    <col min="11052" max="11264" width="9.140625" style="59"/>
    <col min="11265" max="11265" width="7.85546875" style="59" customWidth="1"/>
    <col min="11266" max="11266" width="12.140625" style="59" customWidth="1"/>
    <col min="11267" max="11267" width="6.28515625" style="59" customWidth="1"/>
    <col min="11268" max="11268" width="11.5703125" style="59" customWidth="1"/>
    <col min="11269" max="11269" width="7.85546875" style="59" customWidth="1"/>
    <col min="11270" max="11270" width="12.28515625" style="59" customWidth="1"/>
    <col min="11271" max="11271" width="5.28515625" style="59" customWidth="1"/>
    <col min="11272" max="11272" width="12.140625" style="59" bestFit="1" customWidth="1"/>
    <col min="11273" max="11273" width="5.7109375" style="59" customWidth="1"/>
    <col min="11274" max="11274" width="11.85546875" style="59" bestFit="1" customWidth="1"/>
    <col min="11275" max="11275" width="8" style="59" customWidth="1"/>
    <col min="11276" max="11276" width="12.5703125" style="59" customWidth="1"/>
    <col min="11277" max="11277" width="9" style="59" customWidth="1"/>
    <col min="11278" max="11278" width="11.7109375" style="59" bestFit="1" customWidth="1"/>
    <col min="11279" max="11279" width="9.42578125" style="59" customWidth="1"/>
    <col min="11280" max="11280" width="4.140625" style="59" customWidth="1"/>
    <col min="11281" max="11281" width="3.28515625" style="59" bestFit="1" customWidth="1"/>
    <col min="11282" max="11282" width="8.85546875" style="59" customWidth="1"/>
    <col min="11283" max="11283" width="10" style="59" bestFit="1" customWidth="1"/>
    <col min="11284" max="11285" width="9.42578125" style="59" customWidth="1"/>
    <col min="11286" max="11286" width="9.5703125" style="59" customWidth="1"/>
    <col min="11287" max="11287" width="9.85546875" style="59" customWidth="1"/>
    <col min="11288" max="11289" width="9.42578125" style="59" customWidth="1"/>
    <col min="11290" max="11290" width="9.85546875" style="59" customWidth="1"/>
    <col min="11291" max="11292" width="9.28515625" style="59" customWidth="1"/>
    <col min="11293" max="11293" width="9.85546875" style="59" customWidth="1"/>
    <col min="11294" max="11294" width="9.28515625" style="59" customWidth="1"/>
    <col min="11295" max="11295" width="10.42578125" style="59" customWidth="1"/>
    <col min="11296" max="11296" width="5.28515625" style="59" bestFit="1" customWidth="1"/>
    <col min="11297" max="11297" width="9.7109375" style="59" bestFit="1" customWidth="1"/>
    <col min="11298" max="11298" width="11" style="59" bestFit="1" customWidth="1"/>
    <col min="11299" max="11299" width="10.85546875" style="59" bestFit="1" customWidth="1"/>
    <col min="11300" max="11300" width="9.140625" style="59"/>
    <col min="11301" max="11301" width="3.85546875" style="59" bestFit="1" customWidth="1"/>
    <col min="11302" max="11302" width="7.28515625" style="59" bestFit="1" customWidth="1"/>
    <col min="11303" max="11305" width="9.140625" style="59"/>
    <col min="11306" max="11306" width="9.28515625" style="59" customWidth="1"/>
    <col min="11307" max="11307" width="9.28515625" style="59" bestFit="1" customWidth="1"/>
    <col min="11308" max="11520" width="9.140625" style="59"/>
    <col min="11521" max="11521" width="7.85546875" style="59" customWidth="1"/>
    <col min="11522" max="11522" width="12.140625" style="59" customWidth="1"/>
    <col min="11523" max="11523" width="6.28515625" style="59" customWidth="1"/>
    <col min="11524" max="11524" width="11.5703125" style="59" customWidth="1"/>
    <col min="11525" max="11525" width="7.85546875" style="59" customWidth="1"/>
    <col min="11526" max="11526" width="12.28515625" style="59" customWidth="1"/>
    <col min="11527" max="11527" width="5.28515625" style="59" customWidth="1"/>
    <col min="11528" max="11528" width="12.140625" style="59" bestFit="1" customWidth="1"/>
    <col min="11529" max="11529" width="5.7109375" style="59" customWidth="1"/>
    <col min="11530" max="11530" width="11.85546875" style="59" bestFit="1" customWidth="1"/>
    <col min="11531" max="11531" width="8" style="59" customWidth="1"/>
    <col min="11532" max="11532" width="12.5703125" style="59" customWidth="1"/>
    <col min="11533" max="11533" width="9" style="59" customWidth="1"/>
    <col min="11534" max="11534" width="11.7109375" style="59" bestFit="1" customWidth="1"/>
    <col min="11535" max="11535" width="9.42578125" style="59" customWidth="1"/>
    <col min="11536" max="11536" width="4.140625" style="59" customWidth="1"/>
    <col min="11537" max="11537" width="3.28515625" style="59" bestFit="1" customWidth="1"/>
    <col min="11538" max="11538" width="8.85546875" style="59" customWidth="1"/>
    <col min="11539" max="11539" width="10" style="59" bestFit="1" customWidth="1"/>
    <col min="11540" max="11541" width="9.42578125" style="59" customWidth="1"/>
    <col min="11542" max="11542" width="9.5703125" style="59" customWidth="1"/>
    <col min="11543" max="11543" width="9.85546875" style="59" customWidth="1"/>
    <col min="11544" max="11545" width="9.42578125" style="59" customWidth="1"/>
    <col min="11546" max="11546" width="9.85546875" style="59" customWidth="1"/>
    <col min="11547" max="11548" width="9.28515625" style="59" customWidth="1"/>
    <col min="11549" max="11549" width="9.85546875" style="59" customWidth="1"/>
    <col min="11550" max="11550" width="9.28515625" style="59" customWidth="1"/>
    <col min="11551" max="11551" width="10.42578125" style="59" customWidth="1"/>
    <col min="11552" max="11552" width="5.28515625" style="59" bestFit="1" customWidth="1"/>
    <col min="11553" max="11553" width="9.7109375" style="59" bestFit="1" customWidth="1"/>
    <col min="11554" max="11554" width="11" style="59" bestFit="1" customWidth="1"/>
    <col min="11555" max="11555" width="10.85546875" style="59" bestFit="1" customWidth="1"/>
    <col min="11556" max="11556" width="9.140625" style="59"/>
    <col min="11557" max="11557" width="3.85546875" style="59" bestFit="1" customWidth="1"/>
    <col min="11558" max="11558" width="7.28515625" style="59" bestFit="1" customWidth="1"/>
    <col min="11559" max="11561" width="9.140625" style="59"/>
    <col min="11562" max="11562" width="9.28515625" style="59" customWidth="1"/>
    <col min="11563" max="11563" width="9.28515625" style="59" bestFit="1" customWidth="1"/>
    <col min="11564" max="11776" width="9.140625" style="59"/>
    <col min="11777" max="11777" width="7.85546875" style="59" customWidth="1"/>
    <col min="11778" max="11778" width="12.140625" style="59" customWidth="1"/>
    <col min="11779" max="11779" width="6.28515625" style="59" customWidth="1"/>
    <col min="11780" max="11780" width="11.5703125" style="59" customWidth="1"/>
    <col min="11781" max="11781" width="7.85546875" style="59" customWidth="1"/>
    <col min="11782" max="11782" width="12.28515625" style="59" customWidth="1"/>
    <col min="11783" max="11783" width="5.28515625" style="59" customWidth="1"/>
    <col min="11784" max="11784" width="12.140625" style="59" bestFit="1" customWidth="1"/>
    <col min="11785" max="11785" width="5.7109375" style="59" customWidth="1"/>
    <col min="11786" max="11786" width="11.85546875" style="59" bestFit="1" customWidth="1"/>
    <col min="11787" max="11787" width="8" style="59" customWidth="1"/>
    <col min="11788" max="11788" width="12.5703125" style="59" customWidth="1"/>
    <col min="11789" max="11789" width="9" style="59" customWidth="1"/>
    <col min="11790" max="11790" width="11.7109375" style="59" bestFit="1" customWidth="1"/>
    <col min="11791" max="11791" width="9.42578125" style="59" customWidth="1"/>
    <col min="11792" max="11792" width="4.140625" style="59" customWidth="1"/>
    <col min="11793" max="11793" width="3.28515625" style="59" bestFit="1" customWidth="1"/>
    <col min="11794" max="11794" width="8.85546875" style="59" customWidth="1"/>
    <col min="11795" max="11795" width="10" style="59" bestFit="1" customWidth="1"/>
    <col min="11796" max="11797" width="9.42578125" style="59" customWidth="1"/>
    <col min="11798" max="11798" width="9.5703125" style="59" customWidth="1"/>
    <col min="11799" max="11799" width="9.85546875" style="59" customWidth="1"/>
    <col min="11800" max="11801" width="9.42578125" style="59" customWidth="1"/>
    <col min="11802" max="11802" width="9.85546875" style="59" customWidth="1"/>
    <col min="11803" max="11804" width="9.28515625" style="59" customWidth="1"/>
    <col min="11805" max="11805" width="9.85546875" style="59" customWidth="1"/>
    <col min="11806" max="11806" width="9.28515625" style="59" customWidth="1"/>
    <col min="11807" max="11807" width="10.42578125" style="59" customWidth="1"/>
    <col min="11808" max="11808" width="5.28515625" style="59" bestFit="1" customWidth="1"/>
    <col min="11809" max="11809" width="9.7109375" style="59" bestFit="1" customWidth="1"/>
    <col min="11810" max="11810" width="11" style="59" bestFit="1" customWidth="1"/>
    <col min="11811" max="11811" width="10.85546875" style="59" bestFit="1" customWidth="1"/>
    <col min="11812" max="11812" width="9.140625" style="59"/>
    <col min="11813" max="11813" width="3.85546875" style="59" bestFit="1" customWidth="1"/>
    <col min="11814" max="11814" width="7.28515625" style="59" bestFit="1" customWidth="1"/>
    <col min="11815" max="11817" width="9.140625" style="59"/>
    <col min="11818" max="11818" width="9.28515625" style="59" customWidth="1"/>
    <col min="11819" max="11819" width="9.28515625" style="59" bestFit="1" customWidth="1"/>
    <col min="11820" max="12032" width="9.140625" style="59"/>
    <col min="12033" max="12033" width="7.85546875" style="59" customWidth="1"/>
    <col min="12034" max="12034" width="12.140625" style="59" customWidth="1"/>
    <col min="12035" max="12035" width="6.28515625" style="59" customWidth="1"/>
    <col min="12036" max="12036" width="11.5703125" style="59" customWidth="1"/>
    <col min="12037" max="12037" width="7.85546875" style="59" customWidth="1"/>
    <col min="12038" max="12038" width="12.28515625" style="59" customWidth="1"/>
    <col min="12039" max="12039" width="5.28515625" style="59" customWidth="1"/>
    <col min="12040" max="12040" width="12.140625" style="59" bestFit="1" customWidth="1"/>
    <col min="12041" max="12041" width="5.7109375" style="59" customWidth="1"/>
    <col min="12042" max="12042" width="11.85546875" style="59" bestFit="1" customWidth="1"/>
    <col min="12043" max="12043" width="8" style="59" customWidth="1"/>
    <col min="12044" max="12044" width="12.5703125" style="59" customWidth="1"/>
    <col min="12045" max="12045" width="9" style="59" customWidth="1"/>
    <col min="12046" max="12046" width="11.7109375" style="59" bestFit="1" customWidth="1"/>
    <col min="12047" max="12047" width="9.42578125" style="59" customWidth="1"/>
    <col min="12048" max="12048" width="4.140625" style="59" customWidth="1"/>
    <col min="12049" max="12049" width="3.28515625" style="59" bestFit="1" customWidth="1"/>
    <col min="12050" max="12050" width="8.85546875" style="59" customWidth="1"/>
    <col min="12051" max="12051" width="10" style="59" bestFit="1" customWidth="1"/>
    <col min="12052" max="12053" width="9.42578125" style="59" customWidth="1"/>
    <col min="12054" max="12054" width="9.5703125" style="59" customWidth="1"/>
    <col min="12055" max="12055" width="9.85546875" style="59" customWidth="1"/>
    <col min="12056" max="12057" width="9.42578125" style="59" customWidth="1"/>
    <col min="12058" max="12058" width="9.85546875" style="59" customWidth="1"/>
    <col min="12059" max="12060" width="9.28515625" style="59" customWidth="1"/>
    <col min="12061" max="12061" width="9.85546875" style="59" customWidth="1"/>
    <col min="12062" max="12062" width="9.28515625" style="59" customWidth="1"/>
    <col min="12063" max="12063" width="10.42578125" style="59" customWidth="1"/>
    <col min="12064" max="12064" width="5.28515625" style="59" bestFit="1" customWidth="1"/>
    <col min="12065" max="12065" width="9.7109375" style="59" bestFit="1" customWidth="1"/>
    <col min="12066" max="12066" width="11" style="59" bestFit="1" customWidth="1"/>
    <col min="12067" max="12067" width="10.85546875" style="59" bestFit="1" customWidth="1"/>
    <col min="12068" max="12068" width="9.140625" style="59"/>
    <col min="12069" max="12069" width="3.85546875" style="59" bestFit="1" customWidth="1"/>
    <col min="12070" max="12070" width="7.28515625" style="59" bestFit="1" customWidth="1"/>
    <col min="12071" max="12073" width="9.140625" style="59"/>
    <col min="12074" max="12074" width="9.28515625" style="59" customWidth="1"/>
    <col min="12075" max="12075" width="9.28515625" style="59" bestFit="1" customWidth="1"/>
    <col min="12076" max="12288" width="9.140625" style="59"/>
    <col min="12289" max="12289" width="7.85546875" style="59" customWidth="1"/>
    <col min="12290" max="12290" width="12.140625" style="59" customWidth="1"/>
    <col min="12291" max="12291" width="6.28515625" style="59" customWidth="1"/>
    <col min="12292" max="12292" width="11.5703125" style="59" customWidth="1"/>
    <col min="12293" max="12293" width="7.85546875" style="59" customWidth="1"/>
    <col min="12294" max="12294" width="12.28515625" style="59" customWidth="1"/>
    <col min="12295" max="12295" width="5.28515625" style="59" customWidth="1"/>
    <col min="12296" max="12296" width="12.140625" style="59" bestFit="1" customWidth="1"/>
    <col min="12297" max="12297" width="5.7109375" style="59" customWidth="1"/>
    <col min="12298" max="12298" width="11.85546875" style="59" bestFit="1" customWidth="1"/>
    <col min="12299" max="12299" width="8" style="59" customWidth="1"/>
    <col min="12300" max="12300" width="12.5703125" style="59" customWidth="1"/>
    <col min="12301" max="12301" width="9" style="59" customWidth="1"/>
    <col min="12302" max="12302" width="11.7109375" style="59" bestFit="1" customWidth="1"/>
    <col min="12303" max="12303" width="9.42578125" style="59" customWidth="1"/>
    <col min="12304" max="12304" width="4.140625" style="59" customWidth="1"/>
    <col min="12305" max="12305" width="3.28515625" style="59" bestFit="1" customWidth="1"/>
    <col min="12306" max="12306" width="8.85546875" style="59" customWidth="1"/>
    <col min="12307" max="12307" width="10" style="59" bestFit="1" customWidth="1"/>
    <col min="12308" max="12309" width="9.42578125" style="59" customWidth="1"/>
    <col min="12310" max="12310" width="9.5703125" style="59" customWidth="1"/>
    <col min="12311" max="12311" width="9.85546875" style="59" customWidth="1"/>
    <col min="12312" max="12313" width="9.42578125" style="59" customWidth="1"/>
    <col min="12314" max="12314" width="9.85546875" style="59" customWidth="1"/>
    <col min="12315" max="12316" width="9.28515625" style="59" customWidth="1"/>
    <col min="12317" max="12317" width="9.85546875" style="59" customWidth="1"/>
    <col min="12318" max="12318" width="9.28515625" style="59" customWidth="1"/>
    <col min="12319" max="12319" width="10.42578125" style="59" customWidth="1"/>
    <col min="12320" max="12320" width="5.28515625" style="59" bestFit="1" customWidth="1"/>
    <col min="12321" max="12321" width="9.7109375" style="59" bestFit="1" customWidth="1"/>
    <col min="12322" max="12322" width="11" style="59" bestFit="1" customWidth="1"/>
    <col min="12323" max="12323" width="10.85546875" style="59" bestFit="1" customWidth="1"/>
    <col min="12324" max="12324" width="9.140625" style="59"/>
    <col min="12325" max="12325" width="3.85546875" style="59" bestFit="1" customWidth="1"/>
    <col min="12326" max="12326" width="7.28515625" style="59" bestFit="1" customWidth="1"/>
    <col min="12327" max="12329" width="9.140625" style="59"/>
    <col min="12330" max="12330" width="9.28515625" style="59" customWidth="1"/>
    <col min="12331" max="12331" width="9.28515625" style="59" bestFit="1" customWidth="1"/>
    <col min="12332" max="12544" width="9.140625" style="59"/>
    <col min="12545" max="12545" width="7.85546875" style="59" customWidth="1"/>
    <col min="12546" max="12546" width="12.140625" style="59" customWidth="1"/>
    <col min="12547" max="12547" width="6.28515625" style="59" customWidth="1"/>
    <col min="12548" max="12548" width="11.5703125" style="59" customWidth="1"/>
    <col min="12549" max="12549" width="7.85546875" style="59" customWidth="1"/>
    <col min="12550" max="12550" width="12.28515625" style="59" customWidth="1"/>
    <col min="12551" max="12551" width="5.28515625" style="59" customWidth="1"/>
    <col min="12552" max="12552" width="12.140625" style="59" bestFit="1" customWidth="1"/>
    <col min="12553" max="12553" width="5.7109375" style="59" customWidth="1"/>
    <col min="12554" max="12554" width="11.85546875" style="59" bestFit="1" customWidth="1"/>
    <col min="12555" max="12555" width="8" style="59" customWidth="1"/>
    <col min="12556" max="12556" width="12.5703125" style="59" customWidth="1"/>
    <col min="12557" max="12557" width="9" style="59" customWidth="1"/>
    <col min="12558" max="12558" width="11.7109375" style="59" bestFit="1" customWidth="1"/>
    <col min="12559" max="12559" width="9.42578125" style="59" customWidth="1"/>
    <col min="12560" max="12560" width="4.140625" style="59" customWidth="1"/>
    <col min="12561" max="12561" width="3.28515625" style="59" bestFit="1" customWidth="1"/>
    <col min="12562" max="12562" width="8.85546875" style="59" customWidth="1"/>
    <col min="12563" max="12563" width="10" style="59" bestFit="1" customWidth="1"/>
    <col min="12564" max="12565" width="9.42578125" style="59" customWidth="1"/>
    <col min="12566" max="12566" width="9.5703125" style="59" customWidth="1"/>
    <col min="12567" max="12567" width="9.85546875" style="59" customWidth="1"/>
    <col min="12568" max="12569" width="9.42578125" style="59" customWidth="1"/>
    <col min="12570" max="12570" width="9.85546875" style="59" customWidth="1"/>
    <col min="12571" max="12572" width="9.28515625" style="59" customWidth="1"/>
    <col min="12573" max="12573" width="9.85546875" style="59" customWidth="1"/>
    <col min="12574" max="12574" width="9.28515625" style="59" customWidth="1"/>
    <col min="12575" max="12575" width="10.42578125" style="59" customWidth="1"/>
    <col min="12576" max="12576" width="5.28515625" style="59" bestFit="1" customWidth="1"/>
    <col min="12577" max="12577" width="9.7109375" style="59" bestFit="1" customWidth="1"/>
    <col min="12578" max="12578" width="11" style="59" bestFit="1" customWidth="1"/>
    <col min="12579" max="12579" width="10.85546875" style="59" bestFit="1" customWidth="1"/>
    <col min="12580" max="12580" width="9.140625" style="59"/>
    <col min="12581" max="12581" width="3.85546875" style="59" bestFit="1" customWidth="1"/>
    <col min="12582" max="12582" width="7.28515625" style="59" bestFit="1" customWidth="1"/>
    <col min="12583" max="12585" width="9.140625" style="59"/>
    <col min="12586" max="12586" width="9.28515625" style="59" customWidth="1"/>
    <col min="12587" max="12587" width="9.28515625" style="59" bestFit="1" customWidth="1"/>
    <col min="12588" max="12800" width="9.140625" style="59"/>
    <col min="12801" max="12801" width="7.85546875" style="59" customWidth="1"/>
    <col min="12802" max="12802" width="12.140625" style="59" customWidth="1"/>
    <col min="12803" max="12803" width="6.28515625" style="59" customWidth="1"/>
    <col min="12804" max="12804" width="11.5703125" style="59" customWidth="1"/>
    <col min="12805" max="12805" width="7.85546875" style="59" customWidth="1"/>
    <col min="12806" max="12806" width="12.28515625" style="59" customWidth="1"/>
    <col min="12807" max="12807" width="5.28515625" style="59" customWidth="1"/>
    <col min="12808" max="12808" width="12.140625" style="59" bestFit="1" customWidth="1"/>
    <col min="12809" max="12809" width="5.7109375" style="59" customWidth="1"/>
    <col min="12810" max="12810" width="11.85546875" style="59" bestFit="1" customWidth="1"/>
    <col min="12811" max="12811" width="8" style="59" customWidth="1"/>
    <col min="12812" max="12812" width="12.5703125" style="59" customWidth="1"/>
    <col min="12813" max="12813" width="9" style="59" customWidth="1"/>
    <col min="12814" max="12814" width="11.7109375" style="59" bestFit="1" customWidth="1"/>
    <col min="12815" max="12815" width="9.42578125" style="59" customWidth="1"/>
    <col min="12816" max="12816" width="4.140625" style="59" customWidth="1"/>
    <col min="12817" max="12817" width="3.28515625" style="59" bestFit="1" customWidth="1"/>
    <col min="12818" max="12818" width="8.85546875" style="59" customWidth="1"/>
    <col min="12819" max="12819" width="10" style="59" bestFit="1" customWidth="1"/>
    <col min="12820" max="12821" width="9.42578125" style="59" customWidth="1"/>
    <col min="12822" max="12822" width="9.5703125" style="59" customWidth="1"/>
    <col min="12823" max="12823" width="9.85546875" style="59" customWidth="1"/>
    <col min="12824" max="12825" width="9.42578125" style="59" customWidth="1"/>
    <col min="12826" max="12826" width="9.85546875" style="59" customWidth="1"/>
    <col min="12827" max="12828" width="9.28515625" style="59" customWidth="1"/>
    <col min="12829" max="12829" width="9.85546875" style="59" customWidth="1"/>
    <col min="12830" max="12830" width="9.28515625" style="59" customWidth="1"/>
    <col min="12831" max="12831" width="10.42578125" style="59" customWidth="1"/>
    <col min="12832" max="12832" width="5.28515625" style="59" bestFit="1" customWidth="1"/>
    <col min="12833" max="12833" width="9.7109375" style="59" bestFit="1" customWidth="1"/>
    <col min="12834" max="12834" width="11" style="59" bestFit="1" customWidth="1"/>
    <col min="12835" max="12835" width="10.85546875" style="59" bestFit="1" customWidth="1"/>
    <col min="12836" max="12836" width="9.140625" style="59"/>
    <col min="12837" max="12837" width="3.85546875" style="59" bestFit="1" customWidth="1"/>
    <col min="12838" max="12838" width="7.28515625" style="59" bestFit="1" customWidth="1"/>
    <col min="12839" max="12841" width="9.140625" style="59"/>
    <col min="12842" max="12842" width="9.28515625" style="59" customWidth="1"/>
    <col min="12843" max="12843" width="9.28515625" style="59" bestFit="1" customWidth="1"/>
    <col min="12844" max="13056" width="9.140625" style="59"/>
    <col min="13057" max="13057" width="7.85546875" style="59" customWidth="1"/>
    <col min="13058" max="13058" width="12.140625" style="59" customWidth="1"/>
    <col min="13059" max="13059" width="6.28515625" style="59" customWidth="1"/>
    <col min="13060" max="13060" width="11.5703125" style="59" customWidth="1"/>
    <col min="13061" max="13061" width="7.85546875" style="59" customWidth="1"/>
    <col min="13062" max="13062" width="12.28515625" style="59" customWidth="1"/>
    <col min="13063" max="13063" width="5.28515625" style="59" customWidth="1"/>
    <col min="13064" max="13064" width="12.140625" style="59" bestFit="1" customWidth="1"/>
    <col min="13065" max="13065" width="5.7109375" style="59" customWidth="1"/>
    <col min="13066" max="13066" width="11.85546875" style="59" bestFit="1" customWidth="1"/>
    <col min="13067" max="13067" width="8" style="59" customWidth="1"/>
    <col min="13068" max="13068" width="12.5703125" style="59" customWidth="1"/>
    <col min="13069" max="13069" width="9" style="59" customWidth="1"/>
    <col min="13070" max="13070" width="11.7109375" style="59" bestFit="1" customWidth="1"/>
    <col min="13071" max="13071" width="9.42578125" style="59" customWidth="1"/>
    <col min="13072" max="13072" width="4.140625" style="59" customWidth="1"/>
    <col min="13073" max="13073" width="3.28515625" style="59" bestFit="1" customWidth="1"/>
    <col min="13074" max="13074" width="8.85546875" style="59" customWidth="1"/>
    <col min="13075" max="13075" width="10" style="59" bestFit="1" customWidth="1"/>
    <col min="13076" max="13077" width="9.42578125" style="59" customWidth="1"/>
    <col min="13078" max="13078" width="9.5703125" style="59" customWidth="1"/>
    <col min="13079" max="13079" width="9.85546875" style="59" customWidth="1"/>
    <col min="13080" max="13081" width="9.42578125" style="59" customWidth="1"/>
    <col min="13082" max="13082" width="9.85546875" style="59" customWidth="1"/>
    <col min="13083" max="13084" width="9.28515625" style="59" customWidth="1"/>
    <col min="13085" max="13085" width="9.85546875" style="59" customWidth="1"/>
    <col min="13086" max="13086" width="9.28515625" style="59" customWidth="1"/>
    <col min="13087" max="13087" width="10.42578125" style="59" customWidth="1"/>
    <col min="13088" max="13088" width="5.28515625" style="59" bestFit="1" customWidth="1"/>
    <col min="13089" max="13089" width="9.7109375" style="59" bestFit="1" customWidth="1"/>
    <col min="13090" max="13090" width="11" style="59" bestFit="1" customWidth="1"/>
    <col min="13091" max="13091" width="10.85546875" style="59" bestFit="1" customWidth="1"/>
    <col min="13092" max="13092" width="9.140625" style="59"/>
    <col min="13093" max="13093" width="3.85546875" style="59" bestFit="1" customWidth="1"/>
    <col min="13094" max="13094" width="7.28515625" style="59" bestFit="1" customWidth="1"/>
    <col min="13095" max="13097" width="9.140625" style="59"/>
    <col min="13098" max="13098" width="9.28515625" style="59" customWidth="1"/>
    <col min="13099" max="13099" width="9.28515625" style="59" bestFit="1" customWidth="1"/>
    <col min="13100" max="13312" width="9.140625" style="59"/>
    <col min="13313" max="13313" width="7.85546875" style="59" customWidth="1"/>
    <col min="13314" max="13314" width="12.140625" style="59" customWidth="1"/>
    <col min="13315" max="13315" width="6.28515625" style="59" customWidth="1"/>
    <col min="13316" max="13316" width="11.5703125" style="59" customWidth="1"/>
    <col min="13317" max="13317" width="7.85546875" style="59" customWidth="1"/>
    <col min="13318" max="13318" width="12.28515625" style="59" customWidth="1"/>
    <col min="13319" max="13319" width="5.28515625" style="59" customWidth="1"/>
    <col min="13320" max="13320" width="12.140625" style="59" bestFit="1" customWidth="1"/>
    <col min="13321" max="13321" width="5.7109375" style="59" customWidth="1"/>
    <col min="13322" max="13322" width="11.85546875" style="59" bestFit="1" customWidth="1"/>
    <col min="13323" max="13323" width="8" style="59" customWidth="1"/>
    <col min="13324" max="13324" width="12.5703125" style="59" customWidth="1"/>
    <col min="13325" max="13325" width="9" style="59" customWidth="1"/>
    <col min="13326" max="13326" width="11.7109375" style="59" bestFit="1" customWidth="1"/>
    <col min="13327" max="13327" width="9.42578125" style="59" customWidth="1"/>
    <col min="13328" max="13328" width="4.140625" style="59" customWidth="1"/>
    <col min="13329" max="13329" width="3.28515625" style="59" bestFit="1" customWidth="1"/>
    <col min="13330" max="13330" width="8.85546875" style="59" customWidth="1"/>
    <col min="13331" max="13331" width="10" style="59" bestFit="1" customWidth="1"/>
    <col min="13332" max="13333" width="9.42578125" style="59" customWidth="1"/>
    <col min="13334" max="13334" width="9.5703125" style="59" customWidth="1"/>
    <col min="13335" max="13335" width="9.85546875" style="59" customWidth="1"/>
    <col min="13336" max="13337" width="9.42578125" style="59" customWidth="1"/>
    <col min="13338" max="13338" width="9.85546875" style="59" customWidth="1"/>
    <col min="13339" max="13340" width="9.28515625" style="59" customWidth="1"/>
    <col min="13341" max="13341" width="9.85546875" style="59" customWidth="1"/>
    <col min="13342" max="13342" width="9.28515625" style="59" customWidth="1"/>
    <col min="13343" max="13343" width="10.42578125" style="59" customWidth="1"/>
    <col min="13344" max="13344" width="5.28515625" style="59" bestFit="1" customWidth="1"/>
    <col min="13345" max="13345" width="9.7109375" style="59" bestFit="1" customWidth="1"/>
    <col min="13346" max="13346" width="11" style="59" bestFit="1" customWidth="1"/>
    <col min="13347" max="13347" width="10.85546875" style="59" bestFit="1" customWidth="1"/>
    <col min="13348" max="13348" width="9.140625" style="59"/>
    <col min="13349" max="13349" width="3.85546875" style="59" bestFit="1" customWidth="1"/>
    <col min="13350" max="13350" width="7.28515625" style="59" bestFit="1" customWidth="1"/>
    <col min="13351" max="13353" width="9.140625" style="59"/>
    <col min="13354" max="13354" width="9.28515625" style="59" customWidth="1"/>
    <col min="13355" max="13355" width="9.28515625" style="59" bestFit="1" customWidth="1"/>
    <col min="13356" max="13568" width="9.140625" style="59"/>
    <col min="13569" max="13569" width="7.85546875" style="59" customWidth="1"/>
    <col min="13570" max="13570" width="12.140625" style="59" customWidth="1"/>
    <col min="13571" max="13571" width="6.28515625" style="59" customWidth="1"/>
    <col min="13572" max="13572" width="11.5703125" style="59" customWidth="1"/>
    <col min="13573" max="13573" width="7.85546875" style="59" customWidth="1"/>
    <col min="13574" max="13574" width="12.28515625" style="59" customWidth="1"/>
    <col min="13575" max="13575" width="5.28515625" style="59" customWidth="1"/>
    <col min="13576" max="13576" width="12.140625" style="59" bestFit="1" customWidth="1"/>
    <col min="13577" max="13577" width="5.7109375" style="59" customWidth="1"/>
    <col min="13578" max="13578" width="11.85546875" style="59" bestFit="1" customWidth="1"/>
    <col min="13579" max="13579" width="8" style="59" customWidth="1"/>
    <col min="13580" max="13580" width="12.5703125" style="59" customWidth="1"/>
    <col min="13581" max="13581" width="9" style="59" customWidth="1"/>
    <col min="13582" max="13582" width="11.7109375" style="59" bestFit="1" customWidth="1"/>
    <col min="13583" max="13583" width="9.42578125" style="59" customWidth="1"/>
    <col min="13584" max="13584" width="4.140625" style="59" customWidth="1"/>
    <col min="13585" max="13585" width="3.28515625" style="59" bestFit="1" customWidth="1"/>
    <col min="13586" max="13586" width="8.85546875" style="59" customWidth="1"/>
    <col min="13587" max="13587" width="10" style="59" bestFit="1" customWidth="1"/>
    <col min="13588" max="13589" width="9.42578125" style="59" customWidth="1"/>
    <col min="13590" max="13590" width="9.5703125" style="59" customWidth="1"/>
    <col min="13591" max="13591" width="9.85546875" style="59" customWidth="1"/>
    <col min="13592" max="13593" width="9.42578125" style="59" customWidth="1"/>
    <col min="13594" max="13594" width="9.85546875" style="59" customWidth="1"/>
    <col min="13595" max="13596" width="9.28515625" style="59" customWidth="1"/>
    <col min="13597" max="13597" width="9.85546875" style="59" customWidth="1"/>
    <col min="13598" max="13598" width="9.28515625" style="59" customWidth="1"/>
    <col min="13599" max="13599" width="10.42578125" style="59" customWidth="1"/>
    <col min="13600" max="13600" width="5.28515625" style="59" bestFit="1" customWidth="1"/>
    <col min="13601" max="13601" width="9.7109375" style="59" bestFit="1" customWidth="1"/>
    <col min="13602" max="13602" width="11" style="59" bestFit="1" customWidth="1"/>
    <col min="13603" max="13603" width="10.85546875" style="59" bestFit="1" customWidth="1"/>
    <col min="13604" max="13604" width="9.140625" style="59"/>
    <col min="13605" max="13605" width="3.85546875" style="59" bestFit="1" customWidth="1"/>
    <col min="13606" max="13606" width="7.28515625" style="59" bestFit="1" customWidth="1"/>
    <col min="13607" max="13609" width="9.140625" style="59"/>
    <col min="13610" max="13610" width="9.28515625" style="59" customWidth="1"/>
    <col min="13611" max="13611" width="9.28515625" style="59" bestFit="1" customWidth="1"/>
    <col min="13612" max="13824" width="9.140625" style="59"/>
    <col min="13825" max="13825" width="7.85546875" style="59" customWidth="1"/>
    <col min="13826" max="13826" width="12.140625" style="59" customWidth="1"/>
    <col min="13827" max="13827" width="6.28515625" style="59" customWidth="1"/>
    <col min="13828" max="13828" width="11.5703125" style="59" customWidth="1"/>
    <col min="13829" max="13829" width="7.85546875" style="59" customWidth="1"/>
    <col min="13830" max="13830" width="12.28515625" style="59" customWidth="1"/>
    <col min="13831" max="13831" width="5.28515625" style="59" customWidth="1"/>
    <col min="13832" max="13832" width="12.140625" style="59" bestFit="1" customWidth="1"/>
    <col min="13833" max="13833" width="5.7109375" style="59" customWidth="1"/>
    <col min="13834" max="13834" width="11.85546875" style="59" bestFit="1" customWidth="1"/>
    <col min="13835" max="13835" width="8" style="59" customWidth="1"/>
    <col min="13836" max="13836" width="12.5703125" style="59" customWidth="1"/>
    <col min="13837" max="13837" width="9" style="59" customWidth="1"/>
    <col min="13838" max="13838" width="11.7109375" style="59" bestFit="1" customWidth="1"/>
    <col min="13839" max="13839" width="9.42578125" style="59" customWidth="1"/>
    <col min="13840" max="13840" width="4.140625" style="59" customWidth="1"/>
    <col min="13841" max="13841" width="3.28515625" style="59" bestFit="1" customWidth="1"/>
    <col min="13842" max="13842" width="8.85546875" style="59" customWidth="1"/>
    <col min="13843" max="13843" width="10" style="59" bestFit="1" customWidth="1"/>
    <col min="13844" max="13845" width="9.42578125" style="59" customWidth="1"/>
    <col min="13846" max="13846" width="9.5703125" style="59" customWidth="1"/>
    <col min="13847" max="13847" width="9.85546875" style="59" customWidth="1"/>
    <col min="13848" max="13849" width="9.42578125" style="59" customWidth="1"/>
    <col min="13850" max="13850" width="9.85546875" style="59" customWidth="1"/>
    <col min="13851" max="13852" width="9.28515625" style="59" customWidth="1"/>
    <col min="13853" max="13853" width="9.85546875" style="59" customWidth="1"/>
    <col min="13854" max="13854" width="9.28515625" style="59" customWidth="1"/>
    <col min="13855" max="13855" width="10.42578125" style="59" customWidth="1"/>
    <col min="13856" max="13856" width="5.28515625" style="59" bestFit="1" customWidth="1"/>
    <col min="13857" max="13857" width="9.7109375" style="59" bestFit="1" customWidth="1"/>
    <col min="13858" max="13858" width="11" style="59" bestFit="1" customWidth="1"/>
    <col min="13859" max="13859" width="10.85546875" style="59" bestFit="1" customWidth="1"/>
    <col min="13860" max="13860" width="9.140625" style="59"/>
    <col min="13861" max="13861" width="3.85546875" style="59" bestFit="1" customWidth="1"/>
    <col min="13862" max="13862" width="7.28515625" style="59" bestFit="1" customWidth="1"/>
    <col min="13863" max="13865" width="9.140625" style="59"/>
    <col min="13866" max="13866" width="9.28515625" style="59" customWidth="1"/>
    <col min="13867" max="13867" width="9.28515625" style="59" bestFit="1" customWidth="1"/>
    <col min="13868" max="14080" width="9.140625" style="59"/>
    <col min="14081" max="14081" width="7.85546875" style="59" customWidth="1"/>
    <col min="14082" max="14082" width="12.140625" style="59" customWidth="1"/>
    <col min="14083" max="14083" width="6.28515625" style="59" customWidth="1"/>
    <col min="14084" max="14084" width="11.5703125" style="59" customWidth="1"/>
    <col min="14085" max="14085" width="7.85546875" style="59" customWidth="1"/>
    <col min="14086" max="14086" width="12.28515625" style="59" customWidth="1"/>
    <col min="14087" max="14087" width="5.28515625" style="59" customWidth="1"/>
    <col min="14088" max="14088" width="12.140625" style="59" bestFit="1" customWidth="1"/>
    <col min="14089" max="14089" width="5.7109375" style="59" customWidth="1"/>
    <col min="14090" max="14090" width="11.85546875" style="59" bestFit="1" customWidth="1"/>
    <col min="14091" max="14091" width="8" style="59" customWidth="1"/>
    <col min="14092" max="14092" width="12.5703125" style="59" customWidth="1"/>
    <col min="14093" max="14093" width="9" style="59" customWidth="1"/>
    <col min="14094" max="14094" width="11.7109375" style="59" bestFit="1" customWidth="1"/>
    <col min="14095" max="14095" width="9.42578125" style="59" customWidth="1"/>
    <col min="14096" max="14096" width="4.140625" style="59" customWidth="1"/>
    <col min="14097" max="14097" width="3.28515625" style="59" bestFit="1" customWidth="1"/>
    <col min="14098" max="14098" width="8.85546875" style="59" customWidth="1"/>
    <col min="14099" max="14099" width="10" style="59" bestFit="1" customWidth="1"/>
    <col min="14100" max="14101" width="9.42578125" style="59" customWidth="1"/>
    <col min="14102" max="14102" width="9.5703125" style="59" customWidth="1"/>
    <col min="14103" max="14103" width="9.85546875" style="59" customWidth="1"/>
    <col min="14104" max="14105" width="9.42578125" style="59" customWidth="1"/>
    <col min="14106" max="14106" width="9.85546875" style="59" customWidth="1"/>
    <col min="14107" max="14108" width="9.28515625" style="59" customWidth="1"/>
    <col min="14109" max="14109" width="9.85546875" style="59" customWidth="1"/>
    <col min="14110" max="14110" width="9.28515625" style="59" customWidth="1"/>
    <col min="14111" max="14111" width="10.42578125" style="59" customWidth="1"/>
    <col min="14112" max="14112" width="5.28515625" style="59" bestFit="1" customWidth="1"/>
    <col min="14113" max="14113" width="9.7109375" style="59" bestFit="1" customWidth="1"/>
    <col min="14114" max="14114" width="11" style="59" bestFit="1" customWidth="1"/>
    <col min="14115" max="14115" width="10.85546875" style="59" bestFit="1" customWidth="1"/>
    <col min="14116" max="14116" width="9.140625" style="59"/>
    <col min="14117" max="14117" width="3.85546875" style="59" bestFit="1" customWidth="1"/>
    <col min="14118" max="14118" width="7.28515625" style="59" bestFit="1" customWidth="1"/>
    <col min="14119" max="14121" width="9.140625" style="59"/>
    <col min="14122" max="14122" width="9.28515625" style="59" customWidth="1"/>
    <col min="14123" max="14123" width="9.28515625" style="59" bestFit="1" customWidth="1"/>
    <col min="14124" max="14336" width="9.140625" style="59"/>
    <col min="14337" max="14337" width="7.85546875" style="59" customWidth="1"/>
    <col min="14338" max="14338" width="12.140625" style="59" customWidth="1"/>
    <col min="14339" max="14339" width="6.28515625" style="59" customWidth="1"/>
    <col min="14340" max="14340" width="11.5703125" style="59" customWidth="1"/>
    <col min="14341" max="14341" width="7.85546875" style="59" customWidth="1"/>
    <col min="14342" max="14342" width="12.28515625" style="59" customWidth="1"/>
    <col min="14343" max="14343" width="5.28515625" style="59" customWidth="1"/>
    <col min="14344" max="14344" width="12.140625" style="59" bestFit="1" customWidth="1"/>
    <col min="14345" max="14345" width="5.7109375" style="59" customWidth="1"/>
    <col min="14346" max="14346" width="11.85546875" style="59" bestFit="1" customWidth="1"/>
    <col min="14347" max="14347" width="8" style="59" customWidth="1"/>
    <col min="14348" max="14348" width="12.5703125" style="59" customWidth="1"/>
    <col min="14349" max="14349" width="9" style="59" customWidth="1"/>
    <col min="14350" max="14350" width="11.7109375" style="59" bestFit="1" customWidth="1"/>
    <col min="14351" max="14351" width="9.42578125" style="59" customWidth="1"/>
    <col min="14352" max="14352" width="4.140625" style="59" customWidth="1"/>
    <col min="14353" max="14353" width="3.28515625" style="59" bestFit="1" customWidth="1"/>
    <col min="14354" max="14354" width="8.85546875" style="59" customWidth="1"/>
    <col min="14355" max="14355" width="10" style="59" bestFit="1" customWidth="1"/>
    <col min="14356" max="14357" width="9.42578125" style="59" customWidth="1"/>
    <col min="14358" max="14358" width="9.5703125" style="59" customWidth="1"/>
    <col min="14359" max="14359" width="9.85546875" style="59" customWidth="1"/>
    <col min="14360" max="14361" width="9.42578125" style="59" customWidth="1"/>
    <col min="14362" max="14362" width="9.85546875" style="59" customWidth="1"/>
    <col min="14363" max="14364" width="9.28515625" style="59" customWidth="1"/>
    <col min="14365" max="14365" width="9.85546875" style="59" customWidth="1"/>
    <col min="14366" max="14366" width="9.28515625" style="59" customWidth="1"/>
    <col min="14367" max="14367" width="10.42578125" style="59" customWidth="1"/>
    <col min="14368" max="14368" width="5.28515625" style="59" bestFit="1" customWidth="1"/>
    <col min="14369" max="14369" width="9.7109375" style="59" bestFit="1" customWidth="1"/>
    <col min="14370" max="14370" width="11" style="59" bestFit="1" customWidth="1"/>
    <col min="14371" max="14371" width="10.85546875" style="59" bestFit="1" customWidth="1"/>
    <col min="14372" max="14372" width="9.140625" style="59"/>
    <col min="14373" max="14373" width="3.85546875" style="59" bestFit="1" customWidth="1"/>
    <col min="14374" max="14374" width="7.28515625" style="59" bestFit="1" customWidth="1"/>
    <col min="14375" max="14377" width="9.140625" style="59"/>
    <col min="14378" max="14378" width="9.28515625" style="59" customWidth="1"/>
    <col min="14379" max="14379" width="9.28515625" style="59" bestFit="1" customWidth="1"/>
    <col min="14380" max="14592" width="9.140625" style="59"/>
    <col min="14593" max="14593" width="7.85546875" style="59" customWidth="1"/>
    <col min="14594" max="14594" width="12.140625" style="59" customWidth="1"/>
    <col min="14595" max="14595" width="6.28515625" style="59" customWidth="1"/>
    <col min="14596" max="14596" width="11.5703125" style="59" customWidth="1"/>
    <col min="14597" max="14597" width="7.85546875" style="59" customWidth="1"/>
    <col min="14598" max="14598" width="12.28515625" style="59" customWidth="1"/>
    <col min="14599" max="14599" width="5.28515625" style="59" customWidth="1"/>
    <col min="14600" max="14600" width="12.140625" style="59" bestFit="1" customWidth="1"/>
    <col min="14601" max="14601" width="5.7109375" style="59" customWidth="1"/>
    <col min="14602" max="14602" width="11.85546875" style="59" bestFit="1" customWidth="1"/>
    <col min="14603" max="14603" width="8" style="59" customWidth="1"/>
    <col min="14604" max="14604" width="12.5703125" style="59" customWidth="1"/>
    <col min="14605" max="14605" width="9" style="59" customWidth="1"/>
    <col min="14606" max="14606" width="11.7109375" style="59" bestFit="1" customWidth="1"/>
    <col min="14607" max="14607" width="9.42578125" style="59" customWidth="1"/>
    <col min="14608" max="14608" width="4.140625" style="59" customWidth="1"/>
    <col min="14609" max="14609" width="3.28515625" style="59" bestFit="1" customWidth="1"/>
    <col min="14610" max="14610" width="8.85546875" style="59" customWidth="1"/>
    <col min="14611" max="14611" width="10" style="59" bestFit="1" customWidth="1"/>
    <col min="14612" max="14613" width="9.42578125" style="59" customWidth="1"/>
    <col min="14614" max="14614" width="9.5703125" style="59" customWidth="1"/>
    <col min="14615" max="14615" width="9.85546875" style="59" customWidth="1"/>
    <col min="14616" max="14617" width="9.42578125" style="59" customWidth="1"/>
    <col min="14618" max="14618" width="9.85546875" style="59" customWidth="1"/>
    <col min="14619" max="14620" width="9.28515625" style="59" customWidth="1"/>
    <col min="14621" max="14621" width="9.85546875" style="59" customWidth="1"/>
    <col min="14622" max="14622" width="9.28515625" style="59" customWidth="1"/>
    <col min="14623" max="14623" width="10.42578125" style="59" customWidth="1"/>
    <col min="14624" max="14624" width="5.28515625" style="59" bestFit="1" customWidth="1"/>
    <col min="14625" max="14625" width="9.7109375" style="59" bestFit="1" customWidth="1"/>
    <col min="14626" max="14626" width="11" style="59" bestFit="1" customWidth="1"/>
    <col min="14627" max="14627" width="10.85546875" style="59" bestFit="1" customWidth="1"/>
    <col min="14628" max="14628" width="9.140625" style="59"/>
    <col min="14629" max="14629" width="3.85546875" style="59" bestFit="1" customWidth="1"/>
    <col min="14630" max="14630" width="7.28515625" style="59" bestFit="1" customWidth="1"/>
    <col min="14631" max="14633" width="9.140625" style="59"/>
    <col min="14634" max="14634" width="9.28515625" style="59" customWidth="1"/>
    <col min="14635" max="14635" width="9.28515625" style="59" bestFit="1" customWidth="1"/>
    <col min="14636" max="14848" width="9.140625" style="59"/>
    <col min="14849" max="14849" width="7.85546875" style="59" customWidth="1"/>
    <col min="14850" max="14850" width="12.140625" style="59" customWidth="1"/>
    <col min="14851" max="14851" width="6.28515625" style="59" customWidth="1"/>
    <col min="14852" max="14852" width="11.5703125" style="59" customWidth="1"/>
    <col min="14853" max="14853" width="7.85546875" style="59" customWidth="1"/>
    <col min="14854" max="14854" width="12.28515625" style="59" customWidth="1"/>
    <col min="14855" max="14855" width="5.28515625" style="59" customWidth="1"/>
    <col min="14856" max="14856" width="12.140625" style="59" bestFit="1" customWidth="1"/>
    <col min="14857" max="14857" width="5.7109375" style="59" customWidth="1"/>
    <col min="14858" max="14858" width="11.85546875" style="59" bestFit="1" customWidth="1"/>
    <col min="14859" max="14859" width="8" style="59" customWidth="1"/>
    <col min="14860" max="14860" width="12.5703125" style="59" customWidth="1"/>
    <col min="14861" max="14861" width="9" style="59" customWidth="1"/>
    <col min="14862" max="14862" width="11.7109375" style="59" bestFit="1" customWidth="1"/>
    <col min="14863" max="14863" width="9.42578125" style="59" customWidth="1"/>
    <col min="14864" max="14864" width="4.140625" style="59" customWidth="1"/>
    <col min="14865" max="14865" width="3.28515625" style="59" bestFit="1" customWidth="1"/>
    <col min="14866" max="14866" width="8.85546875" style="59" customWidth="1"/>
    <col min="14867" max="14867" width="10" style="59" bestFit="1" customWidth="1"/>
    <col min="14868" max="14869" width="9.42578125" style="59" customWidth="1"/>
    <col min="14870" max="14870" width="9.5703125" style="59" customWidth="1"/>
    <col min="14871" max="14871" width="9.85546875" style="59" customWidth="1"/>
    <col min="14872" max="14873" width="9.42578125" style="59" customWidth="1"/>
    <col min="14874" max="14874" width="9.85546875" style="59" customWidth="1"/>
    <col min="14875" max="14876" width="9.28515625" style="59" customWidth="1"/>
    <col min="14877" max="14877" width="9.85546875" style="59" customWidth="1"/>
    <col min="14878" max="14878" width="9.28515625" style="59" customWidth="1"/>
    <col min="14879" max="14879" width="10.42578125" style="59" customWidth="1"/>
    <col min="14880" max="14880" width="5.28515625" style="59" bestFit="1" customWidth="1"/>
    <col min="14881" max="14881" width="9.7109375" style="59" bestFit="1" customWidth="1"/>
    <col min="14882" max="14882" width="11" style="59" bestFit="1" customWidth="1"/>
    <col min="14883" max="14883" width="10.85546875" style="59" bestFit="1" customWidth="1"/>
    <col min="14884" max="14884" width="9.140625" style="59"/>
    <col min="14885" max="14885" width="3.85546875" style="59" bestFit="1" customWidth="1"/>
    <col min="14886" max="14886" width="7.28515625" style="59" bestFit="1" customWidth="1"/>
    <col min="14887" max="14889" width="9.140625" style="59"/>
    <col min="14890" max="14890" width="9.28515625" style="59" customWidth="1"/>
    <col min="14891" max="14891" width="9.28515625" style="59" bestFit="1" customWidth="1"/>
    <col min="14892" max="15104" width="9.140625" style="59"/>
    <col min="15105" max="15105" width="7.85546875" style="59" customWidth="1"/>
    <col min="15106" max="15106" width="12.140625" style="59" customWidth="1"/>
    <col min="15107" max="15107" width="6.28515625" style="59" customWidth="1"/>
    <col min="15108" max="15108" width="11.5703125" style="59" customWidth="1"/>
    <col min="15109" max="15109" width="7.85546875" style="59" customWidth="1"/>
    <col min="15110" max="15110" width="12.28515625" style="59" customWidth="1"/>
    <col min="15111" max="15111" width="5.28515625" style="59" customWidth="1"/>
    <col min="15112" max="15112" width="12.140625" style="59" bestFit="1" customWidth="1"/>
    <col min="15113" max="15113" width="5.7109375" style="59" customWidth="1"/>
    <col min="15114" max="15114" width="11.85546875" style="59" bestFit="1" customWidth="1"/>
    <col min="15115" max="15115" width="8" style="59" customWidth="1"/>
    <col min="15116" max="15116" width="12.5703125" style="59" customWidth="1"/>
    <col min="15117" max="15117" width="9" style="59" customWidth="1"/>
    <col min="15118" max="15118" width="11.7109375" style="59" bestFit="1" customWidth="1"/>
    <col min="15119" max="15119" width="9.42578125" style="59" customWidth="1"/>
    <col min="15120" max="15120" width="4.140625" style="59" customWidth="1"/>
    <col min="15121" max="15121" width="3.28515625" style="59" bestFit="1" customWidth="1"/>
    <col min="15122" max="15122" width="8.85546875" style="59" customWidth="1"/>
    <col min="15123" max="15123" width="10" style="59" bestFit="1" customWidth="1"/>
    <col min="15124" max="15125" width="9.42578125" style="59" customWidth="1"/>
    <col min="15126" max="15126" width="9.5703125" style="59" customWidth="1"/>
    <col min="15127" max="15127" width="9.85546875" style="59" customWidth="1"/>
    <col min="15128" max="15129" width="9.42578125" style="59" customWidth="1"/>
    <col min="15130" max="15130" width="9.85546875" style="59" customWidth="1"/>
    <col min="15131" max="15132" width="9.28515625" style="59" customWidth="1"/>
    <col min="15133" max="15133" width="9.85546875" style="59" customWidth="1"/>
    <col min="15134" max="15134" width="9.28515625" style="59" customWidth="1"/>
    <col min="15135" max="15135" width="10.42578125" style="59" customWidth="1"/>
    <col min="15136" max="15136" width="5.28515625" style="59" bestFit="1" customWidth="1"/>
    <col min="15137" max="15137" width="9.7109375" style="59" bestFit="1" customWidth="1"/>
    <col min="15138" max="15138" width="11" style="59" bestFit="1" customWidth="1"/>
    <col min="15139" max="15139" width="10.85546875" style="59" bestFit="1" customWidth="1"/>
    <col min="15140" max="15140" width="9.140625" style="59"/>
    <col min="15141" max="15141" width="3.85546875" style="59" bestFit="1" customWidth="1"/>
    <col min="15142" max="15142" width="7.28515625" style="59" bestFit="1" customWidth="1"/>
    <col min="15143" max="15145" width="9.140625" style="59"/>
    <col min="15146" max="15146" width="9.28515625" style="59" customWidth="1"/>
    <col min="15147" max="15147" width="9.28515625" style="59" bestFit="1" customWidth="1"/>
    <col min="15148" max="15360" width="9.140625" style="59"/>
    <col min="15361" max="15361" width="7.85546875" style="59" customWidth="1"/>
    <col min="15362" max="15362" width="12.140625" style="59" customWidth="1"/>
    <col min="15363" max="15363" width="6.28515625" style="59" customWidth="1"/>
    <col min="15364" max="15364" width="11.5703125" style="59" customWidth="1"/>
    <col min="15365" max="15365" width="7.85546875" style="59" customWidth="1"/>
    <col min="15366" max="15366" width="12.28515625" style="59" customWidth="1"/>
    <col min="15367" max="15367" width="5.28515625" style="59" customWidth="1"/>
    <col min="15368" max="15368" width="12.140625" style="59" bestFit="1" customWidth="1"/>
    <col min="15369" max="15369" width="5.7109375" style="59" customWidth="1"/>
    <col min="15370" max="15370" width="11.85546875" style="59" bestFit="1" customWidth="1"/>
    <col min="15371" max="15371" width="8" style="59" customWidth="1"/>
    <col min="15372" max="15372" width="12.5703125" style="59" customWidth="1"/>
    <col min="15373" max="15373" width="9" style="59" customWidth="1"/>
    <col min="15374" max="15374" width="11.7109375" style="59" bestFit="1" customWidth="1"/>
    <col min="15375" max="15375" width="9.42578125" style="59" customWidth="1"/>
    <col min="15376" max="15376" width="4.140625" style="59" customWidth="1"/>
    <col min="15377" max="15377" width="3.28515625" style="59" bestFit="1" customWidth="1"/>
    <col min="15378" max="15378" width="8.85546875" style="59" customWidth="1"/>
    <col min="15379" max="15379" width="10" style="59" bestFit="1" customWidth="1"/>
    <col min="15380" max="15381" width="9.42578125" style="59" customWidth="1"/>
    <col min="15382" max="15382" width="9.5703125" style="59" customWidth="1"/>
    <col min="15383" max="15383" width="9.85546875" style="59" customWidth="1"/>
    <col min="15384" max="15385" width="9.42578125" style="59" customWidth="1"/>
    <col min="15386" max="15386" width="9.85546875" style="59" customWidth="1"/>
    <col min="15387" max="15388" width="9.28515625" style="59" customWidth="1"/>
    <col min="15389" max="15389" width="9.85546875" style="59" customWidth="1"/>
    <col min="15390" max="15390" width="9.28515625" style="59" customWidth="1"/>
    <col min="15391" max="15391" width="10.42578125" style="59" customWidth="1"/>
    <col min="15392" max="15392" width="5.28515625" style="59" bestFit="1" customWidth="1"/>
    <col min="15393" max="15393" width="9.7109375" style="59" bestFit="1" customWidth="1"/>
    <col min="15394" max="15394" width="11" style="59" bestFit="1" customWidth="1"/>
    <col min="15395" max="15395" width="10.85546875" style="59" bestFit="1" customWidth="1"/>
    <col min="15396" max="15396" width="9.140625" style="59"/>
    <col min="15397" max="15397" width="3.85546875" style="59" bestFit="1" customWidth="1"/>
    <col min="15398" max="15398" width="7.28515625" style="59" bestFit="1" customWidth="1"/>
    <col min="15399" max="15401" width="9.140625" style="59"/>
    <col min="15402" max="15402" width="9.28515625" style="59" customWidth="1"/>
    <col min="15403" max="15403" width="9.28515625" style="59" bestFit="1" customWidth="1"/>
    <col min="15404" max="15616" width="9.140625" style="59"/>
    <col min="15617" max="15617" width="7.85546875" style="59" customWidth="1"/>
    <col min="15618" max="15618" width="12.140625" style="59" customWidth="1"/>
    <col min="15619" max="15619" width="6.28515625" style="59" customWidth="1"/>
    <col min="15620" max="15620" width="11.5703125" style="59" customWidth="1"/>
    <col min="15621" max="15621" width="7.85546875" style="59" customWidth="1"/>
    <col min="15622" max="15622" width="12.28515625" style="59" customWidth="1"/>
    <col min="15623" max="15623" width="5.28515625" style="59" customWidth="1"/>
    <col min="15624" max="15624" width="12.140625" style="59" bestFit="1" customWidth="1"/>
    <col min="15625" max="15625" width="5.7109375" style="59" customWidth="1"/>
    <col min="15626" max="15626" width="11.85546875" style="59" bestFit="1" customWidth="1"/>
    <col min="15627" max="15627" width="8" style="59" customWidth="1"/>
    <col min="15628" max="15628" width="12.5703125" style="59" customWidth="1"/>
    <col min="15629" max="15629" width="9" style="59" customWidth="1"/>
    <col min="15630" max="15630" width="11.7109375" style="59" bestFit="1" customWidth="1"/>
    <col min="15631" max="15631" width="9.42578125" style="59" customWidth="1"/>
    <col min="15632" max="15632" width="4.140625" style="59" customWidth="1"/>
    <col min="15633" max="15633" width="3.28515625" style="59" bestFit="1" customWidth="1"/>
    <col min="15634" max="15634" width="8.85546875" style="59" customWidth="1"/>
    <col min="15635" max="15635" width="10" style="59" bestFit="1" customWidth="1"/>
    <col min="15636" max="15637" width="9.42578125" style="59" customWidth="1"/>
    <col min="15638" max="15638" width="9.5703125" style="59" customWidth="1"/>
    <col min="15639" max="15639" width="9.85546875" style="59" customWidth="1"/>
    <col min="15640" max="15641" width="9.42578125" style="59" customWidth="1"/>
    <col min="15642" max="15642" width="9.85546875" style="59" customWidth="1"/>
    <col min="15643" max="15644" width="9.28515625" style="59" customWidth="1"/>
    <col min="15645" max="15645" width="9.85546875" style="59" customWidth="1"/>
    <col min="15646" max="15646" width="9.28515625" style="59" customWidth="1"/>
    <col min="15647" max="15647" width="10.42578125" style="59" customWidth="1"/>
    <col min="15648" max="15648" width="5.28515625" style="59" bestFit="1" customWidth="1"/>
    <col min="15649" max="15649" width="9.7109375" style="59" bestFit="1" customWidth="1"/>
    <col min="15650" max="15650" width="11" style="59" bestFit="1" customWidth="1"/>
    <col min="15651" max="15651" width="10.85546875" style="59" bestFit="1" customWidth="1"/>
    <col min="15652" max="15652" width="9.140625" style="59"/>
    <col min="15653" max="15653" width="3.85546875" style="59" bestFit="1" customWidth="1"/>
    <col min="15654" max="15654" width="7.28515625" style="59" bestFit="1" customWidth="1"/>
    <col min="15655" max="15657" width="9.140625" style="59"/>
    <col min="15658" max="15658" width="9.28515625" style="59" customWidth="1"/>
    <col min="15659" max="15659" width="9.28515625" style="59" bestFit="1" customWidth="1"/>
    <col min="15660" max="15872" width="9.140625" style="59"/>
    <col min="15873" max="15873" width="7.85546875" style="59" customWidth="1"/>
    <col min="15874" max="15874" width="12.140625" style="59" customWidth="1"/>
    <col min="15875" max="15875" width="6.28515625" style="59" customWidth="1"/>
    <col min="15876" max="15876" width="11.5703125" style="59" customWidth="1"/>
    <col min="15877" max="15877" width="7.85546875" style="59" customWidth="1"/>
    <col min="15878" max="15878" width="12.28515625" style="59" customWidth="1"/>
    <col min="15879" max="15879" width="5.28515625" style="59" customWidth="1"/>
    <col min="15880" max="15880" width="12.140625" style="59" bestFit="1" customWidth="1"/>
    <col min="15881" max="15881" width="5.7109375" style="59" customWidth="1"/>
    <col min="15882" max="15882" width="11.85546875" style="59" bestFit="1" customWidth="1"/>
    <col min="15883" max="15883" width="8" style="59" customWidth="1"/>
    <col min="15884" max="15884" width="12.5703125" style="59" customWidth="1"/>
    <col min="15885" max="15885" width="9" style="59" customWidth="1"/>
    <col min="15886" max="15886" width="11.7109375" style="59" bestFit="1" customWidth="1"/>
    <col min="15887" max="15887" width="9.42578125" style="59" customWidth="1"/>
    <col min="15888" max="15888" width="4.140625" style="59" customWidth="1"/>
    <col min="15889" max="15889" width="3.28515625" style="59" bestFit="1" customWidth="1"/>
    <col min="15890" max="15890" width="8.85546875" style="59" customWidth="1"/>
    <col min="15891" max="15891" width="10" style="59" bestFit="1" customWidth="1"/>
    <col min="15892" max="15893" width="9.42578125" style="59" customWidth="1"/>
    <col min="15894" max="15894" width="9.5703125" style="59" customWidth="1"/>
    <col min="15895" max="15895" width="9.85546875" style="59" customWidth="1"/>
    <col min="15896" max="15897" width="9.42578125" style="59" customWidth="1"/>
    <col min="15898" max="15898" width="9.85546875" style="59" customWidth="1"/>
    <col min="15899" max="15900" width="9.28515625" style="59" customWidth="1"/>
    <col min="15901" max="15901" width="9.85546875" style="59" customWidth="1"/>
    <col min="15902" max="15902" width="9.28515625" style="59" customWidth="1"/>
    <col min="15903" max="15903" width="10.42578125" style="59" customWidth="1"/>
    <col min="15904" max="15904" width="5.28515625" style="59" bestFit="1" customWidth="1"/>
    <col min="15905" max="15905" width="9.7109375" style="59" bestFit="1" customWidth="1"/>
    <col min="15906" max="15906" width="11" style="59" bestFit="1" customWidth="1"/>
    <col min="15907" max="15907" width="10.85546875" style="59" bestFit="1" customWidth="1"/>
    <col min="15908" max="15908" width="9.140625" style="59"/>
    <col min="15909" max="15909" width="3.85546875" style="59" bestFit="1" customWidth="1"/>
    <col min="15910" max="15910" width="7.28515625" style="59" bestFit="1" customWidth="1"/>
    <col min="15911" max="15913" width="9.140625" style="59"/>
    <col min="15914" max="15914" width="9.28515625" style="59" customWidth="1"/>
    <col min="15915" max="15915" width="9.28515625" style="59" bestFit="1" customWidth="1"/>
    <col min="15916" max="16128" width="9.140625" style="59"/>
    <col min="16129" max="16129" width="7.85546875" style="59" customWidth="1"/>
    <col min="16130" max="16130" width="12.140625" style="59" customWidth="1"/>
    <col min="16131" max="16131" width="6.28515625" style="59" customWidth="1"/>
    <col min="16132" max="16132" width="11.5703125" style="59" customWidth="1"/>
    <col min="16133" max="16133" width="7.85546875" style="59" customWidth="1"/>
    <col min="16134" max="16134" width="12.28515625" style="59" customWidth="1"/>
    <col min="16135" max="16135" width="5.28515625" style="59" customWidth="1"/>
    <col min="16136" max="16136" width="12.140625" style="59" bestFit="1" customWidth="1"/>
    <col min="16137" max="16137" width="5.7109375" style="59" customWidth="1"/>
    <col min="16138" max="16138" width="11.85546875" style="59" bestFit="1" customWidth="1"/>
    <col min="16139" max="16139" width="8" style="59" customWidth="1"/>
    <col min="16140" max="16140" width="12.5703125" style="59" customWidth="1"/>
    <col min="16141" max="16141" width="9" style="59" customWidth="1"/>
    <col min="16142" max="16142" width="11.7109375" style="59" bestFit="1" customWidth="1"/>
    <col min="16143" max="16143" width="9.42578125" style="59" customWidth="1"/>
    <col min="16144" max="16144" width="4.140625" style="59" customWidth="1"/>
    <col min="16145" max="16145" width="3.28515625" style="59" bestFit="1" customWidth="1"/>
    <col min="16146" max="16146" width="8.85546875" style="59" customWidth="1"/>
    <col min="16147" max="16147" width="10" style="59" bestFit="1" customWidth="1"/>
    <col min="16148" max="16149" width="9.42578125" style="59" customWidth="1"/>
    <col min="16150" max="16150" width="9.5703125" style="59" customWidth="1"/>
    <col min="16151" max="16151" width="9.85546875" style="59" customWidth="1"/>
    <col min="16152" max="16153" width="9.42578125" style="59" customWidth="1"/>
    <col min="16154" max="16154" width="9.85546875" style="59" customWidth="1"/>
    <col min="16155" max="16156" width="9.28515625" style="59" customWidth="1"/>
    <col min="16157" max="16157" width="9.85546875" style="59" customWidth="1"/>
    <col min="16158" max="16158" width="9.28515625" style="59" customWidth="1"/>
    <col min="16159" max="16159" width="10.42578125" style="59" customWidth="1"/>
    <col min="16160" max="16160" width="5.28515625" style="59" bestFit="1" customWidth="1"/>
    <col min="16161" max="16161" width="9.7109375" style="59" bestFit="1" customWidth="1"/>
    <col min="16162" max="16162" width="11" style="59" bestFit="1" customWidth="1"/>
    <col min="16163" max="16163" width="10.85546875" style="59" bestFit="1" customWidth="1"/>
    <col min="16164" max="16164" width="9.140625" style="59"/>
    <col min="16165" max="16165" width="3.85546875" style="59" bestFit="1" customWidth="1"/>
    <col min="16166" max="16166" width="7.28515625" style="59" bestFit="1" customWidth="1"/>
    <col min="16167" max="16169" width="9.140625" style="59"/>
    <col min="16170" max="16170" width="9.28515625" style="59" customWidth="1"/>
    <col min="16171" max="16171" width="9.28515625" style="59" bestFit="1" customWidth="1"/>
    <col min="16172" max="16384" width="9.140625" style="59"/>
  </cols>
  <sheetData>
    <row r="1" spans="1:34">
      <c r="A1" s="200"/>
      <c r="B1" s="200"/>
      <c r="C1" s="200"/>
      <c r="D1" s="200"/>
      <c r="E1" s="201" t="s">
        <v>1213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U1" s="107" t="s">
        <v>1214</v>
      </c>
    </row>
    <row r="2" spans="1:34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U2" s="107" t="s">
        <v>1215</v>
      </c>
    </row>
    <row r="3" spans="1:34">
      <c r="A3" s="202" t="s">
        <v>261</v>
      </c>
      <c r="B3" s="682" t="s">
        <v>262</v>
      </c>
      <c r="C3" s="682"/>
      <c r="D3" s="682"/>
      <c r="E3" s="682"/>
      <c r="F3" s="682"/>
      <c r="G3" s="682"/>
      <c r="H3" s="682"/>
      <c r="I3" s="682"/>
      <c r="J3" s="682"/>
      <c r="K3" s="682"/>
      <c r="L3" s="682" t="s">
        <v>263</v>
      </c>
      <c r="M3" s="682"/>
      <c r="N3" s="683" t="s">
        <v>264</v>
      </c>
      <c r="O3" s="684"/>
      <c r="P3" s="203"/>
      <c r="Q3" s="95" t="s">
        <v>129</v>
      </c>
      <c r="R3" s="204" t="s">
        <v>130</v>
      </c>
      <c r="S3" s="95" t="s">
        <v>265</v>
      </c>
      <c r="T3" s="95" t="s">
        <v>266</v>
      </c>
      <c r="U3" s="95" t="s">
        <v>267</v>
      </c>
      <c r="V3" s="95" t="s">
        <v>268</v>
      </c>
      <c r="W3" s="95" t="s">
        <v>269</v>
      </c>
      <c r="X3" s="95" t="s">
        <v>270</v>
      </c>
      <c r="Y3" s="95" t="s">
        <v>271</v>
      </c>
      <c r="Z3" s="95" t="s">
        <v>272</v>
      </c>
      <c r="AA3" s="95" t="s">
        <v>273</v>
      </c>
      <c r="AB3" s="95" t="s">
        <v>274</v>
      </c>
      <c r="AC3" s="95" t="s">
        <v>275</v>
      </c>
      <c r="AD3" s="95" t="s">
        <v>276</v>
      </c>
      <c r="AE3" s="95" t="s">
        <v>277</v>
      </c>
    </row>
    <row r="4" spans="1:34" s="87" customFormat="1">
      <c r="A4" s="205" t="s">
        <v>278</v>
      </c>
      <c r="B4" s="205">
        <v>2017</v>
      </c>
      <c r="C4" s="206" t="s">
        <v>279</v>
      </c>
      <c r="D4" s="205">
        <v>2018</v>
      </c>
      <c r="E4" s="206" t="s">
        <v>279</v>
      </c>
      <c r="F4" s="205">
        <v>2019</v>
      </c>
      <c r="G4" s="206" t="s">
        <v>279</v>
      </c>
      <c r="H4" s="205">
        <v>2020</v>
      </c>
      <c r="I4" s="205" t="s">
        <v>279</v>
      </c>
      <c r="J4" s="205">
        <v>2021</v>
      </c>
      <c r="K4" s="205" t="s">
        <v>279</v>
      </c>
      <c r="L4" s="205">
        <v>2022</v>
      </c>
      <c r="M4" s="205" t="s">
        <v>279</v>
      </c>
      <c r="N4" s="205">
        <v>2023</v>
      </c>
      <c r="O4" s="205">
        <v>2024</v>
      </c>
      <c r="P4" s="63"/>
      <c r="Q4" s="95">
        <v>1</v>
      </c>
      <c r="R4" s="102" t="s">
        <v>133</v>
      </c>
      <c r="S4" s="45">
        <f>4740087.5/12</f>
        <v>395007.29166666669</v>
      </c>
      <c r="T4" s="45">
        <f t="shared" ref="T4:AC4" si="0">4740087.5/12</f>
        <v>395007.29166666669</v>
      </c>
      <c r="U4" s="45">
        <f t="shared" si="0"/>
        <v>395007.29166666669</v>
      </c>
      <c r="V4" s="45">
        <f t="shared" si="0"/>
        <v>395007.29166666669</v>
      </c>
      <c r="W4" s="45">
        <f t="shared" si="0"/>
        <v>395007.29166666669</v>
      </c>
      <c r="X4" s="45">
        <f t="shared" si="0"/>
        <v>395007.29166666669</v>
      </c>
      <c r="Y4" s="45">
        <f t="shared" si="0"/>
        <v>395007.29166666669</v>
      </c>
      <c r="Z4" s="45">
        <f t="shared" si="0"/>
        <v>395007.29166666669</v>
      </c>
      <c r="AA4" s="45">
        <f t="shared" si="0"/>
        <v>395007.29166666669</v>
      </c>
      <c r="AB4" s="45">
        <f t="shared" si="0"/>
        <v>395007.29166666669</v>
      </c>
      <c r="AC4" s="45">
        <f t="shared" si="0"/>
        <v>395007.29166666669</v>
      </c>
      <c r="AD4" s="45">
        <f>4740087.5/12</f>
        <v>395007.29166666669</v>
      </c>
      <c r="AE4" s="45">
        <f>SUM(S4:AD4)</f>
        <v>4740087.5</v>
      </c>
      <c r="AF4" s="207">
        <f>AE4/$AE$20</f>
        <v>2.6303496644917306E-2</v>
      </c>
      <c r="AG4" s="481">
        <v>4740087.5</v>
      </c>
      <c r="AH4" s="482">
        <f>AE4-AG4</f>
        <v>0</v>
      </c>
    </row>
    <row r="5" spans="1:34">
      <c r="A5" s="202" t="s">
        <v>117</v>
      </c>
      <c r="B5" s="45">
        <v>8128227.1699999999</v>
      </c>
      <c r="C5" s="208">
        <f>B5/B17</f>
        <v>7.7766631965007368E-2</v>
      </c>
      <c r="D5" s="45">
        <v>7522241.2699999996</v>
      </c>
      <c r="E5" s="208">
        <f>D5/D17</f>
        <v>7.9831482089003813E-2</v>
      </c>
      <c r="F5" s="45">
        <v>10690469.82</v>
      </c>
      <c r="G5" s="208">
        <f>F5/F17</f>
        <v>9.2128811723208082E-2</v>
      </c>
      <c r="H5" s="45">
        <v>10229896.279999999</v>
      </c>
      <c r="I5" s="208">
        <f>H5/H17</f>
        <v>8.258854573464873E-2</v>
      </c>
      <c r="J5" s="45">
        <v>11654886.960000001</v>
      </c>
      <c r="K5" s="208">
        <f>J5/J17</f>
        <v>7.5735840465239151E-2</v>
      </c>
      <c r="L5" s="45">
        <v>11654886.960000001</v>
      </c>
      <c r="M5" s="208">
        <f>L5/L17</f>
        <v>6.4674814559096835E-2</v>
      </c>
      <c r="N5" s="209">
        <f>((F5+H5+J5+L5)/3.15)-354050.16</f>
        <v>13687264.132063493</v>
      </c>
      <c r="O5" s="209">
        <f>(H5+J5+L5+N5)/3.15</f>
        <v>14992677.565734444</v>
      </c>
      <c r="P5" s="210"/>
      <c r="Q5" s="95">
        <v>2</v>
      </c>
      <c r="R5" s="102" t="s">
        <v>134</v>
      </c>
      <c r="S5" s="211">
        <f>2573043.32*M5</f>
        <v>166411.09957352284</v>
      </c>
      <c r="T5" s="211">
        <f>2573043.32*M6</f>
        <v>170025.95508920419</v>
      </c>
      <c r="U5" s="211">
        <f>2573043.32*M7</f>
        <v>203969.39083204124</v>
      </c>
      <c r="V5" s="211">
        <f>2573043.32*M8</f>
        <v>215116.48444201177</v>
      </c>
      <c r="W5" s="211">
        <f>2573043.32*M9</f>
        <v>216701.95098285671</v>
      </c>
      <c r="X5" s="211">
        <f>2573043.32*M10</f>
        <v>203574.65036677584</v>
      </c>
      <c r="Y5" s="211">
        <f>2573043.32*M11</f>
        <v>235037.36639355266</v>
      </c>
      <c r="Z5" s="211">
        <f>2573043.32*M12</f>
        <v>204875.90798677693</v>
      </c>
      <c r="AA5" s="211">
        <f>2573043.32*M13</f>
        <v>198153.24673709946</v>
      </c>
      <c r="AB5" s="211">
        <f>2573043.32*M14</f>
        <v>217551.11425125605</v>
      </c>
      <c r="AC5" s="211">
        <f>2573043.32*M15</f>
        <v>207822.254833029</v>
      </c>
      <c r="AD5" s="211">
        <f>2573043.32*M16</f>
        <v>333803.89851187333</v>
      </c>
      <c r="AE5" s="45">
        <f>SUM(S5:AD5)</f>
        <v>2573043.3200000003</v>
      </c>
      <c r="AF5" s="207">
        <f t="shared" ref="AF5:AF19" si="1">AE5/$AE$20</f>
        <v>1.4278225103407247E-2</v>
      </c>
      <c r="AG5" s="386">
        <v>2573043.3199999998</v>
      </c>
      <c r="AH5" s="482">
        <f t="shared" ref="AH5:AH20" si="2">AE5-AG5</f>
        <v>0</v>
      </c>
    </row>
    <row r="6" spans="1:34">
      <c r="A6" s="202" t="s">
        <v>118</v>
      </c>
      <c r="B6" s="45">
        <v>8406126.3200000003</v>
      </c>
      <c r="C6" s="208">
        <f>B6/B17</f>
        <v>8.0425425877805753E-2</v>
      </c>
      <c r="D6" s="45">
        <f>7197732.78</f>
        <v>7197732.7800000003</v>
      </c>
      <c r="E6" s="208">
        <f>D6/D17</f>
        <v>7.6387562547299906E-2</v>
      </c>
      <c r="F6" s="45">
        <f>8384491.75</f>
        <v>8384491.75</v>
      </c>
      <c r="G6" s="208">
        <f>F6/F17</f>
        <v>7.2256250177650416E-2</v>
      </c>
      <c r="H6" s="45">
        <f>10875208.14</f>
        <v>10875208.140000001</v>
      </c>
      <c r="I6" s="208">
        <f>H6/H17</f>
        <v>8.7798311953580663E-2</v>
      </c>
      <c r="J6" s="45">
        <v>11908059.57</v>
      </c>
      <c r="K6" s="208">
        <f>J6/J17</f>
        <v>7.7381007893025863E-2</v>
      </c>
      <c r="L6" s="45">
        <v>11908059.57</v>
      </c>
      <c r="M6" s="208">
        <f>L6/L17</f>
        <v>6.6079709489385588E-2</v>
      </c>
      <c r="N6" s="209">
        <f t="shared" ref="N6:N16" si="3">(F6+H6+J6+L6)/3.15</f>
        <v>13674863.184126984</v>
      </c>
      <c r="O6" s="209">
        <f>(H6+J6+L6+N6)/3.15</f>
        <v>15354346.179087933</v>
      </c>
      <c r="P6" s="210"/>
      <c r="Q6" s="95">
        <v>3</v>
      </c>
      <c r="R6" s="102" t="s">
        <v>135</v>
      </c>
      <c r="S6" s="211">
        <f>1292784.43*M5</f>
        <v>83610.593275137697</v>
      </c>
      <c r="T6" s="211">
        <f>1292784.43*M6</f>
        <v>85426.819566800928</v>
      </c>
      <c r="U6" s="211">
        <f>1292784.43*M7</f>
        <v>102481.15553073847</v>
      </c>
      <c r="V6" s="211">
        <f>1292784.43*M8</f>
        <v>108081.83428601196</v>
      </c>
      <c r="W6" s="211">
        <f>1292784.43*M9</f>
        <v>108878.42657124807</v>
      </c>
      <c r="X6" s="211">
        <f>1292784.43*M10</f>
        <v>102282.82450248899</v>
      </c>
      <c r="Y6" s="211">
        <f>1292784.43*M11</f>
        <v>118090.7625534226</v>
      </c>
      <c r="Z6" s="211">
        <f>1292784.43*M12</f>
        <v>102936.62056471629</v>
      </c>
      <c r="AA6" s="211">
        <f>1292784.43*M13</f>
        <v>99558.927027964106</v>
      </c>
      <c r="AB6" s="211">
        <f>1292784.43*M14</f>
        <v>109305.07506308713</v>
      </c>
      <c r="AC6" s="211">
        <f>1292784.43*M15</f>
        <v>104416.96537609486</v>
      </c>
      <c r="AD6" s="211">
        <f>1292784.43*M16</f>
        <v>167714.42568228894</v>
      </c>
      <c r="AE6" s="45">
        <f t="shared" ref="AE6:AE18" si="4">SUM(S6:AD6)</f>
        <v>1292784.4300000002</v>
      </c>
      <c r="AF6" s="207">
        <f t="shared" si="1"/>
        <v>7.1738656548231096E-3</v>
      </c>
      <c r="AG6" s="386">
        <v>1292784.43</v>
      </c>
      <c r="AH6" s="482">
        <f t="shared" si="2"/>
        <v>0</v>
      </c>
    </row>
    <row r="7" spans="1:34">
      <c r="A7" s="202" t="s">
        <v>119</v>
      </c>
      <c r="B7" s="45">
        <f>8078817.9</f>
        <v>8078817.9000000004</v>
      </c>
      <c r="C7" s="208">
        <f>B7/B17</f>
        <v>7.7293909877473782E-2</v>
      </c>
      <c r="D7" s="45">
        <v>7899052.6200000001</v>
      </c>
      <c r="E7" s="208">
        <f>D7/D17</f>
        <v>8.3830477529156511E-2</v>
      </c>
      <c r="F7" s="45">
        <v>8599525.3800000008</v>
      </c>
      <c r="G7" s="208">
        <f>F7/F17</f>
        <v>7.4109376667504542E-2</v>
      </c>
      <c r="H7" s="45">
        <v>9752914.3900000006</v>
      </c>
      <c r="I7" s="208">
        <f>H7/H17</f>
        <v>7.8737750031677628E-2</v>
      </c>
      <c r="J7" s="45">
        <f>11176115.04</f>
        <v>11176115.039999999</v>
      </c>
      <c r="K7" s="208">
        <f>J7/J17</f>
        <v>7.2624682555531173E-2</v>
      </c>
      <c r="L7" s="209">
        <f>((D7+F7+H7+J7)/2.62)</f>
        <v>14285346.347328244</v>
      </c>
      <c r="M7" s="208">
        <f>L7/L17</f>
        <v>7.927165051851566E-2</v>
      </c>
      <c r="N7" s="209">
        <f t="shared" si="3"/>
        <v>13909174.970580397</v>
      </c>
      <c r="O7" s="209">
        <f t="shared" ref="O7:O16" si="5">(H7+J7+L7+N7)/3.15</f>
        <v>15594778.015209094</v>
      </c>
      <c r="P7" s="210"/>
      <c r="Q7" s="95">
        <v>4</v>
      </c>
      <c r="R7" s="102" t="s">
        <v>136</v>
      </c>
      <c r="S7" s="211">
        <f>2267014.1*M5</f>
        <v>146618.71652035782</v>
      </c>
      <c r="T7" s="211">
        <f>2267014.1*M6</f>
        <v>149803.63313634094</v>
      </c>
      <c r="U7" s="211">
        <f>2267014.1*M7</f>
        <v>179709.94945574732</v>
      </c>
      <c r="V7" s="211">
        <f>2267014.1*M8</f>
        <v>189531.24480332161</v>
      </c>
      <c r="W7" s="211">
        <f>2267014.1*M9</f>
        <v>190928.14122369501</v>
      </c>
      <c r="X7" s="211">
        <f>2267014.1*M10</f>
        <v>179362.15810935164</v>
      </c>
      <c r="Y7" s="211">
        <f>2267014.1*M11</f>
        <v>207082.80327011755</v>
      </c>
      <c r="Z7" s="211">
        <f>2267014.1*M12</f>
        <v>180508.64847325074</v>
      </c>
      <c r="AA7" s="211">
        <f>2267014.1*M13</f>
        <v>174585.55820730742</v>
      </c>
      <c r="AB7" s="211">
        <f>2267014.1*M14</f>
        <v>191676.30783546562</v>
      </c>
      <c r="AC7" s="211">
        <f>2267014.1*M15</f>
        <v>183104.56661890558</v>
      </c>
      <c r="AD7" s="211">
        <f>2267014.1*M16</f>
        <v>294102.37234613911</v>
      </c>
      <c r="AE7" s="45">
        <f t="shared" si="4"/>
        <v>2267014.1000000006</v>
      </c>
      <c r="AF7" s="207">
        <f t="shared" si="1"/>
        <v>1.2580020468679164E-2</v>
      </c>
      <c r="AG7" s="386">
        <v>2267014.1</v>
      </c>
      <c r="AH7" s="482">
        <f t="shared" si="2"/>
        <v>0</v>
      </c>
    </row>
    <row r="8" spans="1:34">
      <c r="A8" s="202" t="s">
        <v>120</v>
      </c>
      <c r="B8" s="45">
        <v>8695190.5800000001</v>
      </c>
      <c r="C8" s="208">
        <f>B8/B17</f>
        <v>8.3191041731238799E-2</v>
      </c>
      <c r="D8" s="45">
        <v>7799663.9400000004</v>
      </c>
      <c r="E8" s="208">
        <f>D8/D17</f>
        <v>8.2775692745941265E-2</v>
      </c>
      <c r="F8" s="45">
        <f>10080023.23</f>
        <v>10080023.23</v>
      </c>
      <c r="G8" s="208">
        <f>F8/F17</f>
        <v>8.6868077639101718E-2</v>
      </c>
      <c r="H8" s="45">
        <f>9810398.72</f>
        <v>9810398.7200000007</v>
      </c>
      <c r="I8" s="208">
        <f>H8/H17</f>
        <v>7.9201835598851203E-2</v>
      </c>
      <c r="J8" s="45">
        <f>11782970.82</f>
        <v>11782970.82</v>
      </c>
      <c r="K8" s="208">
        <f>J8/J17</f>
        <v>7.6568155597974849E-2</v>
      </c>
      <c r="L8" s="209">
        <f t="shared" ref="L8:L16" si="6">((D8+F8+H8+J8)/2.62)</f>
        <v>15066052.179389313</v>
      </c>
      <c r="M8" s="208">
        <f>L8/L17</f>
        <v>8.3603910890241745E-2</v>
      </c>
      <c r="N8" s="209">
        <f t="shared" si="3"/>
        <v>14837919.031552164</v>
      </c>
      <c r="O8" s="209">
        <f t="shared" si="5"/>
        <v>16348362.143156026</v>
      </c>
      <c r="P8" s="210"/>
      <c r="Q8" s="95">
        <v>5</v>
      </c>
      <c r="R8" s="102" t="s">
        <v>137</v>
      </c>
      <c r="S8" s="211">
        <f>10593557.4*M5</f>
        <v>685136.36036614806</v>
      </c>
      <c r="T8" s="211">
        <f>10593557.4*M6</f>
        <v>700019.19545113097</v>
      </c>
      <c r="U8" s="211">
        <f>10593557.4*M7</f>
        <v>839768.77996063547</v>
      </c>
      <c r="V8" s="211">
        <f>10593557.4*M8</f>
        <v>885662.82888026105</v>
      </c>
      <c r="W8" s="211">
        <f>10593557.4*M9</f>
        <v>892190.40293067391</v>
      </c>
      <c r="X8" s="211">
        <f>10593557.4*M10</f>
        <v>838143.58160334872</v>
      </c>
      <c r="Y8" s="211">
        <f>10593557.4*M11</f>
        <v>967679.71711993229</v>
      </c>
      <c r="Z8" s="211">
        <f>10593557.4*M12</f>
        <v>843501.03018671297</v>
      </c>
      <c r="AA8" s="211">
        <f>10593557.4*M13</f>
        <v>815822.95058515621</v>
      </c>
      <c r="AB8" s="211">
        <f>10593557.4*M14</f>
        <v>895686.51967143686</v>
      </c>
      <c r="AC8" s="211">
        <f>10593557.4*M15</f>
        <v>855631.52724965406</v>
      </c>
      <c r="AD8" s="211">
        <f>10593557.4*M16</f>
        <v>1374314.5059949108</v>
      </c>
      <c r="AE8" s="45">
        <f t="shared" si="4"/>
        <v>10593557.400000002</v>
      </c>
      <c r="AF8" s="207">
        <f t="shared" si="1"/>
        <v>5.8785328652401242E-2</v>
      </c>
      <c r="AG8" s="386">
        <v>10593557.4</v>
      </c>
      <c r="AH8" s="482">
        <f t="shared" si="2"/>
        <v>0</v>
      </c>
    </row>
    <row r="9" spans="1:34">
      <c r="A9" s="202" t="s">
        <v>280</v>
      </c>
      <c r="B9" s="45">
        <f>8219532.42</f>
        <v>8219532.4199999999</v>
      </c>
      <c r="C9" s="208">
        <f>B9/B17</f>
        <v>7.8640192905753442E-2</v>
      </c>
      <c r="D9" s="45">
        <f>7664973.99</f>
        <v>7664973.9900000002</v>
      </c>
      <c r="E9" s="208">
        <f>D9/D17</f>
        <v>8.1346265272792179E-2</v>
      </c>
      <c r="F9" s="45">
        <f>9454030.45</f>
        <v>9454030.4499999993</v>
      </c>
      <c r="G9" s="208">
        <f>F9/F17</f>
        <v>8.1473368899471446E-2</v>
      </c>
      <c r="H9" s="45">
        <f>10655694.71</f>
        <v>10655694.710000001</v>
      </c>
      <c r="I9" s="208">
        <f>H9/H17</f>
        <v>8.6026124391095957E-2</v>
      </c>
      <c r="J9" s="45">
        <v>11989284.640000001</v>
      </c>
      <c r="K9" s="208">
        <f>J9/J17</f>
        <v>7.790882501938759E-2</v>
      </c>
      <c r="L9" s="209">
        <f t="shared" si="6"/>
        <v>15177093.049618321</v>
      </c>
      <c r="M9" s="208">
        <f>L9/L17</f>
        <v>8.4220094274532739E-2</v>
      </c>
      <c r="N9" s="209">
        <f t="shared" si="3"/>
        <v>15008286.618926452</v>
      </c>
      <c r="O9" s="209">
        <f>((H9+J9+L9+N9)/3.15)-5409.33</f>
        <v>16766133.215569768</v>
      </c>
      <c r="P9" s="210"/>
      <c r="Q9" s="95">
        <v>6</v>
      </c>
      <c r="R9" s="102" t="s">
        <v>138</v>
      </c>
      <c r="S9" s="211">
        <f>3624054.99*M5</f>
        <v>234385.08443021955</v>
      </c>
      <c r="T9" s="211">
        <f>3624054.99*M6</f>
        <v>239476.5009127582</v>
      </c>
      <c r="U9" s="211">
        <f>3624054.99*M7</f>
        <v>287284.82062716276</v>
      </c>
      <c r="V9" s="211">
        <f>3624054.99*M8</f>
        <v>302985.17044529598</v>
      </c>
      <c r="W9" s="211">
        <f>3624054.99*M9</f>
        <v>305218.25291389081</v>
      </c>
      <c r="X9" s="211">
        <f>3624054.99*M10</f>
        <v>286728.84042201802</v>
      </c>
      <c r="Y9" s="211">
        <f>3624054.99*M11</f>
        <v>331043.14019672741</v>
      </c>
      <c r="Z9" s="211">
        <f>3624054.99*M12</f>
        <v>288561.6230784097</v>
      </c>
      <c r="AA9" s="211">
        <f>3624054.99*M13</f>
        <v>279092.95465040463</v>
      </c>
      <c r="AB9" s="211">
        <f>3624054.99*M14</f>
        <v>306414.27412202477</v>
      </c>
      <c r="AC9" s="211">
        <f>3624054.99*M15</f>
        <v>292711.46498252137</v>
      </c>
      <c r="AD9" s="211">
        <f>3624054.99*M16</f>
        <v>470152.86321856728</v>
      </c>
      <c r="AE9" s="45">
        <f t="shared" si="4"/>
        <v>3624054.9900000007</v>
      </c>
      <c r="AF9" s="207">
        <f t="shared" si="1"/>
        <v>2.0110455402028094E-2</v>
      </c>
      <c r="AG9" s="386">
        <v>3624054.99</v>
      </c>
      <c r="AH9" s="482">
        <f t="shared" si="2"/>
        <v>0</v>
      </c>
    </row>
    <row r="10" spans="1:34">
      <c r="A10" s="202" t="s">
        <v>281</v>
      </c>
      <c r="B10" s="45">
        <v>7486671.6799999997</v>
      </c>
      <c r="C10" s="208">
        <f>B10/B17</f>
        <v>7.1628564138839571E-2</v>
      </c>
      <c r="D10" s="45">
        <f>7453635.72+55.15</f>
        <v>7453690.8700000001</v>
      </c>
      <c r="E10" s="208">
        <f>D10/D17</f>
        <v>7.9103975507738039E-2</v>
      </c>
      <c r="F10" s="45">
        <f>8906802.9</f>
        <v>8906802.9000000004</v>
      </c>
      <c r="G10" s="208">
        <f>F10/F17</f>
        <v>7.6757446702171578E-2</v>
      </c>
      <c r="H10" s="45">
        <f>8869527.04</f>
        <v>8869527.0399999991</v>
      </c>
      <c r="I10" s="208">
        <f>H10/H17</f>
        <v>7.1605940034784363E-2</v>
      </c>
      <c r="J10" s="45">
        <v>11272675.199999999</v>
      </c>
      <c r="K10" s="208">
        <f>J10/J17</f>
        <v>7.3252150234810826E-2</v>
      </c>
      <c r="L10" s="209">
        <f>((D10+F10+H10+J10)/2.62)+325373.3</f>
        <v>14257700.021374045</v>
      </c>
      <c r="M10" s="208">
        <f>L10/L17</f>
        <v>7.9118236674995374E-2</v>
      </c>
      <c r="N10" s="209">
        <f t="shared" si="3"/>
        <v>13748160.368690172</v>
      </c>
      <c r="O10" s="209">
        <f t="shared" si="5"/>
        <v>15285099.247639433</v>
      </c>
      <c r="P10" s="210"/>
      <c r="Q10" s="95">
        <v>7</v>
      </c>
      <c r="R10" s="102" t="s">
        <v>139</v>
      </c>
      <c r="S10" s="211">
        <f>1406241.51*M5</f>
        <v>90948.408884554316</v>
      </c>
      <c r="T10" s="211">
        <f>1406241.51*M6</f>
        <v>92924.030452714913</v>
      </c>
      <c r="U10" s="211">
        <f>1406241.51*M7</f>
        <v>111475.08552534974</v>
      </c>
      <c r="V10" s="211">
        <f>1406241.51*M8</f>
        <v>117567.289892199</v>
      </c>
      <c r="W10" s="211">
        <f>1406241.51*M9</f>
        <v>118433.79254496128</v>
      </c>
      <c r="X10" s="211">
        <f>1406241.51*M10</f>
        <v>111259.34861038288</v>
      </c>
      <c r="Y10" s="211">
        <f>1406241.51*M11</f>
        <v>128454.61965393291</v>
      </c>
      <c r="Z10" s="211">
        <f>1406241.51*M12</f>
        <v>111970.52298752058</v>
      </c>
      <c r="AA10" s="211">
        <f>1406241.51*M13</f>
        <v>108296.39700857479</v>
      </c>
      <c r="AB10" s="211">
        <f>1406241.51*M14</f>
        <v>118897.88447357694</v>
      </c>
      <c r="AC10" s="211">
        <f>1406241.51*M15</f>
        <v>113580.78551433154</v>
      </c>
      <c r="AD10" s="211">
        <f>1406241.51*M16</f>
        <v>182433.34445190124</v>
      </c>
      <c r="AE10" s="45">
        <f t="shared" si="4"/>
        <v>1406241.51</v>
      </c>
      <c r="AF10" s="207">
        <f t="shared" si="1"/>
        <v>7.8034569699880962E-3</v>
      </c>
      <c r="AG10" s="386">
        <v>1406241.51</v>
      </c>
      <c r="AH10" s="482">
        <f t="shared" si="2"/>
        <v>0</v>
      </c>
    </row>
    <row r="11" spans="1:34">
      <c r="A11" s="202" t="s">
        <v>282</v>
      </c>
      <c r="B11" s="45">
        <v>9406077.1500000004</v>
      </c>
      <c r="C11" s="208">
        <f>B11/B17</f>
        <v>8.999243311730859E-2</v>
      </c>
      <c r="D11" s="45">
        <v>8077958.0199999996</v>
      </c>
      <c r="E11" s="208">
        <f>D11/D17</f>
        <v>8.57291514380467E-2</v>
      </c>
      <c r="F11" s="45">
        <v>9979327.3900000006</v>
      </c>
      <c r="G11" s="208">
        <f>F11/F17</f>
        <v>8.6000296499369702E-2</v>
      </c>
      <c r="H11" s="45">
        <f>10817635.8</f>
        <v>10817635.800000001</v>
      </c>
      <c r="I11" s="208">
        <f>H11/H17</f>
        <v>8.7333515859368382E-2</v>
      </c>
      <c r="J11" s="45">
        <f>14253541.57</f>
        <v>14253541.57</v>
      </c>
      <c r="K11" s="208">
        <f>J11/J17</f>
        <v>9.2622429897009861E-2</v>
      </c>
      <c r="L11" s="209">
        <f t="shared" si="6"/>
        <v>16461245.335877862</v>
      </c>
      <c r="M11" s="208">
        <f>L11/L17</f>
        <v>9.1346058796069038E-2</v>
      </c>
      <c r="N11" s="209">
        <f t="shared" si="3"/>
        <v>16352936.538373929</v>
      </c>
      <c r="O11" s="209">
        <f t="shared" si="5"/>
        <v>18376304.521984696</v>
      </c>
      <c r="P11" s="210"/>
      <c r="Q11" s="95">
        <v>8</v>
      </c>
      <c r="R11" s="102" t="s">
        <v>140</v>
      </c>
      <c r="S11" s="211">
        <f>21619230.49*M5</f>
        <v>1398219.722851122</v>
      </c>
      <c r="T11" s="211">
        <f>21619230.49*M6</f>
        <v>1428592.4701632671</v>
      </c>
      <c r="U11" s="211">
        <f>21619230.49*M7</f>
        <v>1713792.0838825179</v>
      </c>
      <c r="V11" s="211">
        <f>21619230.49*M8</f>
        <v>1807452.2194015572</v>
      </c>
      <c r="W11" s="211">
        <f>21619230.49*M9</f>
        <v>1820773.6300106526</v>
      </c>
      <c r="X11" s="211">
        <f>21619230.49*M10</f>
        <v>1710475.394639096</v>
      </c>
      <c r="Y11" s="211">
        <f>21619230.49*M11</f>
        <v>1974831.4994653084</v>
      </c>
      <c r="Z11" s="211">
        <f>21619230.49*M12</f>
        <v>1721408.8244010452</v>
      </c>
      <c r="AA11" s="211">
        <f>21619230.49*M13</f>
        <v>1664923.6646164176</v>
      </c>
      <c r="AB11" s="211">
        <f>21619230.49*M14</f>
        <v>1827908.4715737426</v>
      </c>
      <c r="AC11" s="211">
        <f>21619230.49*M15</f>
        <v>1746164.6266362786</v>
      </c>
      <c r="AD11" s="211">
        <f>21619230.49*M16</f>
        <v>2804687.8823589948</v>
      </c>
      <c r="AE11" s="45">
        <f t="shared" si="4"/>
        <v>21619230.489999998</v>
      </c>
      <c r="AF11" s="207">
        <f t="shared" si="1"/>
        <v>0.11996853574104041</v>
      </c>
      <c r="AG11" s="386">
        <v>21619230.489999998</v>
      </c>
      <c r="AH11" s="482">
        <f t="shared" si="2"/>
        <v>0</v>
      </c>
    </row>
    <row r="12" spans="1:34">
      <c r="A12" s="202" t="s">
        <v>283</v>
      </c>
      <c r="B12" s="45">
        <f>7641217.97</f>
        <v>7641217.9699999997</v>
      </c>
      <c r="C12" s="208">
        <f>B12/B17</f>
        <v>7.3107182317763739E-2</v>
      </c>
      <c r="D12" s="45">
        <v>7400073.3700000001</v>
      </c>
      <c r="E12" s="208">
        <f>D12/D17</f>
        <v>7.8534947695777527E-2</v>
      </c>
      <c r="F12" s="45">
        <v>8879675.7799999993</v>
      </c>
      <c r="G12" s="208">
        <f>F12/F17</f>
        <v>7.6523669387128096E-2</v>
      </c>
      <c r="H12" s="45">
        <f>9516468.8</f>
        <v>9516468.8000000007</v>
      </c>
      <c r="I12" s="208">
        <f>H12/H17</f>
        <v>7.6828864849562084E-2</v>
      </c>
      <c r="J12" s="45">
        <f>11797731.93</f>
        <v>11797731.93</v>
      </c>
      <c r="K12" s="208">
        <f>J12/J17</f>
        <v>7.6664076311396323E-2</v>
      </c>
      <c r="L12" s="209">
        <f t="shared" si="6"/>
        <v>14348835.832061067</v>
      </c>
      <c r="M12" s="208">
        <f>L12/L17</f>
        <v>7.9623963729758329E-2</v>
      </c>
      <c r="N12" s="209">
        <f t="shared" si="3"/>
        <v>14140543.600654306</v>
      </c>
      <c r="O12" s="209">
        <f t="shared" si="5"/>
        <v>15810660.369115993</v>
      </c>
      <c r="P12" s="210"/>
      <c r="Q12" s="95">
        <v>9</v>
      </c>
      <c r="R12" s="102" t="s">
        <v>141</v>
      </c>
      <c r="S12" s="211">
        <f>46335083.1*M5</f>
        <v>2996712.9070728417</v>
      </c>
      <c r="T12" s="211">
        <f>46335083.1*M6</f>
        <v>3061808.8304145397</v>
      </c>
      <c r="U12" s="211">
        <f>46335083.1*M7</f>
        <v>3673058.5142495814</v>
      </c>
      <c r="V12" s="211">
        <f>46335083.1*M8</f>
        <v>3873794.1585843465</v>
      </c>
      <c r="W12" s="211">
        <f>46335083.1*M9</f>
        <v>3902345.0669003087</v>
      </c>
      <c r="X12" s="211">
        <f>46335083.1*M10</f>
        <v>3665950.0710613783</v>
      </c>
      <c r="Y12" s="211">
        <f>46335083.1*M11</f>
        <v>4232527.2251733448</v>
      </c>
      <c r="Z12" s="211">
        <f>46335083.1*M12</f>
        <v>3689382.9761697385</v>
      </c>
      <c r="AA12" s="211">
        <f>46335083.1*M13</f>
        <v>3568322.026579136</v>
      </c>
      <c r="AB12" s="211">
        <f>46335083.1*M14</f>
        <v>3917636.7062990391</v>
      </c>
      <c r="AC12" s="211">
        <f>46335083.1*M15</f>
        <v>3742440.4684013547</v>
      </c>
      <c r="AD12" s="211">
        <f>46335083.1*M16</f>
        <v>6011104.1490943953</v>
      </c>
      <c r="AE12" s="45">
        <f t="shared" si="4"/>
        <v>46335083.100000009</v>
      </c>
      <c r="AF12" s="207">
        <f t="shared" si="1"/>
        <v>0.25712071831222838</v>
      </c>
      <c r="AG12" s="386">
        <v>46335083.100000001</v>
      </c>
      <c r="AH12" s="482">
        <f t="shared" si="2"/>
        <v>0</v>
      </c>
    </row>
    <row r="13" spans="1:34">
      <c r="A13" s="202" t="s">
        <v>284</v>
      </c>
      <c r="B13" s="45">
        <v>7402995.8799999999</v>
      </c>
      <c r="C13" s="208">
        <f>B13/B17</f>
        <v>7.0827997790621031E-2</v>
      </c>
      <c r="D13" s="45">
        <f>6729771.56</f>
        <v>6729771.5599999996</v>
      </c>
      <c r="E13" s="208">
        <f>D13/D17</f>
        <v>7.1421218553287272E-2</v>
      </c>
      <c r="F13" s="45">
        <f>8643003.18</f>
        <v>8643003.1799999997</v>
      </c>
      <c r="G13" s="208">
        <f>F13/F17</f>
        <v>7.4484061608183716E-2</v>
      </c>
      <c r="H13" s="45">
        <f>10310037.68</f>
        <v>10310037.68</v>
      </c>
      <c r="I13" s="208">
        <f>H13/H17</f>
        <v>8.3235547571028926E-2</v>
      </c>
      <c r="J13" s="45">
        <f>10677554.69</f>
        <v>10677554.689999999</v>
      </c>
      <c r="K13" s="208">
        <f>J13/J17</f>
        <v>6.9384935378275517E-2</v>
      </c>
      <c r="L13" s="209">
        <f t="shared" si="6"/>
        <v>13878002.713740457</v>
      </c>
      <c r="M13" s="208">
        <f>L13/L17</f>
        <v>7.701123614860067E-2</v>
      </c>
      <c r="N13" s="209">
        <f t="shared" si="3"/>
        <v>13812253.417060461</v>
      </c>
      <c r="O13" s="209">
        <f>(H13+J13+L13+N13)/3.15</f>
        <v>15453285.238349499</v>
      </c>
      <c r="P13" s="210"/>
      <c r="Q13" s="95">
        <v>10</v>
      </c>
      <c r="R13" s="102" t="s">
        <v>285</v>
      </c>
      <c r="S13" s="211">
        <f>29524656.15*M5</f>
        <v>1909501.6614223479</v>
      </c>
      <c r="T13" s="211">
        <f>29524656.15*M6</f>
        <v>1950980.7011660014</v>
      </c>
      <c r="U13" s="211">
        <f>29524656.15*M7</f>
        <v>2340468.2240021438</v>
      </c>
      <c r="V13" s="211">
        <f>29524656.15*M8</f>
        <v>2468376.7218296276</v>
      </c>
      <c r="W13" s="211">
        <f>29524656.15*M9</f>
        <v>2486569.3243761626</v>
      </c>
      <c r="X13" s="211">
        <f>29524656.15*M10</f>
        <v>2335938.7330235578</v>
      </c>
      <c r="Y13" s="211">
        <f>29524656.15*M11</f>
        <v>2696960.9766116212</v>
      </c>
      <c r="Z13" s="211">
        <f>29524656.15*M12</f>
        <v>2350870.1504211859</v>
      </c>
      <c r="AA13" s="211">
        <f>29524656.15*M13</f>
        <v>2273730.2669738848</v>
      </c>
      <c r="AB13" s="211">
        <f>29524656.15*M14</f>
        <v>2496313.1375952503</v>
      </c>
      <c r="AC13" s="211">
        <f>29524656.15*M15</f>
        <v>2384678.3171388102</v>
      </c>
      <c r="AD13" s="211">
        <f>29524656.15*M16</f>
        <v>3830267.9354394069</v>
      </c>
      <c r="AE13" s="45">
        <f t="shared" si="4"/>
        <v>29524656.150000002</v>
      </c>
      <c r="AF13" s="207">
        <f t="shared" si="1"/>
        <v>0.16383699541070965</v>
      </c>
      <c r="AG13" s="386">
        <v>29524656.149999999</v>
      </c>
      <c r="AH13" s="482">
        <f t="shared" si="2"/>
        <v>0</v>
      </c>
    </row>
    <row r="14" spans="1:34">
      <c r="A14" s="202" t="s">
        <v>286</v>
      </c>
      <c r="B14" s="45">
        <v>9451675.9000000004</v>
      </c>
      <c r="C14" s="208">
        <f>B14/B17</f>
        <v>9.0428698139822031E-2</v>
      </c>
      <c r="D14" s="45">
        <f>7115297.7</f>
        <v>7115297.7000000002</v>
      </c>
      <c r="E14" s="208">
        <f>D14/D17</f>
        <v>7.5512701667900653E-2</v>
      </c>
      <c r="F14" s="45">
        <f>10001253.91</f>
        <v>10001253.91</v>
      </c>
      <c r="G14" s="208">
        <f>F14/F17</f>
        <v>8.6189255849785332E-2</v>
      </c>
      <c r="H14" s="45">
        <v>9354372.8800000008</v>
      </c>
      <c r="I14" s="208">
        <f>H14/H17</f>
        <v>7.5520223399453468E-2</v>
      </c>
      <c r="J14" s="45">
        <v>13448877.529999999</v>
      </c>
      <c r="K14" s="208">
        <f>J14/J17</f>
        <v>8.7393558302569702E-2</v>
      </c>
      <c r="L14" s="209">
        <f t="shared" si="6"/>
        <v>15236565.656488551</v>
      </c>
      <c r="M14" s="208">
        <f>L14/L17</f>
        <v>8.4550117194006694E-2</v>
      </c>
      <c r="N14" s="209">
        <f t="shared" si="3"/>
        <v>15251133.325869381</v>
      </c>
      <c r="O14" s="209">
        <f t="shared" si="5"/>
        <v>16917761.711859662</v>
      </c>
      <c r="P14" s="210"/>
      <c r="Q14" s="95">
        <v>11</v>
      </c>
      <c r="R14" s="102" t="s">
        <v>143</v>
      </c>
      <c r="S14" s="211">
        <f>4812513*M5</f>
        <v>311248.38583824277</v>
      </c>
      <c r="T14" s="211">
        <f>4812513*M6</f>
        <v>318009.46095389151</v>
      </c>
      <c r="U14" s="211">
        <f>4812513*M7</f>
        <v>381495.84865181334</v>
      </c>
      <c r="V14" s="211">
        <f>4812513*M8</f>
        <v>402344.90801012999</v>
      </c>
      <c r="W14" s="211">
        <f>4812513*M9</f>
        <v>405310.29855741438</v>
      </c>
      <c r="X14" s="211">
        <f>4812513*M10</f>
        <v>380757.54253549199</v>
      </c>
      <c r="Y14" s="211">
        <f>4812513*M11</f>
        <v>439604.09545484657</v>
      </c>
      <c r="Z14" s="211">
        <f>4812513*M12</f>
        <v>383191.36056099046</v>
      </c>
      <c r="AA14" s="211">
        <f>4812513*M13</f>
        <v>370617.57511121064</v>
      </c>
      <c r="AB14" s="211">
        <f>4812513*M14</f>
        <v>406898.53814768075</v>
      </c>
      <c r="AC14" s="211">
        <f>4812513*M15</f>
        <v>388702.08491991693</v>
      </c>
      <c r="AD14" s="211">
        <f>4812513*M16</f>
        <v>624332.90125837107</v>
      </c>
      <c r="AE14" s="45">
        <f t="shared" si="4"/>
        <v>4812513.0000000009</v>
      </c>
      <c r="AF14" s="207">
        <f t="shared" si="1"/>
        <v>2.6705397220857411E-2</v>
      </c>
      <c r="AG14" s="386">
        <v>4812513</v>
      </c>
      <c r="AH14" s="482">
        <f t="shared" si="2"/>
        <v>0</v>
      </c>
    </row>
    <row r="15" spans="1:34">
      <c r="A15" s="202" t="s">
        <v>287</v>
      </c>
      <c r="B15" s="45">
        <v>8798730.4900000002</v>
      </c>
      <c r="C15" s="208">
        <f>B15/B17</f>
        <v>8.4181657508364025E-2</v>
      </c>
      <c r="D15" s="45">
        <v>8267235.1900000004</v>
      </c>
      <c r="E15" s="208">
        <f>D15/D17</f>
        <v>8.7737898095372718E-2</v>
      </c>
      <c r="F15" s="45">
        <v>7399552.2000000002</v>
      </c>
      <c r="G15" s="208">
        <f>F15/F17</f>
        <v>6.3768193816373372E-2</v>
      </c>
      <c r="H15" s="45">
        <f>9067503.09</f>
        <v>9067503.0899999999</v>
      </c>
      <c r="I15" s="208">
        <f>H15/H17</f>
        <v>7.3204250869250628E-2</v>
      </c>
      <c r="J15" s="45">
        <v>13400302.84</v>
      </c>
      <c r="K15" s="208">
        <f>J15/J17</f>
        <v>8.7077910026862326E-2</v>
      </c>
      <c r="L15" s="209">
        <f t="shared" si="6"/>
        <v>14555188.290076336</v>
      </c>
      <c r="M15" s="208">
        <f>L15/L17</f>
        <v>8.0769046217624124E-2</v>
      </c>
      <c r="N15" s="209">
        <f t="shared" si="3"/>
        <v>14102395.688913122</v>
      </c>
      <c r="O15" s="209">
        <f t="shared" si="5"/>
        <v>16230282.510790305</v>
      </c>
      <c r="P15" s="210"/>
      <c r="Q15" s="95">
        <v>12</v>
      </c>
      <c r="R15" s="102" t="s">
        <v>144</v>
      </c>
      <c r="S15" s="211">
        <f>2280833.24*M5</f>
        <v>147512.46683722403</v>
      </c>
      <c r="T15" s="211">
        <f>2280833.24*M6</f>
        <v>150716.79789293409</v>
      </c>
      <c r="U15" s="211">
        <f>2280833.24*M7</f>
        <v>180805.41549229377</v>
      </c>
      <c r="V15" s="211">
        <f>2280833.24*M8</f>
        <v>190686.57895246139</v>
      </c>
      <c r="W15" s="211">
        <f>2280833.24*M9</f>
        <v>192091.99049728797</v>
      </c>
      <c r="X15" s="211">
        <f>2280833.24*M10</f>
        <v>180455.50409851654</v>
      </c>
      <c r="Y15" s="211">
        <f>2280833.24*M11</f>
        <v>208345.12724506867</v>
      </c>
      <c r="Z15" s="211">
        <f>2280833.24*M12</f>
        <v>181608.9831753872</v>
      </c>
      <c r="AA15" s="211">
        <f>2280833.24*M13</f>
        <v>175649.78726121801</v>
      </c>
      <c r="AB15" s="211">
        <f>2280833.24*M14</f>
        <v>192844.71774198601</v>
      </c>
      <c r="AC15" s="211">
        <f>2280833.24*M15</f>
        <v>184220.72537625339</v>
      </c>
      <c r="AD15" s="211">
        <f>2280833.24*M16</f>
        <v>295895.14542936935</v>
      </c>
      <c r="AE15" s="45">
        <f t="shared" si="4"/>
        <v>2280833.2400000007</v>
      </c>
      <c r="AF15" s="207">
        <f t="shared" si="1"/>
        <v>1.2656705066300124E-2</v>
      </c>
      <c r="AG15" s="386">
        <v>2280833.2400000002</v>
      </c>
      <c r="AH15" s="482">
        <f t="shared" si="2"/>
        <v>0</v>
      </c>
    </row>
    <row r="16" spans="1:34">
      <c r="A16" s="202" t="s">
        <v>288</v>
      </c>
      <c r="B16" s="45">
        <v>12805492.609999999</v>
      </c>
      <c r="C16" s="208">
        <f>B16/B17</f>
        <v>0.12251626463000193</v>
      </c>
      <c r="D16" s="45">
        <v>11098810.23</v>
      </c>
      <c r="E16" s="208">
        <f>D16/D17</f>
        <v>0.11778862685768351</v>
      </c>
      <c r="F16" s="45">
        <f>15020134.53</f>
        <v>15020134.529999999</v>
      </c>
      <c r="G16" s="208">
        <f>F16/F17</f>
        <v>0.12944119103005206</v>
      </c>
      <c r="H16" s="45">
        <v>14606142.369999999</v>
      </c>
      <c r="I16" s="208">
        <f>H16/H17</f>
        <v>0.11791908970669795</v>
      </c>
      <c r="J16" s="45">
        <f>20526658.64</f>
        <v>20526658.640000001</v>
      </c>
      <c r="K16" s="208">
        <f>J16/J17</f>
        <v>0.13338642831791675</v>
      </c>
      <c r="L16" s="209">
        <f t="shared" si="6"/>
        <v>23378528.919847324</v>
      </c>
      <c r="M16" s="208">
        <f>L16/L17</f>
        <v>0.12973116150717329</v>
      </c>
      <c r="N16" s="209">
        <f t="shared" si="3"/>
        <v>23343322.050745185</v>
      </c>
      <c r="O16" s="209">
        <f t="shared" si="5"/>
        <v>25985603.803362701</v>
      </c>
      <c r="P16" s="210"/>
      <c r="Q16" s="95">
        <v>13</v>
      </c>
      <c r="R16" s="102" t="s">
        <v>145</v>
      </c>
      <c r="S16" s="211">
        <f>3242059.87*M5</f>
        <v>209679.6208817396</v>
      </c>
      <c r="T16" s="211">
        <f>3242059.87*M6</f>
        <v>214234.37435679522</v>
      </c>
      <c r="U16" s="211">
        <f>3242059.87*M7</f>
        <v>257003.43697474431</v>
      </c>
      <c r="V16" s="211">
        <f>3242059.87*M8</f>
        <v>271048.88447230874</v>
      </c>
      <c r="W16" s="211">
        <f>3242059.87*M9</f>
        <v>273046.58789507934</v>
      </c>
      <c r="X16" s="211">
        <f>3242059.87*M10</f>
        <v>256506.06010916474</v>
      </c>
      <c r="Y16" s="211">
        <f>3242059.87*M11</f>
        <v>296149.39150539594</v>
      </c>
      <c r="Z16" s="211">
        <f>3242059.87*M12</f>
        <v>258145.657498585</v>
      </c>
      <c r="AA16" s="211">
        <f>3242059.87*M13</f>
        <v>249675.0382564716</v>
      </c>
      <c r="AB16" s="211">
        <f>3242059.87*M14</f>
        <v>274116.54195848614</v>
      </c>
      <c r="AC16" s="211">
        <f>3242059.87*M15</f>
        <v>261858.08348033446</v>
      </c>
      <c r="AD16" s="211">
        <f>3242059.87*M16</f>
        <v>420596.19261089526</v>
      </c>
      <c r="AE16" s="45">
        <f>SUM(S16:AD16)</f>
        <v>3242059.8700000006</v>
      </c>
      <c r="AF16" s="207">
        <f t="shared" si="1"/>
        <v>1.799070395075324E-2</v>
      </c>
      <c r="AG16" s="386">
        <v>3242059.87</v>
      </c>
      <c r="AH16" s="482">
        <f t="shared" si="2"/>
        <v>0</v>
      </c>
    </row>
    <row r="17" spans="1:34">
      <c r="A17" s="102" t="s">
        <v>255</v>
      </c>
      <c r="B17" s="209">
        <f>SUM(B5:B16)</f>
        <v>104520756.06999999</v>
      </c>
      <c r="C17" s="208">
        <f>B17/B17</f>
        <v>1</v>
      </c>
      <c r="D17" s="45">
        <f>SUM(D5:D16)</f>
        <v>94226501.539999992</v>
      </c>
      <c r="E17" s="208">
        <f>D17/D17</f>
        <v>1</v>
      </c>
      <c r="F17" s="45">
        <f>SUM(F5:F16)</f>
        <v>116038290.52</v>
      </c>
      <c r="G17" s="208">
        <f>F17/F17</f>
        <v>1</v>
      </c>
      <c r="H17" s="45">
        <f>SUM(H5:H16)</f>
        <v>123865799.90000001</v>
      </c>
      <c r="I17" s="208">
        <f>H17/H17</f>
        <v>1</v>
      </c>
      <c r="J17" s="45">
        <f>SUM(J5:J16)</f>
        <v>153888659.43000001</v>
      </c>
      <c r="K17" s="208">
        <f>J17/J17</f>
        <v>1</v>
      </c>
      <c r="L17" s="209">
        <f>SUM(L5:L16)</f>
        <v>180207504.8758015</v>
      </c>
      <c r="M17" s="208">
        <f>L17/L17</f>
        <v>1</v>
      </c>
      <c r="N17" s="209">
        <f>SUM(N5:N16)</f>
        <v>181868252.92755604</v>
      </c>
      <c r="O17" s="209">
        <f>SUM(O5:O16)</f>
        <v>203115294.52185959</v>
      </c>
      <c r="P17" s="212"/>
      <c r="Q17" s="95">
        <v>14</v>
      </c>
      <c r="R17" s="102" t="s">
        <v>289</v>
      </c>
      <c r="S17" s="211">
        <f>708.85*M5</f>
        <v>45.844742300215792</v>
      </c>
      <c r="T17" s="211">
        <f>708.85*M6</f>
        <v>46.840602071550975</v>
      </c>
      <c r="U17" s="211">
        <f>708.85*M7</f>
        <v>56.19170947004983</v>
      </c>
      <c r="V17" s="211">
        <f>708.85*M8</f>
        <v>59.262632234547866</v>
      </c>
      <c r="W17" s="211">
        <f>708.85*M9</f>
        <v>59.699413826502536</v>
      </c>
      <c r="X17" s="211">
        <f>708.85*M10</f>
        <v>56.082962067070476</v>
      </c>
      <c r="Y17" s="211">
        <f>708.85*M11</f>
        <v>64.750653777593541</v>
      </c>
      <c r="Z17" s="211">
        <f>708.85*M12</f>
        <v>56.441446689839196</v>
      </c>
      <c r="AA17" s="211">
        <f>708.85*M13</f>
        <v>54.589414743935585</v>
      </c>
      <c r="AB17" s="211">
        <f>708.85*M14</f>
        <v>59.933350572971648</v>
      </c>
      <c r="AC17" s="211">
        <f>708.85*M15</f>
        <v>57.253138411362862</v>
      </c>
      <c r="AD17" s="211">
        <f>708.85*M16</f>
        <v>91.959933834359788</v>
      </c>
      <c r="AE17" s="45">
        <f t="shared" si="4"/>
        <v>708.85000000000014</v>
      </c>
      <c r="AF17" s="207">
        <f t="shared" si="1"/>
        <v>3.9335209733469348E-6</v>
      </c>
      <c r="AG17" s="386">
        <v>708.85</v>
      </c>
      <c r="AH17" s="482">
        <f t="shared" si="2"/>
        <v>0</v>
      </c>
    </row>
    <row r="18" spans="1:34">
      <c r="A18" s="685" t="s">
        <v>290</v>
      </c>
      <c r="B18" s="686"/>
      <c r="C18" s="213"/>
      <c r="D18" s="213">
        <f>(D17-B17)/B17</f>
        <v>-9.849005036957155E-2</v>
      </c>
      <c r="E18" s="214"/>
      <c r="F18" s="213">
        <f>(F17-D17)/D17</f>
        <v>0.23148253011113551</v>
      </c>
      <c r="G18" s="95"/>
      <c r="H18" s="213">
        <f>(H17-F17)/F17</f>
        <v>6.7456262453736204E-2</v>
      </c>
      <c r="I18" s="95"/>
      <c r="J18" s="213">
        <f>(J17-H17)/H17</f>
        <v>0.2423821551569377</v>
      </c>
      <c r="K18" s="215"/>
      <c r="L18" s="213">
        <f>(L17-J17)/J17</f>
        <v>0.17102524346684078</v>
      </c>
      <c r="M18" s="95"/>
      <c r="N18" s="213">
        <f>(N17-L17)/L17</f>
        <v>9.2157540991376422E-3</v>
      </c>
      <c r="O18" s="213">
        <f>(O17-N17)/N17</f>
        <v>0.11682655577478344</v>
      </c>
      <c r="Q18" s="95">
        <v>15</v>
      </c>
      <c r="R18" s="102" t="s">
        <v>146</v>
      </c>
      <c r="S18" s="211">
        <f>41552033.47*M5</f>
        <v>2687370.0592256351</v>
      </c>
      <c r="T18" s="211">
        <f>41552033.47*M6</f>
        <v>2745746.3003908265</v>
      </c>
      <c r="U18" s="211">
        <f>41552033.47*M7</f>
        <v>3293898.2755675055</v>
      </c>
      <c r="V18" s="211">
        <f>41552033.47*M8</f>
        <v>3473912.5035342225</v>
      </c>
      <c r="W18" s="211">
        <f>41552033.47*M9</f>
        <v>3499516.1761419396</v>
      </c>
      <c r="X18" s="211">
        <f>41552033.47*M10</f>
        <v>3287523.6184067894</v>
      </c>
      <c r="Y18" s="211">
        <f>41552033.47*M11</f>
        <v>3795614.4924468487</v>
      </c>
      <c r="Z18" s="211">
        <f>41552033.47*M12</f>
        <v>3308537.6059129839</v>
      </c>
      <c r="AA18" s="211">
        <f>41552033.47*M13</f>
        <v>3199973.4620127287</v>
      </c>
      <c r="AB18" s="211">
        <f>41552033.47*M14</f>
        <v>3513229.2995377886</v>
      </c>
      <c r="AC18" s="211">
        <f>41552033.47*M15</f>
        <v>3356118.1117746946</v>
      </c>
      <c r="AD18" s="211">
        <f>41552033.47*M16</f>
        <v>5390593.5650480399</v>
      </c>
      <c r="AE18" s="45">
        <f t="shared" si="4"/>
        <v>41552033.469999999</v>
      </c>
      <c r="AF18" s="207">
        <f t="shared" si="1"/>
        <v>0.23057881800022398</v>
      </c>
      <c r="AG18" s="386">
        <v>41552033.469999999</v>
      </c>
      <c r="AH18" s="482">
        <f t="shared" si="2"/>
        <v>0</v>
      </c>
    </row>
    <row r="19" spans="1:34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386">
        <f>180207504.88-L17</f>
        <v>4.1984915733337402E-3</v>
      </c>
      <c r="M19" s="216"/>
      <c r="N19" s="217"/>
      <c r="O19" s="217"/>
      <c r="P19" s="203"/>
      <c r="Q19" s="95">
        <v>16</v>
      </c>
      <c r="R19" s="102" t="s">
        <v>147</v>
      </c>
      <c r="S19" s="211">
        <f>4343603.46*M5</f>
        <v>280921.74829375139</v>
      </c>
      <c r="T19" s="211">
        <f>4343603.46*M6</f>
        <v>287024.05477389006</v>
      </c>
      <c r="U19" s="211">
        <f>4343603.46*M7</f>
        <v>344324.61547213543</v>
      </c>
      <c r="V19" s="211">
        <f>4343603.46*M8</f>
        <v>363142.23661238572</v>
      </c>
      <c r="W19" s="211">
        <f>4343603.46*M9</f>
        <v>365818.69289238658</v>
      </c>
      <c r="X19" s="211">
        <f>4343603.46*M10</f>
        <v>343658.24657060881</v>
      </c>
      <c r="Y19" s="211">
        <f>4343603.46*M11</f>
        <v>396771.05704396893</v>
      </c>
      <c r="Z19" s="211">
        <f>4343603.46*M12</f>
        <v>345854.92435549275</v>
      </c>
      <c r="AA19" s="211">
        <f>4343603.46*M13</f>
        <v>334506.27179393894</v>
      </c>
      <c r="AB19" s="211">
        <f>4343603.46*M14</f>
        <v>367252.18158729299</v>
      </c>
      <c r="AC19" s="211">
        <f>4343603.46*M15</f>
        <v>350828.70861177205</v>
      </c>
      <c r="AD19" s="211">
        <f>4343603.46*M16</f>
        <v>563500.72199237673</v>
      </c>
      <c r="AE19" s="45">
        <f>SUM(S19:AD19)</f>
        <v>4343603.46</v>
      </c>
      <c r="AF19" s="207">
        <f t="shared" si="1"/>
        <v>2.4103343880669124E-2</v>
      </c>
      <c r="AG19" s="386">
        <v>4343603.46</v>
      </c>
      <c r="AH19" s="482">
        <f t="shared" si="2"/>
        <v>0</v>
      </c>
    </row>
    <row r="20" spans="1:34">
      <c r="A20" s="202" t="s">
        <v>261</v>
      </c>
      <c r="B20" s="682" t="s">
        <v>291</v>
      </c>
      <c r="C20" s="682"/>
      <c r="D20" s="682"/>
      <c r="E20" s="682"/>
      <c r="F20" s="682"/>
      <c r="G20" s="682"/>
      <c r="H20" s="682"/>
      <c r="I20" s="682"/>
      <c r="J20" s="682"/>
      <c r="K20" s="682"/>
      <c r="L20" s="682" t="s">
        <v>263</v>
      </c>
      <c r="M20" s="682"/>
      <c r="N20" s="682" t="s">
        <v>264</v>
      </c>
      <c r="O20" s="682"/>
      <c r="P20" s="63"/>
      <c r="Q20" s="218" t="s">
        <v>292</v>
      </c>
      <c r="R20" s="102" t="s">
        <v>277</v>
      </c>
      <c r="S20" s="45">
        <f t="shared" ref="S20:AD20" si="7">SUM(S4:S19)</f>
        <v>11743329.971881812</v>
      </c>
      <c r="T20" s="45">
        <f t="shared" si="7"/>
        <v>11989843.256989833</v>
      </c>
      <c r="U20" s="45">
        <f t="shared" si="7"/>
        <v>14304599.079600548</v>
      </c>
      <c r="V20" s="45">
        <f t="shared" si="7"/>
        <v>15064769.618445041</v>
      </c>
      <c r="W20" s="45">
        <f t="shared" si="7"/>
        <v>15172889.72551905</v>
      </c>
      <c r="X20" s="45">
        <f t="shared" si="7"/>
        <v>14277679.948687702</v>
      </c>
      <c r="Y20" s="45">
        <f t="shared" si="7"/>
        <v>16423264.316454535</v>
      </c>
      <c r="Z20" s="45">
        <f t="shared" si="7"/>
        <v>14366418.568886152</v>
      </c>
      <c r="AA20" s="45">
        <f t="shared" si="7"/>
        <v>13907970.007902924</v>
      </c>
      <c r="AB20" s="45">
        <f t="shared" si="7"/>
        <v>15230797.994875355</v>
      </c>
      <c r="AC20" s="45">
        <f>SUM(AC4:AC19)</f>
        <v>14567343.235719029</v>
      </c>
      <c r="AD20" s="45">
        <f t="shared" si="7"/>
        <v>23158599.155038036</v>
      </c>
      <c r="AE20" s="45">
        <f>SUM(AE4:AE19)</f>
        <v>180207504.88000003</v>
      </c>
      <c r="AF20" s="129">
        <f>SUM(AF4:AF19)</f>
        <v>0.99999999999999989</v>
      </c>
      <c r="AG20" s="119">
        <f>SUM(AG4:AG19)</f>
        <v>180207504.88</v>
      </c>
      <c r="AH20" s="482">
        <f t="shared" si="2"/>
        <v>0</v>
      </c>
    </row>
    <row r="21" spans="1:34">
      <c r="A21" s="205" t="s">
        <v>278</v>
      </c>
      <c r="B21" s="205">
        <f>B4</f>
        <v>2017</v>
      </c>
      <c r="C21" s="206" t="s">
        <v>279</v>
      </c>
      <c r="D21" s="205">
        <f>D4</f>
        <v>2018</v>
      </c>
      <c r="E21" s="205"/>
      <c r="F21" s="205">
        <f>F4</f>
        <v>2019</v>
      </c>
      <c r="G21" s="206" t="s">
        <v>279</v>
      </c>
      <c r="H21" s="205">
        <f>H4</f>
        <v>2020</v>
      </c>
      <c r="I21" s="206" t="s">
        <v>279</v>
      </c>
      <c r="J21" s="205">
        <f>J4</f>
        <v>2021</v>
      </c>
      <c r="K21" s="206" t="s">
        <v>279</v>
      </c>
      <c r="L21" s="205">
        <f>L4</f>
        <v>2022</v>
      </c>
      <c r="M21" s="205" t="s">
        <v>279</v>
      </c>
      <c r="N21" s="205">
        <f>N4</f>
        <v>2023</v>
      </c>
      <c r="O21" s="205">
        <f>O4</f>
        <v>2024</v>
      </c>
      <c r="P21" s="210"/>
      <c r="Q21" s="331"/>
      <c r="R21" s="332" t="s">
        <v>293</v>
      </c>
      <c r="S21" s="213">
        <f>S20/$AE$20</f>
        <v>6.5165598845074085E-2</v>
      </c>
      <c r="T21" s="213">
        <f t="shared" ref="T21:AC21" si="8">T20/$AE$20</f>
        <v>6.6533540126277518E-2</v>
      </c>
      <c r="U21" s="213">
        <f t="shared" si="8"/>
        <v>7.9378486978807936E-2</v>
      </c>
      <c r="V21" s="213">
        <f t="shared" si="8"/>
        <v>8.3596793754381393E-2</v>
      </c>
      <c r="W21" s="213">
        <f t="shared" si="8"/>
        <v>8.4196769361091037E-2</v>
      </c>
      <c r="X21" s="213">
        <f t="shared" si="8"/>
        <v>7.9229108455805955E-2</v>
      </c>
      <c r="Y21" s="213">
        <f t="shared" si="8"/>
        <v>9.1135296098743324E-2</v>
      </c>
      <c r="Z21" s="213">
        <f t="shared" si="8"/>
        <v>7.9721533120680699E-2</v>
      </c>
      <c r="AA21" s="213">
        <f t="shared" si="8"/>
        <v>7.7177529410688117E-2</v>
      </c>
      <c r="AB21" s="213">
        <f>AB20/$AE$20</f>
        <v>8.4518111523809877E-2</v>
      </c>
      <c r="AC21" s="213">
        <f t="shared" si="8"/>
        <v>8.083649593516877E-2</v>
      </c>
      <c r="AD21" s="213">
        <f>AD20/$AE$20</f>
        <v>0.12851073638947125</v>
      </c>
      <c r="AE21" s="213">
        <f>AE20/$AE$20</f>
        <v>1</v>
      </c>
      <c r="AF21" s="61"/>
    </row>
    <row r="22" spans="1:34">
      <c r="A22" s="202" t="s">
        <v>117</v>
      </c>
      <c r="B22" s="45">
        <v>5981651.0099999998</v>
      </c>
      <c r="C22" s="208">
        <f>B22/B34</f>
        <v>6.2053543707761512E-2</v>
      </c>
      <c r="D22" s="45">
        <v>7670864.2400000002</v>
      </c>
      <c r="E22" s="208">
        <f>D22/D34</f>
        <v>7.2802734232698077E-2</v>
      </c>
      <c r="F22" s="45">
        <v>7979821.7400000002</v>
      </c>
      <c r="G22" s="208">
        <f>F22/F34</f>
        <v>6.8577942666855726E-2</v>
      </c>
      <c r="H22" s="45">
        <f>7671797.23</f>
        <v>7671797.2300000004</v>
      </c>
      <c r="I22" s="208">
        <f>H22/H34</f>
        <v>6.2068218910190799E-2</v>
      </c>
      <c r="J22" s="45">
        <v>9502229.8300000001</v>
      </c>
      <c r="K22" s="208">
        <f>J22/J34</f>
        <v>6.8250821360057237E-2</v>
      </c>
      <c r="L22" s="45">
        <f>21974771.81-L23</f>
        <v>10042746.339999998</v>
      </c>
      <c r="M22" s="208">
        <f>L22/L34</f>
        <v>5.6820339450432654E-2</v>
      </c>
      <c r="N22" s="209">
        <f>(F22+H22+J22+L22)/3.2</f>
        <v>10998935.981249999</v>
      </c>
      <c r="O22" s="209">
        <f>(H22+J22+L22+N22)/3.3</f>
        <v>11580517.99431818</v>
      </c>
      <c r="P22" s="210"/>
      <c r="Q22" s="219" t="s">
        <v>294</v>
      </c>
      <c r="R22" s="220"/>
      <c r="S22" s="213" t="s">
        <v>295</v>
      </c>
      <c r="T22" s="221">
        <f>S20+T20</f>
        <v>23733173.228871644</v>
      </c>
      <c r="U22" s="213" t="s">
        <v>296</v>
      </c>
      <c r="V22" s="222">
        <f>U20+V20</f>
        <v>29369368.698045589</v>
      </c>
      <c r="W22" s="213" t="s">
        <v>297</v>
      </c>
      <c r="X22" s="222">
        <f>W20+X20</f>
        <v>29450569.674206752</v>
      </c>
      <c r="Y22" s="213" t="s">
        <v>298</v>
      </c>
      <c r="Z22" s="222">
        <f>Y20+Z20</f>
        <v>30789682.885340687</v>
      </c>
      <c r="AA22" s="213" t="s">
        <v>299</v>
      </c>
      <c r="AB22" s="222">
        <f>AA20+AB20</f>
        <v>29138768.002778277</v>
      </c>
      <c r="AC22" s="213" t="s">
        <v>300</v>
      </c>
      <c r="AD22" s="222">
        <f>AC20+AD20</f>
        <v>37725942.390757069</v>
      </c>
      <c r="AE22" s="45">
        <f>SUM(S22:AD22)</f>
        <v>180207504.88000005</v>
      </c>
      <c r="AF22" s="119">
        <f>140377810.27-AE20</f>
        <v>-39829694.610000014</v>
      </c>
    </row>
    <row r="23" spans="1:34">
      <c r="A23" s="202" t="s">
        <v>118</v>
      </c>
      <c r="B23" s="45">
        <v>6665778.9299999997</v>
      </c>
      <c r="C23" s="208">
        <f>B23/B34</f>
        <v>6.9150674870119305E-2</v>
      </c>
      <c r="D23" s="45">
        <f>7361356.62+32710.31</f>
        <v>7394066.9299999997</v>
      </c>
      <c r="E23" s="208">
        <f>D23/D34</f>
        <v>7.0175702862337666E-2</v>
      </c>
      <c r="F23" s="45">
        <v>7902084.6200000001</v>
      </c>
      <c r="G23" s="208">
        <f>F23/F34</f>
        <v>6.7909876144551864E-2</v>
      </c>
      <c r="H23" s="45">
        <f>8682002.48</f>
        <v>8682002.4800000004</v>
      </c>
      <c r="I23" s="208">
        <f>H23/H34</f>
        <v>7.024122436398901E-2</v>
      </c>
      <c r="J23" s="45">
        <v>9870035.4800000004</v>
      </c>
      <c r="K23" s="208">
        <f>J23/J34</f>
        <v>7.0892626300842351E-2</v>
      </c>
      <c r="L23" s="45">
        <f>11932025.47</f>
        <v>11932025.470000001</v>
      </c>
      <c r="M23" s="208">
        <f>L23/L34</f>
        <v>6.7509594943787901E-2</v>
      </c>
      <c r="N23" s="209">
        <f t="shared" ref="N23:N33" si="9">(F23+H23+J23+L23)/3</f>
        <v>12795382.683333335</v>
      </c>
      <c r="O23" s="209">
        <f t="shared" ref="O23:O33" si="10">(H23+J23+L23+N23)/3.3</f>
        <v>13114983.670707073</v>
      </c>
      <c r="P23" s="210"/>
      <c r="Q23" s="95" t="s">
        <v>129</v>
      </c>
      <c r="R23" s="204" t="s">
        <v>130</v>
      </c>
      <c r="S23" s="95" t="s">
        <v>265</v>
      </c>
      <c r="T23" s="95" t="s">
        <v>266</v>
      </c>
      <c r="U23" s="95" t="s">
        <v>267</v>
      </c>
      <c r="V23" s="95" t="s">
        <v>268</v>
      </c>
      <c r="W23" s="95" t="s">
        <v>269</v>
      </c>
      <c r="X23" s="95" t="s">
        <v>270</v>
      </c>
      <c r="Y23" s="95" t="s">
        <v>271</v>
      </c>
      <c r="Z23" s="95" t="s">
        <v>272</v>
      </c>
      <c r="AA23" s="95" t="s">
        <v>273</v>
      </c>
      <c r="AB23" s="95" t="s">
        <v>274</v>
      </c>
      <c r="AC23" s="95" t="s">
        <v>275</v>
      </c>
      <c r="AD23" s="95" t="s">
        <v>276</v>
      </c>
      <c r="AE23" s="95" t="s">
        <v>277</v>
      </c>
    </row>
    <row r="24" spans="1:34">
      <c r="A24" s="202" t="s">
        <v>119</v>
      </c>
      <c r="B24" s="45">
        <v>7484694.0499999998</v>
      </c>
      <c r="C24" s="208">
        <f>B24/B34</f>
        <v>7.7646086104728729E-2</v>
      </c>
      <c r="D24" s="45">
        <v>8190765.7999999998</v>
      </c>
      <c r="E24" s="208">
        <f>D24/D34</f>
        <v>7.7737022458328961E-2</v>
      </c>
      <c r="F24" s="45">
        <f>9215305.68</f>
        <v>9215305.6799999997</v>
      </c>
      <c r="G24" s="208">
        <f>F24/F34</f>
        <v>7.9195591727665562E-2</v>
      </c>
      <c r="H24" s="45">
        <v>9514390.5500000007</v>
      </c>
      <c r="I24" s="208">
        <f>H24/H34</f>
        <v>7.6975610505603864E-2</v>
      </c>
      <c r="J24" s="45">
        <v>11697778.77</v>
      </c>
      <c r="K24" s="208">
        <f>J24/J34</f>
        <v>8.402059552591773E-2</v>
      </c>
      <c r="L24" s="45">
        <f>((D24+F24+H24+J24)/2.7)</f>
        <v>14303052.148148146</v>
      </c>
      <c r="M24" s="208">
        <f>L24/L34</f>
        <v>8.0924505182216694E-2</v>
      </c>
      <c r="N24" s="209">
        <f t="shared" si="9"/>
        <v>14910175.716049382</v>
      </c>
      <c r="O24" s="209">
        <f t="shared" si="10"/>
        <v>15280423.389150765</v>
      </c>
      <c r="P24" s="210"/>
      <c r="Q24" s="95">
        <v>1</v>
      </c>
      <c r="R24" s="102" t="s">
        <v>133</v>
      </c>
      <c r="S24" s="97">
        <f>287905.27</f>
        <v>287905.27</v>
      </c>
      <c r="T24" s="97">
        <f>344135.62</f>
        <v>344135.62</v>
      </c>
      <c r="U24" s="97">
        <v>340954.83</v>
      </c>
      <c r="V24" s="97">
        <v>304678.46000000002</v>
      </c>
      <c r="W24" s="97"/>
      <c r="X24" s="97"/>
      <c r="Y24" s="97"/>
      <c r="Z24" s="97"/>
      <c r="AA24" s="97"/>
      <c r="AB24" s="97"/>
      <c r="AC24" s="97"/>
      <c r="AD24" s="97"/>
      <c r="AE24" s="45">
        <f>SUM(S24:AD24)</f>
        <v>1277674.18</v>
      </c>
      <c r="AF24" s="213">
        <f>AE24/$AE$40</f>
        <v>2.6600355464212872E-2</v>
      </c>
    </row>
    <row r="25" spans="1:34">
      <c r="A25" s="202" t="s">
        <v>120</v>
      </c>
      <c r="B25" s="45">
        <f>7391916.3-2329.01</f>
        <v>7389587.29</v>
      </c>
      <c r="C25" s="208">
        <f>B25/B34</f>
        <v>7.6659450227995488E-2</v>
      </c>
      <c r="D25" s="45">
        <v>7513399.3099999996</v>
      </c>
      <c r="E25" s="208">
        <f>D25/D34</f>
        <v>7.1308264106374933E-2</v>
      </c>
      <c r="F25" s="45">
        <v>9663995.9100000001</v>
      </c>
      <c r="G25" s="208">
        <f>F25/F34</f>
        <v>8.3051599276540752E-2</v>
      </c>
      <c r="H25" s="45">
        <f>10634576.05</f>
        <v>10634576.050000001</v>
      </c>
      <c r="I25" s="208">
        <f>H25/H34</f>
        <v>8.6038404626665579E-2</v>
      </c>
      <c r="J25" s="45">
        <f>9795349.04</f>
        <v>9795349.0399999991</v>
      </c>
      <c r="K25" s="208">
        <f>J25/J34</f>
        <v>7.0356182648599233E-2</v>
      </c>
      <c r="L25" s="45">
        <f t="shared" ref="L25:L33" si="11">((D25+F25+H25+J25)/2.7)</f>
        <v>13928637.151851851</v>
      </c>
      <c r="M25" s="208">
        <f>L25/L34</f>
        <v>7.8806121777454941E-2</v>
      </c>
      <c r="N25" s="209">
        <f t="shared" si="9"/>
        <v>14674186.050617283</v>
      </c>
      <c r="O25" s="209">
        <f t="shared" si="10"/>
        <v>14858408.573475497</v>
      </c>
      <c r="P25" s="210"/>
      <c r="Q25" s="95">
        <v>2</v>
      </c>
      <c r="R25" s="102" t="s">
        <v>134</v>
      </c>
      <c r="S25" s="97">
        <f>183560.36</f>
        <v>183560.36</v>
      </c>
      <c r="T25" s="97">
        <f>212903.98</f>
        <v>212903.98</v>
      </c>
      <c r="U25" s="97">
        <v>211831.89</v>
      </c>
      <c r="V25" s="97">
        <v>198188.58</v>
      </c>
      <c r="W25" s="97"/>
      <c r="X25" s="97"/>
      <c r="Y25" s="97"/>
      <c r="Z25" s="97"/>
      <c r="AA25" s="97"/>
      <c r="AB25" s="97"/>
      <c r="AC25" s="97"/>
      <c r="AD25" s="97"/>
      <c r="AE25" s="45">
        <f t="shared" ref="AE25:AE39" si="12">SUM(S25:AD25)</f>
        <v>806484.80999999994</v>
      </c>
      <c r="AF25" s="213">
        <f t="shared" ref="AF25:AF40" si="13">AE25/$AE$40</f>
        <v>1.679049554127186E-2</v>
      </c>
    </row>
    <row r="26" spans="1:34">
      <c r="A26" s="202" t="s">
        <v>280</v>
      </c>
      <c r="B26" s="45">
        <v>8056881.3700000001</v>
      </c>
      <c r="C26" s="208">
        <f>B26/B34</f>
        <v>8.3581947426508998E-2</v>
      </c>
      <c r="D26" s="45">
        <v>8332242.9400000004</v>
      </c>
      <c r="E26" s="208">
        <f>D26/D34</f>
        <v>7.9079755467435411E-2</v>
      </c>
      <c r="F26" s="45">
        <f>9721771.29</f>
        <v>9721771.2899999991</v>
      </c>
      <c r="G26" s="208">
        <f>F26/F34</f>
        <v>8.3548116219686872E-2</v>
      </c>
      <c r="H26" s="45">
        <f>8693274.76</f>
        <v>8693274.7599999998</v>
      </c>
      <c r="I26" s="208">
        <f>H26/H34</f>
        <v>7.0332422074470852E-2</v>
      </c>
      <c r="J26" s="45">
        <v>11144329.4</v>
      </c>
      <c r="K26" s="208">
        <f>J26/J34</f>
        <v>8.0045383943005907E-2</v>
      </c>
      <c r="L26" s="45">
        <f t="shared" si="11"/>
        <v>14033932.737037037</v>
      </c>
      <c r="M26" s="208">
        <f>L26/L34</f>
        <v>7.9401868268534209E-2</v>
      </c>
      <c r="N26" s="209">
        <f t="shared" si="9"/>
        <v>14531102.729012346</v>
      </c>
      <c r="O26" s="209">
        <f t="shared" si="10"/>
        <v>14667466.553348299</v>
      </c>
      <c r="P26" s="210"/>
      <c r="Q26" s="95">
        <v>3</v>
      </c>
      <c r="R26" s="102" t="s">
        <v>135</v>
      </c>
      <c r="S26" s="97">
        <f>64399.21</f>
        <v>64399.21</v>
      </c>
      <c r="T26" s="97">
        <f>63086.12</f>
        <v>63086.12</v>
      </c>
      <c r="U26" s="97">
        <v>74169.84</v>
      </c>
      <c r="V26" s="97">
        <v>88227.21</v>
      </c>
      <c r="W26" s="97"/>
      <c r="X26" s="97"/>
      <c r="Y26" s="97"/>
      <c r="Z26" s="97"/>
      <c r="AA26" s="97"/>
      <c r="AB26" s="97"/>
      <c r="AC26" s="97"/>
      <c r="AD26" s="97"/>
      <c r="AE26" s="45">
        <f t="shared" si="12"/>
        <v>289882.38</v>
      </c>
      <c r="AF26" s="213">
        <f t="shared" si="13"/>
        <v>6.0351648890737018E-3</v>
      </c>
    </row>
    <row r="27" spans="1:34">
      <c r="A27" s="202" t="s">
        <v>281</v>
      </c>
      <c r="B27" s="45">
        <v>8550639.5099999998</v>
      </c>
      <c r="C27" s="208">
        <f>B27/B34</f>
        <v>8.8704185796873739E-2</v>
      </c>
      <c r="D27" s="45">
        <v>9391234.2699999996</v>
      </c>
      <c r="E27" s="208">
        <f>D27/D34</f>
        <v>8.9130443622062613E-2</v>
      </c>
      <c r="F27" s="45">
        <v>9467660.9700000007</v>
      </c>
      <c r="G27" s="208">
        <f>F27/F34</f>
        <v>8.1364312680735101E-2</v>
      </c>
      <c r="H27" s="45">
        <f>10697988.26</f>
        <v>10697988.26</v>
      </c>
      <c r="I27" s="208">
        <f>H27/H34</f>
        <v>8.6551437337758094E-2</v>
      </c>
      <c r="J27" s="45">
        <v>10512021.27</v>
      </c>
      <c r="K27" s="208">
        <f>J27/J34</f>
        <v>7.5503760555946473E-2</v>
      </c>
      <c r="L27" s="45">
        <f t="shared" si="11"/>
        <v>14840335.099999998</v>
      </c>
      <c r="M27" s="208">
        <f>L27/L34</f>
        <v>8.3964370839637328E-2</v>
      </c>
      <c r="N27" s="209">
        <f t="shared" si="9"/>
        <v>15172668.533333331</v>
      </c>
      <c r="O27" s="209">
        <f t="shared" si="10"/>
        <v>15522125.201010101</v>
      </c>
      <c r="P27" s="210"/>
      <c r="Q27" s="95">
        <v>4</v>
      </c>
      <c r="R27" s="102" t="s">
        <v>136</v>
      </c>
      <c r="S27" s="97">
        <f>146249.25</f>
        <v>146249.25</v>
      </c>
      <c r="T27" s="97">
        <f>165675.66</f>
        <v>165675.66</v>
      </c>
      <c r="U27" s="97">
        <v>182713.95</v>
      </c>
      <c r="V27" s="97">
        <v>174354.53</v>
      </c>
      <c r="W27" s="97"/>
      <c r="X27" s="97"/>
      <c r="Y27" s="97"/>
      <c r="Z27" s="97"/>
      <c r="AA27" s="97"/>
      <c r="AB27" s="97"/>
      <c r="AC27" s="97"/>
      <c r="AD27" s="97"/>
      <c r="AE27" s="45">
        <f t="shared" si="12"/>
        <v>668993.39</v>
      </c>
      <c r="AF27" s="213">
        <f t="shared" si="13"/>
        <v>1.3928012521321198E-2</v>
      </c>
    </row>
    <row r="28" spans="1:34">
      <c r="A28" s="202" t="s">
        <v>282</v>
      </c>
      <c r="B28" s="45">
        <v>8123962.6100000003</v>
      </c>
      <c r="C28" s="208">
        <f>B28/B34</f>
        <v>8.427784704541888E-2</v>
      </c>
      <c r="D28" s="45">
        <f>8712975.37</f>
        <v>8712975.3699999992</v>
      </c>
      <c r="E28" s="208">
        <f>D28/D34</f>
        <v>8.2693215574123374E-2</v>
      </c>
      <c r="F28" s="45">
        <v>8718239.5999999996</v>
      </c>
      <c r="G28" s="208">
        <f>F28/F34</f>
        <v>7.4923846036278885E-2</v>
      </c>
      <c r="H28" s="45">
        <v>9134531.9900000002</v>
      </c>
      <c r="I28" s="208">
        <f>H28/H34</f>
        <v>7.3902387432815492E-2</v>
      </c>
      <c r="J28" s="45">
        <f>11281097.36</f>
        <v>11281097.359999999</v>
      </c>
      <c r="K28" s="208">
        <f>J28/J34</f>
        <v>8.10277350093071E-2</v>
      </c>
      <c r="L28" s="45">
        <f t="shared" si="11"/>
        <v>14017349.748148147</v>
      </c>
      <c r="M28" s="208">
        <f>L28/L34</f>
        <v>7.9308044226198637E-2</v>
      </c>
      <c r="N28" s="209">
        <f t="shared" si="9"/>
        <v>14383739.566049382</v>
      </c>
      <c r="O28" s="209">
        <f t="shared" si="10"/>
        <v>14792945.049756829</v>
      </c>
      <c r="P28" s="210"/>
      <c r="Q28" s="95">
        <v>5</v>
      </c>
      <c r="R28" s="102" t="s">
        <v>137</v>
      </c>
      <c r="S28" s="97">
        <f>698271.56</f>
        <v>698271.56</v>
      </c>
      <c r="T28" s="97">
        <f>900797.26</f>
        <v>900797.26</v>
      </c>
      <c r="U28" s="97">
        <v>917020.1</v>
      </c>
      <c r="V28" s="97">
        <v>924215.98</v>
      </c>
      <c r="W28" s="97"/>
      <c r="X28" s="97"/>
      <c r="Y28" s="97"/>
      <c r="Z28" s="97"/>
      <c r="AA28" s="97"/>
      <c r="AB28" s="97"/>
      <c r="AC28" s="97"/>
      <c r="AD28" s="97"/>
      <c r="AE28" s="45">
        <f t="shared" si="12"/>
        <v>3440304.9</v>
      </c>
      <c r="AF28" s="213">
        <f t="shared" si="13"/>
        <v>7.1624937466665664E-2</v>
      </c>
    </row>
    <row r="29" spans="1:34">
      <c r="A29" s="202" t="s">
        <v>283</v>
      </c>
      <c r="B29" s="45">
        <v>8191361.8700000001</v>
      </c>
      <c r="C29" s="208">
        <f>B29/B34</f>
        <v>8.4977045798286396E-2</v>
      </c>
      <c r="D29" s="45">
        <f>8881833.91</f>
        <v>8881833.9100000001</v>
      </c>
      <c r="E29" s="208">
        <f>D29/D34</f>
        <v>8.429582031668123E-2</v>
      </c>
      <c r="F29" s="45">
        <v>9251295.0899999999</v>
      </c>
      <c r="G29" s="208">
        <f>F29/F34</f>
        <v>7.9504881806568256E-2</v>
      </c>
      <c r="H29" s="45">
        <f>9036456.79</f>
        <v>9036456.7899999991</v>
      </c>
      <c r="I29" s="208">
        <f>H29/H34</f>
        <v>7.3108915864060181E-2</v>
      </c>
      <c r="J29" s="45">
        <v>11242671.82</v>
      </c>
      <c r="K29" s="208">
        <f>J29/J34</f>
        <v>8.0751739299550235E-2</v>
      </c>
      <c r="L29" s="45">
        <f t="shared" si="11"/>
        <v>14226762.077777777</v>
      </c>
      <c r="M29" s="208">
        <f>L29/L34</f>
        <v>8.049286750578985E-2</v>
      </c>
      <c r="N29" s="209">
        <f t="shared" si="9"/>
        <v>14585728.592592591</v>
      </c>
      <c r="O29" s="209">
        <f t="shared" si="10"/>
        <v>14876248.266778897</v>
      </c>
      <c r="P29" s="210"/>
      <c r="Q29" s="95">
        <v>6</v>
      </c>
      <c r="R29" s="102" t="s">
        <v>138</v>
      </c>
      <c r="S29" s="97">
        <f>262956.12</f>
        <v>262956.12</v>
      </c>
      <c r="T29" s="97">
        <f>306697.57</f>
        <v>306697.57</v>
      </c>
      <c r="U29" s="97">
        <v>302867.51</v>
      </c>
      <c r="V29" s="97">
        <v>313979.37</v>
      </c>
      <c r="W29" s="97"/>
      <c r="X29" s="97"/>
      <c r="Y29" s="97"/>
      <c r="Z29" s="97"/>
      <c r="AA29" s="97"/>
      <c r="AB29" s="97"/>
      <c r="AC29" s="97"/>
      <c r="AD29" s="97"/>
      <c r="AE29" s="45">
        <f t="shared" si="12"/>
        <v>1186500.5699999998</v>
      </c>
      <c r="AF29" s="213">
        <f t="shared" si="13"/>
        <v>2.4702179487176602E-2</v>
      </c>
    </row>
    <row r="30" spans="1:34">
      <c r="A30" s="202" t="s">
        <v>284</v>
      </c>
      <c r="B30" s="45">
        <f>7555140.76</f>
        <v>7555140.7599999998</v>
      </c>
      <c r="C30" s="208">
        <f>B30/B34</f>
        <v>7.8376899050977986E-2</v>
      </c>
      <c r="D30" s="45">
        <v>8405663.2300000004</v>
      </c>
      <c r="E30" s="208">
        <f>D30/D34</f>
        <v>7.9776573673692397E-2</v>
      </c>
      <c r="F30" s="45">
        <f>9019781.08</f>
        <v>9019781.0800000001</v>
      </c>
      <c r="G30" s="208">
        <f>F30/F34</f>
        <v>7.7515269128283798E-2</v>
      </c>
      <c r="H30" s="45">
        <f>10105595.49</f>
        <v>10105595.49</v>
      </c>
      <c r="I30" s="208">
        <f>H30/H34</f>
        <v>8.1758718887719711E-2</v>
      </c>
      <c r="J30" s="45">
        <f>10938610.35</f>
        <v>10938610.35</v>
      </c>
      <c r="K30" s="208">
        <f>J30/J34</f>
        <v>7.8567784012978675E-2</v>
      </c>
      <c r="L30" s="45">
        <f t="shared" si="11"/>
        <v>14248018.574074075</v>
      </c>
      <c r="M30" s="208">
        <f>L30/L34</f>
        <v>8.0613133545993601E-2</v>
      </c>
      <c r="N30" s="209">
        <f t="shared" si="9"/>
        <v>14770668.498024693</v>
      </c>
      <c r="O30" s="209">
        <f t="shared" si="10"/>
        <v>15170573.609726902</v>
      </c>
      <c r="P30" s="210"/>
      <c r="Q30" s="95">
        <v>7</v>
      </c>
      <c r="R30" s="102" t="s">
        <v>139</v>
      </c>
      <c r="S30" s="97">
        <f>57439.42</f>
        <v>57439.42</v>
      </c>
      <c r="T30" s="97">
        <f>61104.79</f>
        <v>61104.79</v>
      </c>
      <c r="U30" s="97">
        <v>78507.41</v>
      </c>
      <c r="V30" s="97">
        <v>80939.03</v>
      </c>
      <c r="W30" s="97"/>
      <c r="X30" s="97"/>
      <c r="Y30" s="97"/>
      <c r="Z30" s="97"/>
      <c r="AA30" s="97"/>
      <c r="AB30" s="97"/>
      <c r="AC30" s="97"/>
      <c r="AD30" s="97"/>
      <c r="AE30" s="45">
        <f t="shared" si="12"/>
        <v>277990.65000000002</v>
      </c>
      <c r="AF30" s="213">
        <f t="shared" si="13"/>
        <v>5.7875867114475059E-3</v>
      </c>
    </row>
    <row r="31" spans="1:34">
      <c r="A31" s="202" t="s">
        <v>286</v>
      </c>
      <c r="B31" s="45">
        <v>7682619.8700000001</v>
      </c>
      <c r="C31" s="208">
        <f>B31/B34</f>
        <v>7.9699365124472898E-2</v>
      </c>
      <c r="D31" s="45">
        <v>8594186.0700000003</v>
      </c>
      <c r="E31" s="208">
        <f>D31/D34</f>
        <v>8.1565808600539885E-2</v>
      </c>
      <c r="F31" s="45">
        <f>9257306.49</f>
        <v>9257306.4900000002</v>
      </c>
      <c r="G31" s="208">
        <f>F31/F34</f>
        <v>7.9556543291997323E-2</v>
      </c>
      <c r="H31" s="45">
        <v>9996580.7100000009</v>
      </c>
      <c r="I31" s="208">
        <f>H31/H34</f>
        <v>8.0876741298032268E-2</v>
      </c>
      <c r="J31" s="45">
        <v>11341397.140000001</v>
      </c>
      <c r="K31" s="208">
        <f>J31/J34</f>
        <v>8.146084487788105E-2</v>
      </c>
      <c r="L31" s="45">
        <f t="shared" si="11"/>
        <v>14514618.67037037</v>
      </c>
      <c r="M31" s="208">
        <f>L31/L34</f>
        <v>8.2121516557594545E-2</v>
      </c>
      <c r="N31" s="209">
        <f t="shared" si="9"/>
        <v>15036634.336790124</v>
      </c>
      <c r="O31" s="209">
        <f t="shared" si="10"/>
        <v>15420979.047624392</v>
      </c>
      <c r="P31" s="210"/>
      <c r="Q31" s="95">
        <v>8</v>
      </c>
      <c r="R31" s="102" t="s">
        <v>140</v>
      </c>
      <c r="S31" s="97">
        <f>958534.61</f>
        <v>958534.61</v>
      </c>
      <c r="T31" s="97">
        <f>850858.73</f>
        <v>850858.73</v>
      </c>
      <c r="U31" s="97">
        <v>897542.71</v>
      </c>
      <c r="V31" s="97">
        <v>961339.85</v>
      </c>
      <c r="W31" s="97"/>
      <c r="X31" s="97"/>
      <c r="Y31" s="97"/>
      <c r="Z31" s="97"/>
      <c r="AA31" s="97"/>
      <c r="AB31" s="97"/>
      <c r="AC31" s="97"/>
      <c r="AD31" s="97"/>
      <c r="AE31" s="45">
        <f t="shared" si="12"/>
        <v>3668275.9</v>
      </c>
      <c r="AF31" s="213">
        <f t="shared" si="13"/>
        <v>7.6371147204998227E-2</v>
      </c>
    </row>
    <row r="32" spans="1:34">
      <c r="A32" s="202" t="s">
        <v>287</v>
      </c>
      <c r="B32" s="45">
        <v>8077679.6399999997</v>
      </c>
      <c r="C32" s="208">
        <f>B32/B34</f>
        <v>8.3797708318331873E-2</v>
      </c>
      <c r="D32" s="45">
        <v>8884947.5199999996</v>
      </c>
      <c r="E32" s="208">
        <f>D32/D34</f>
        <v>8.4325371005396624E-2</v>
      </c>
      <c r="F32" s="45">
        <v>9510627.3300000001</v>
      </c>
      <c r="G32" s="208">
        <f>F32/F34</f>
        <v>8.1733562103678159E-2</v>
      </c>
      <c r="H32" s="45">
        <f>10537885.72</f>
        <v>10537885.720000001</v>
      </c>
      <c r="I32" s="208">
        <f>H32/H34</f>
        <v>8.5256137266226148E-2</v>
      </c>
      <c r="J32" s="45">
        <v>11405835.470000001</v>
      </c>
      <c r="K32" s="208">
        <f>J32/J34</f>
        <v>8.1923680341582983E-2</v>
      </c>
      <c r="L32" s="45">
        <f t="shared" si="11"/>
        <v>14940480.014814813</v>
      </c>
      <c r="M32" s="208">
        <f>L32/L34</f>
        <v>8.4530975616992729E-2</v>
      </c>
      <c r="N32" s="209">
        <f t="shared" si="9"/>
        <v>15464942.844938273</v>
      </c>
      <c r="O32" s="209">
        <f t="shared" si="10"/>
        <v>15863376.984773664</v>
      </c>
      <c r="P32" s="210"/>
      <c r="Q32" s="95">
        <v>9</v>
      </c>
      <c r="R32" s="102" t="s">
        <v>141</v>
      </c>
      <c r="S32" s="97">
        <f>2409037.59</f>
        <v>2409037.59</v>
      </c>
      <c r="T32" s="97">
        <f>3390965.27</f>
        <v>3390965.27</v>
      </c>
      <c r="U32" s="97">
        <v>4453096.78</v>
      </c>
      <c r="V32" s="97">
        <v>3650943.12</v>
      </c>
      <c r="W32" s="97"/>
      <c r="X32" s="97"/>
      <c r="Y32" s="97"/>
      <c r="Z32" s="97"/>
      <c r="AA32" s="97"/>
      <c r="AB32" s="97"/>
      <c r="AC32" s="97"/>
      <c r="AD32" s="97"/>
      <c r="AE32" s="45">
        <f t="shared" si="12"/>
        <v>13904042.760000002</v>
      </c>
      <c r="AF32" s="213">
        <f t="shared" si="13"/>
        <v>0.28947323628752947</v>
      </c>
    </row>
    <row r="33" spans="1:33">
      <c r="A33" s="202" t="s">
        <v>288</v>
      </c>
      <c r="B33" s="45">
        <v>12634997.68</v>
      </c>
      <c r="C33" s="208">
        <f>B33/B34</f>
        <v>0.13107524652852412</v>
      </c>
      <c r="D33" s="45">
        <v>13392877.380000001</v>
      </c>
      <c r="E33" s="208">
        <f>D33/D34</f>
        <v>0.12710928808032895</v>
      </c>
      <c r="F33" s="45">
        <f>15787827.89+865628.68</f>
        <v>16653456.57</v>
      </c>
      <c r="G33" s="208">
        <f>F33/F34</f>
        <v>0.14311845891715769</v>
      </c>
      <c r="H33" s="45">
        <v>18897584.34</v>
      </c>
      <c r="I33" s="208">
        <f>H33/H34</f>
        <v>0.15288978143246798</v>
      </c>
      <c r="J33" s="45">
        <f>20493779.25</f>
        <v>20493779.25</v>
      </c>
      <c r="K33" s="208">
        <f>J33/J34</f>
        <v>0.14719884612433098</v>
      </c>
      <c r="L33" s="45">
        <f t="shared" si="11"/>
        <v>25717665.755555555</v>
      </c>
      <c r="M33" s="208">
        <f>L33/L34</f>
        <v>0.14550666208536683</v>
      </c>
      <c r="N33" s="209">
        <f t="shared" si="9"/>
        <v>27254161.971851852</v>
      </c>
      <c r="O33" s="209">
        <f t="shared" si="10"/>
        <v>27988845.853759825</v>
      </c>
      <c r="P33" s="210"/>
      <c r="Q33" s="95">
        <v>10</v>
      </c>
      <c r="R33" s="102" t="s">
        <v>142</v>
      </c>
      <c r="S33" s="97">
        <f>2160274.39</f>
        <v>2160274.39</v>
      </c>
      <c r="T33" s="97">
        <f>2485721.26</f>
        <v>2485721.2599999998</v>
      </c>
      <c r="U33" s="97">
        <v>2241731.09</v>
      </c>
      <c r="V33" s="97">
        <v>2969516.94</v>
      </c>
      <c r="W33" s="97"/>
      <c r="X33" s="97"/>
      <c r="Y33" s="97"/>
      <c r="Z33" s="97"/>
      <c r="AA33" s="97"/>
      <c r="AB33" s="97"/>
      <c r="AC33" s="97"/>
      <c r="AD33" s="97"/>
      <c r="AE33" s="45">
        <f t="shared" si="12"/>
        <v>9857243.6799999997</v>
      </c>
      <c r="AF33" s="213">
        <f t="shared" si="13"/>
        <v>0.20522147969317639</v>
      </c>
    </row>
    <row r="34" spans="1:33">
      <c r="A34" s="223" t="s">
        <v>255</v>
      </c>
      <c r="B34" s="209">
        <f>SUM(B22:B33)</f>
        <v>96394994.590000004</v>
      </c>
      <c r="C34" s="208">
        <f>B34/B34</f>
        <v>1</v>
      </c>
      <c r="D34" s="209">
        <f>SUM(D22:D33)</f>
        <v>105365056.96999998</v>
      </c>
      <c r="E34" s="208">
        <f>D34/D34</f>
        <v>1</v>
      </c>
      <c r="F34" s="209">
        <f>SUM(F22:F33)</f>
        <v>116361346.37</v>
      </c>
      <c r="G34" s="208">
        <f>F34/F34</f>
        <v>1</v>
      </c>
      <c r="H34" s="209">
        <f>SUM(H22:H33)</f>
        <v>123602664.37</v>
      </c>
      <c r="I34" s="208">
        <f>H34/H34</f>
        <v>1</v>
      </c>
      <c r="J34" s="209">
        <f>SUM(J22:J33)</f>
        <v>139225135.18000001</v>
      </c>
      <c r="K34" s="208">
        <f>J34/J34</f>
        <v>1</v>
      </c>
      <c r="L34" s="209">
        <f>SUM(L22:L33)</f>
        <v>176745623.78777778</v>
      </c>
      <c r="M34" s="208">
        <f>L34/L34</f>
        <v>1</v>
      </c>
      <c r="N34" s="209">
        <f>SUM(N22:N33)</f>
        <v>184578327.50384259</v>
      </c>
      <c r="O34" s="209">
        <f>SUM(O22:O33)</f>
        <v>189136894.19443044</v>
      </c>
      <c r="P34" s="210"/>
      <c r="Q34" s="95">
        <v>11</v>
      </c>
      <c r="R34" s="102" t="s">
        <v>143</v>
      </c>
      <c r="S34" s="97">
        <f>241258.57</f>
        <v>241258.57</v>
      </c>
      <c r="T34" s="97">
        <f>316961.69</f>
        <v>316961.69</v>
      </c>
      <c r="U34" s="97">
        <v>355543.58</v>
      </c>
      <c r="V34" s="97">
        <v>341250.44</v>
      </c>
      <c r="W34" s="97"/>
      <c r="X34" s="97"/>
      <c r="Y34" s="97"/>
      <c r="Z34" s="97"/>
      <c r="AA34" s="97"/>
      <c r="AB34" s="97"/>
      <c r="AC34" s="97"/>
      <c r="AD34" s="97"/>
      <c r="AE34" s="45">
        <f t="shared" si="12"/>
        <v>1255014.28</v>
      </c>
      <c r="AF34" s="213">
        <f t="shared" si="13"/>
        <v>2.612859090622242E-2</v>
      </c>
    </row>
    <row r="35" spans="1:33">
      <c r="A35" s="678" t="s">
        <v>290</v>
      </c>
      <c r="B35" s="679"/>
      <c r="C35" s="224"/>
      <c r="D35" s="213">
        <v>6.0015320688915311E-2</v>
      </c>
      <c r="E35" s="216"/>
      <c r="F35" s="213">
        <v>0.20274498470762234</v>
      </c>
      <c r="G35" s="216"/>
      <c r="H35" s="213">
        <v>0.15953984091624773</v>
      </c>
      <c r="I35" s="216"/>
      <c r="J35" s="213">
        <v>6.1875221132593451E-2</v>
      </c>
      <c r="K35" s="216"/>
      <c r="L35" s="213">
        <v>0.11385731154850591</v>
      </c>
      <c r="M35" s="216"/>
      <c r="N35" s="213">
        <v>8.5121633034852109E-2</v>
      </c>
      <c r="O35" s="213">
        <v>6.910798377128255E-2</v>
      </c>
      <c r="P35" s="210"/>
      <c r="Q35" s="95">
        <v>12</v>
      </c>
      <c r="R35" s="102" t="s">
        <v>144</v>
      </c>
      <c r="S35" s="97">
        <f>95023.54</f>
        <v>95023.54</v>
      </c>
      <c r="T35" s="97">
        <f>108772.56</f>
        <v>108772.56</v>
      </c>
      <c r="U35" s="97">
        <v>141731.21</v>
      </c>
      <c r="V35" s="97">
        <v>137306</v>
      </c>
      <c r="W35" s="97"/>
      <c r="X35" s="97"/>
      <c r="Y35" s="97"/>
      <c r="Z35" s="97"/>
      <c r="AA35" s="97"/>
      <c r="AB35" s="97"/>
      <c r="AC35" s="97"/>
      <c r="AD35" s="97"/>
      <c r="AE35" s="45">
        <f t="shared" si="12"/>
        <v>482833.30999999994</v>
      </c>
      <c r="AF35" s="213">
        <f t="shared" si="13"/>
        <v>1.0052279271983478E-2</v>
      </c>
    </row>
    <row r="36" spans="1:33">
      <c r="A36" s="202" t="s">
        <v>301</v>
      </c>
      <c r="B36" s="225">
        <f>B17-B34</f>
        <v>8125761.4799999893</v>
      </c>
      <c r="C36" s="208"/>
      <c r="D36" s="225">
        <f>D17-D34</f>
        <v>-11138555.429999992</v>
      </c>
      <c r="E36" s="225"/>
      <c r="F36" s="225">
        <f>F17-F34</f>
        <v>-323055.85000000894</v>
      </c>
      <c r="G36" s="225"/>
      <c r="H36" s="225">
        <f>H17-H34</f>
        <v>263135.53000000119</v>
      </c>
      <c r="I36" s="225"/>
      <c r="J36" s="225">
        <f>J17-J34</f>
        <v>14663524.25</v>
      </c>
      <c r="K36" s="225"/>
      <c r="L36" s="225">
        <f>L17-L34</f>
        <v>3461881.0880237222</v>
      </c>
      <c r="M36" s="225"/>
      <c r="N36" s="225">
        <f>N17-N34</f>
        <v>-2710074.5762865543</v>
      </c>
      <c r="O36" s="225">
        <f>O17-O34</f>
        <v>13978400.327429146</v>
      </c>
      <c r="P36" s="210"/>
      <c r="Q36" s="95">
        <v>13</v>
      </c>
      <c r="R36" s="102" t="s">
        <v>145</v>
      </c>
      <c r="S36" s="97">
        <f>293420.09</f>
        <v>293420.09000000003</v>
      </c>
      <c r="T36" s="97">
        <f>266651.89</f>
        <v>266651.89</v>
      </c>
      <c r="U36" s="97">
        <v>264776.15000000002</v>
      </c>
      <c r="V36" s="97">
        <v>375243.85</v>
      </c>
      <c r="W36" s="97"/>
      <c r="X36" s="97"/>
      <c r="Y36" s="97"/>
      <c r="Z36" s="97"/>
      <c r="AA36" s="97"/>
      <c r="AB36" s="97"/>
      <c r="AC36" s="97"/>
      <c r="AD36" s="97"/>
      <c r="AE36" s="45">
        <f t="shared" si="12"/>
        <v>1200091.98</v>
      </c>
      <c r="AF36" s="213">
        <f t="shared" si="13"/>
        <v>2.4985143910281608E-2</v>
      </c>
    </row>
    <row r="37" spans="1:33">
      <c r="L37" s="61"/>
      <c r="P37" s="210"/>
      <c r="Q37" s="95">
        <v>14</v>
      </c>
      <c r="R37" s="102" t="s">
        <v>289</v>
      </c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45">
        <f t="shared" si="12"/>
        <v>0</v>
      </c>
      <c r="AF37" s="213">
        <f t="shared" si="13"/>
        <v>0</v>
      </c>
    </row>
    <row r="38" spans="1:33">
      <c r="P38" s="210"/>
      <c r="Q38" s="95">
        <v>15</v>
      </c>
      <c r="R38" s="102" t="s">
        <v>146</v>
      </c>
      <c r="S38" s="97">
        <f>1954791.97</f>
        <v>1954791.97</v>
      </c>
      <c r="T38" s="97">
        <f>2261489.49</f>
        <v>2261489.4900000002</v>
      </c>
      <c r="U38" s="97">
        <v>2282313.12</v>
      </c>
      <c r="V38" s="97">
        <v>2290418.31</v>
      </c>
      <c r="W38" s="97"/>
      <c r="X38" s="97"/>
      <c r="Y38" s="97"/>
      <c r="Z38" s="97"/>
      <c r="AA38" s="97"/>
      <c r="AB38" s="97"/>
      <c r="AC38" s="97"/>
      <c r="AD38" s="97"/>
      <c r="AE38" s="45">
        <f t="shared" si="12"/>
        <v>8789012.8900000006</v>
      </c>
      <c r="AF38" s="213">
        <f t="shared" si="13"/>
        <v>0.18298160103192262</v>
      </c>
      <c r="AG38" s="197"/>
    </row>
    <row r="39" spans="1:33">
      <c r="B39" s="226" t="s">
        <v>261</v>
      </c>
      <c r="C39" s="226" t="s">
        <v>302</v>
      </c>
      <c r="D39" s="95" t="s">
        <v>1217</v>
      </c>
      <c r="F39" s="95" t="s">
        <v>303</v>
      </c>
      <c r="H39" s="95" t="s">
        <v>1218</v>
      </c>
      <c r="I39" s="226" t="s">
        <v>302</v>
      </c>
      <c r="J39" s="95" t="s">
        <v>303</v>
      </c>
      <c r="L39" s="226" t="s">
        <v>304</v>
      </c>
      <c r="P39" s="210"/>
      <c r="Q39" s="95">
        <v>16</v>
      </c>
      <c r="R39" s="102" t="s">
        <v>147</v>
      </c>
      <c r="S39" s="97">
        <f>229624.39</f>
        <v>229624.39</v>
      </c>
      <c r="T39" s="97">
        <v>196203.58</v>
      </c>
      <c r="U39" s="97">
        <v>250913.07</v>
      </c>
      <c r="V39" s="97">
        <v>251135.32</v>
      </c>
      <c r="W39" s="97"/>
      <c r="X39" s="97"/>
      <c r="Y39" s="97"/>
      <c r="Z39" s="97"/>
      <c r="AA39" s="97"/>
      <c r="AB39" s="97"/>
      <c r="AC39" s="97"/>
      <c r="AD39" s="97"/>
      <c r="AE39" s="45">
        <f t="shared" si="12"/>
        <v>927876.3600000001</v>
      </c>
      <c r="AF39" s="213">
        <f t="shared" si="13"/>
        <v>1.9317789612716407E-2</v>
      </c>
    </row>
    <row r="40" spans="1:33">
      <c r="B40" s="95" t="s">
        <v>278</v>
      </c>
      <c r="C40" s="227" t="s">
        <v>279</v>
      </c>
      <c r="D40" s="101" t="s">
        <v>305</v>
      </c>
      <c r="F40" s="95" t="s">
        <v>306</v>
      </c>
      <c r="H40" s="95" t="s">
        <v>307</v>
      </c>
      <c r="I40" s="227" t="s">
        <v>279</v>
      </c>
      <c r="J40" s="95" t="s">
        <v>236</v>
      </c>
      <c r="L40" s="95" t="s">
        <v>308</v>
      </c>
      <c r="P40" s="210"/>
      <c r="Q40" s="218" t="s">
        <v>292</v>
      </c>
      <c r="R40" s="102" t="s">
        <v>277</v>
      </c>
      <c r="S40" s="45">
        <f t="shared" ref="S40:AC40" si="14">SUM(S24:S39)</f>
        <v>10042746.34</v>
      </c>
      <c r="T40" s="45">
        <f t="shared" si="14"/>
        <v>11932025.470000001</v>
      </c>
      <c r="U40" s="45">
        <f t="shared" si="14"/>
        <v>12995713.240000002</v>
      </c>
      <c r="V40" s="45">
        <f t="shared" si="14"/>
        <v>13061736.99</v>
      </c>
      <c r="W40" s="45">
        <f t="shared" si="14"/>
        <v>0</v>
      </c>
      <c r="X40" s="45">
        <f t="shared" si="14"/>
        <v>0</v>
      </c>
      <c r="Y40" s="45">
        <f t="shared" si="14"/>
        <v>0</v>
      </c>
      <c r="Z40" s="45">
        <f t="shared" si="14"/>
        <v>0</v>
      </c>
      <c r="AA40" s="45">
        <f t="shared" si="14"/>
        <v>0</v>
      </c>
      <c r="AB40" s="45">
        <f>SUM(AB24:AB39)</f>
        <v>0</v>
      </c>
      <c r="AC40" s="45">
        <f t="shared" si="14"/>
        <v>0</v>
      </c>
      <c r="AD40" s="45">
        <f>SUM(AD24:AD39)</f>
        <v>0</v>
      </c>
      <c r="AE40" s="45">
        <f>SUM(AE24:AE39)</f>
        <v>48032222.039999999</v>
      </c>
      <c r="AF40" s="213">
        <f t="shared" si="13"/>
        <v>1</v>
      </c>
    </row>
    <row r="41" spans="1:33">
      <c r="B41" s="226" t="s">
        <v>117</v>
      </c>
      <c r="C41" s="45">
        <f>D41/$D$53</f>
        <v>0.23330551002322847</v>
      </c>
      <c r="D41" s="45">
        <f>26446557.48-D42</f>
        <v>13016876.310000001</v>
      </c>
      <c r="F41" s="176">
        <f>D41-L5</f>
        <v>1361989.3499999996</v>
      </c>
      <c r="H41" s="45">
        <f>21974771.81-H42</f>
        <v>10042746.339999998</v>
      </c>
      <c r="I41" s="228">
        <f>H41/$H$53</f>
        <v>0.20908352588053614</v>
      </c>
      <c r="J41" s="176">
        <f>H41-L22</f>
        <v>0</v>
      </c>
      <c r="L41" s="176">
        <f>D41-H41</f>
        <v>2974129.9700000025</v>
      </c>
      <c r="O41" s="119"/>
      <c r="R41" s="197"/>
      <c r="S41" s="197">
        <f>S40-$H41</f>
        <v>0</v>
      </c>
      <c r="T41" s="197">
        <f>T40-H42</f>
        <v>0</v>
      </c>
      <c r="U41" s="197">
        <f>U40-$H43</f>
        <v>0</v>
      </c>
      <c r="V41" s="197">
        <f>V40-$H44</f>
        <v>0</v>
      </c>
      <c r="W41" s="197">
        <f>W40-$H45</f>
        <v>0</v>
      </c>
      <c r="X41" s="197">
        <f>X40-$H46</f>
        <v>0</v>
      </c>
      <c r="Y41" s="197">
        <f>Y40-$H47</f>
        <v>0</v>
      </c>
      <c r="Z41" s="197">
        <f>Z40-$H48</f>
        <v>0</v>
      </c>
      <c r="AA41" s="197">
        <f>AA40-$H49</f>
        <v>0</v>
      </c>
      <c r="AB41" s="197">
        <f>AB40-$H50</f>
        <v>0</v>
      </c>
      <c r="AC41" s="197">
        <f>AC40-$H51</f>
        <v>0</v>
      </c>
      <c r="AD41" s="197">
        <f>AD40-$H52</f>
        <v>0</v>
      </c>
      <c r="AE41" s="197">
        <f>AE40-$H53</f>
        <v>0</v>
      </c>
      <c r="AF41" s="87"/>
    </row>
    <row r="42" spans="1:33">
      <c r="B42" s="226" t="s">
        <v>118</v>
      </c>
      <c r="C42" s="45">
        <f t="shared" ref="C42:C51" si="15">D42/$D$53</f>
        <v>0.24070433952031597</v>
      </c>
      <c r="D42" s="45">
        <f>13429681.17</f>
        <v>13429681.17</v>
      </c>
      <c r="F42" s="176">
        <f t="shared" ref="F42:F52" si="16">D42-L6</f>
        <v>1521621.5999999996</v>
      </c>
      <c r="H42" s="45">
        <f>11932025.47</f>
        <v>11932025.470000001</v>
      </c>
      <c r="I42" s="228">
        <f t="shared" ref="I42:I52" si="17">H42/$H$53</f>
        <v>0.24841710341993584</v>
      </c>
      <c r="J42" s="176">
        <f t="shared" ref="J42:J52" si="18">H42-L23</f>
        <v>0</v>
      </c>
      <c r="L42" s="176">
        <f>D42-H42</f>
        <v>1497655.6999999993</v>
      </c>
      <c r="O42" s="119"/>
      <c r="S42" s="107" t="s">
        <v>309</v>
      </c>
      <c r="W42" s="107" t="s">
        <v>1216</v>
      </c>
      <c r="Y42" s="60"/>
      <c r="AE42" s="386">
        <f>85045512.97</f>
        <v>85045512.969999999</v>
      </c>
    </row>
    <row r="43" spans="1:33">
      <c r="B43" s="226" t="s">
        <v>119</v>
      </c>
      <c r="C43" s="45">
        <f t="shared" si="15"/>
        <v>0.26865012958006507</v>
      </c>
      <c r="D43" s="45">
        <f>14988868.06</f>
        <v>14988868.060000001</v>
      </c>
      <c r="F43" s="176">
        <f>D43-L7</f>
        <v>703521.71267175674</v>
      </c>
      <c r="H43" s="45">
        <v>12995713.24</v>
      </c>
      <c r="I43" s="228">
        <f t="shared" si="17"/>
        <v>0.27056239932388521</v>
      </c>
      <c r="J43" s="176">
        <f>H43-L24</f>
        <v>-1307338.9081481453</v>
      </c>
      <c r="L43" s="176">
        <f>D43-H43</f>
        <v>1993154.8200000003</v>
      </c>
      <c r="O43" s="119"/>
      <c r="P43" s="229"/>
      <c r="Q43" s="230"/>
      <c r="R43" s="231"/>
      <c r="S43" s="231" t="s">
        <v>117</v>
      </c>
      <c r="T43" s="95" t="s">
        <v>118</v>
      </c>
      <c r="U43" s="95" t="s">
        <v>119</v>
      </c>
      <c r="V43" s="95" t="s">
        <v>120</v>
      </c>
      <c r="W43" s="95" t="s">
        <v>280</v>
      </c>
      <c r="X43" s="95" t="s">
        <v>281</v>
      </c>
      <c r="Y43" s="95" t="s">
        <v>282</v>
      </c>
      <c r="Z43" s="95" t="s">
        <v>283</v>
      </c>
      <c r="AA43" s="95" t="s">
        <v>284</v>
      </c>
      <c r="AB43" s="95" t="s">
        <v>286</v>
      </c>
      <c r="AC43" s="95" t="s">
        <v>287</v>
      </c>
      <c r="AD43" s="95" t="s">
        <v>288</v>
      </c>
      <c r="AE43" s="95" t="s">
        <v>277</v>
      </c>
    </row>
    <row r="44" spans="1:33">
      <c r="B44" s="226" t="s">
        <v>120</v>
      </c>
      <c r="C44" s="45">
        <f>D44/$D$53</f>
        <v>0.25734002087639046</v>
      </c>
      <c r="D44" s="45">
        <v>14357840.16</v>
      </c>
      <c r="F44" s="176">
        <f t="shared" si="16"/>
        <v>-708212.01938931271</v>
      </c>
      <c r="H44" s="45">
        <v>13061736.99</v>
      </c>
      <c r="I44" s="228">
        <f t="shared" si="17"/>
        <v>0.27193697137564282</v>
      </c>
      <c r="J44" s="176">
        <f t="shared" si="18"/>
        <v>-866900.16185185127</v>
      </c>
      <c r="L44" s="176">
        <f>D44-H44</f>
        <v>1296103.17</v>
      </c>
      <c r="O44" s="61"/>
      <c r="P44" s="232" t="s">
        <v>310</v>
      </c>
      <c r="Q44" s="233" t="s">
        <v>311</v>
      </c>
      <c r="R44" s="234"/>
      <c r="S44" s="235">
        <f>SUM(S45:S47)</f>
        <v>10193991.731193317</v>
      </c>
      <c r="T44" s="235">
        <f t="shared" ref="T44:AC44" si="19">SUM(T45:T47)</f>
        <v>10407981.66386467</v>
      </c>
      <c r="U44" s="235">
        <f t="shared" si="19"/>
        <v>12417343.724875033</v>
      </c>
      <c r="V44" s="235">
        <f t="shared" si="19"/>
        <v>13077222.328800164</v>
      </c>
      <c r="W44" s="235">
        <f t="shared" si="19"/>
        <v>13171077.775264433</v>
      </c>
      <c r="X44" s="235">
        <f t="shared" si="19"/>
        <v>12393976.128239878</v>
      </c>
      <c r="Y44" s="235">
        <f t="shared" si="19"/>
        <v>14256486.111009941</v>
      </c>
      <c r="Z44" s="235">
        <f t="shared" si="19"/>
        <v>12471007.154593259</v>
      </c>
      <c r="AA44" s="235">
        <f t="shared" si="19"/>
        <v>12073043.301833395</v>
      </c>
      <c r="AB44" s="235">
        <f t="shared" si="19"/>
        <v>13221346.005859956</v>
      </c>
      <c r="AC44" s="235">
        <f t="shared" si="19"/>
        <v>12645423.133467343</v>
      </c>
      <c r="AD44" s="235">
        <f>SUM(AD45:AD47)</f>
        <v>20103204.870998599</v>
      </c>
      <c r="AE44" s="235">
        <f>SUM(AE45:AE47)</f>
        <v>156432103.92999998</v>
      </c>
      <c r="AG44" s="119">
        <f>156432103.93-AE44</f>
        <v>0</v>
      </c>
    </row>
    <row r="45" spans="1:33">
      <c r="B45" s="226" t="s">
        <v>280</v>
      </c>
      <c r="C45" s="45">
        <f t="shared" si="15"/>
        <v>0</v>
      </c>
      <c r="D45" s="45"/>
      <c r="F45" s="176">
        <f t="shared" si="16"/>
        <v>-15177093.049618321</v>
      </c>
      <c r="H45" s="45"/>
      <c r="I45" s="228">
        <f t="shared" si="17"/>
        <v>0</v>
      </c>
      <c r="J45" s="176">
        <f t="shared" si="18"/>
        <v>-14033932.737037037</v>
      </c>
      <c r="L45" s="176">
        <f>D45-H45</f>
        <v>0</v>
      </c>
      <c r="P45" s="102" t="s">
        <v>312</v>
      </c>
      <c r="Q45" s="236" t="s">
        <v>313</v>
      </c>
      <c r="R45" s="237"/>
      <c r="S45" s="235">
        <f t="shared" ref="S45:AD45" si="20">119478722.02*S21</f>
        <v>7785902.469677439</v>
      </c>
      <c r="T45" s="235">
        <f t="shared" si="20"/>
        <v>7949342.3457540274</v>
      </c>
      <c r="U45" s="235">
        <f t="shared" si="20"/>
        <v>9484040.1801091824</v>
      </c>
      <c r="V45" s="235">
        <f t="shared" si="20"/>
        <v>9988038.0827430058</v>
      </c>
      <c r="W45" s="235">
        <f t="shared" si="20"/>
        <v>10059722.401475849</v>
      </c>
      <c r="X45" s="235">
        <f t="shared" si="20"/>
        <v>9466192.62508367</v>
      </c>
      <c r="Y45" s="235">
        <f t="shared" si="20"/>
        <v>10888728.708792144</v>
      </c>
      <c r="Z45" s="235">
        <f t="shared" si="20"/>
        <v>9525026.8947340325</v>
      </c>
      <c r="AA45" s="235">
        <f t="shared" si="20"/>
        <v>9221072.5826499797</v>
      </c>
      <c r="AB45" s="235">
        <f t="shared" si="20"/>
        <v>10098115.952408638</v>
      </c>
      <c r="AC45" s="235">
        <f t="shared" si="20"/>
        <v>9658241.2269088887</v>
      </c>
      <c r="AD45" s="235">
        <f t="shared" si="20"/>
        <v>15354298.549663134</v>
      </c>
      <c r="AE45" s="45">
        <f>SUM(S45:AD45)</f>
        <v>119478722.01999998</v>
      </c>
      <c r="AF45" s="119"/>
      <c r="AG45" s="119">
        <f>119478722.02-AE45</f>
        <v>0</v>
      </c>
    </row>
    <row r="46" spans="1:33">
      <c r="B46" s="226" t="s">
        <v>281</v>
      </c>
      <c r="C46" s="45">
        <f t="shared" si="15"/>
        <v>0</v>
      </c>
      <c r="D46" s="45"/>
      <c r="F46" s="176">
        <f t="shared" si="16"/>
        <v>-14257700.021374045</v>
      </c>
      <c r="H46" s="45"/>
      <c r="I46" s="228">
        <f t="shared" si="17"/>
        <v>0</v>
      </c>
      <c r="J46" s="176">
        <f>H46-L27</f>
        <v>-14840335.099999998</v>
      </c>
      <c r="L46" s="176">
        <f t="shared" ref="L46:L52" si="21">D46-H46</f>
        <v>0</v>
      </c>
      <c r="P46" s="102" t="s">
        <v>314</v>
      </c>
      <c r="Q46" s="233" t="s">
        <v>315</v>
      </c>
      <c r="R46" s="234"/>
      <c r="S46" s="235">
        <f t="shared" ref="S46:AD46" si="22">608541*S21</f>
        <v>39655.938686780231</v>
      </c>
      <c r="T46" s="235">
        <f t="shared" si="22"/>
        <v>40488.38704198505</v>
      </c>
      <c r="U46" s="235">
        <f t="shared" si="22"/>
        <v>48305.063844570759</v>
      </c>
      <c r="V46" s="235">
        <f t="shared" si="22"/>
        <v>50872.076468085004</v>
      </c>
      <c r="W46" s="235">
        <f t="shared" si="22"/>
        <v>51237.186223767698</v>
      </c>
      <c r="X46" s="235">
        <f t="shared" si="22"/>
        <v>48214.16088880461</v>
      </c>
      <c r="Y46" s="235">
        <f t="shared" si="22"/>
        <v>55459.564223225359</v>
      </c>
      <c r="Z46" s="235">
        <f t="shared" si="22"/>
        <v>48513.821486792156</v>
      </c>
      <c r="AA46" s="235">
        <f t="shared" si="22"/>
        <v>46965.690925109557</v>
      </c>
      <c r="AB46" s="235">
        <f t="shared" si="22"/>
        <v>51432.736104810785</v>
      </c>
      <c r="AC46" s="235">
        <f t="shared" si="22"/>
        <v>49192.322072883537</v>
      </c>
      <c r="AD46" s="235">
        <f t="shared" si="22"/>
        <v>78204.052033185217</v>
      </c>
      <c r="AE46" s="45">
        <f t="shared" ref="AE46:AE53" si="23">SUM(S46:AD46)</f>
        <v>608541</v>
      </c>
      <c r="AF46" s="119"/>
      <c r="AG46" s="386">
        <f>608541-AE46</f>
        <v>0</v>
      </c>
    </row>
    <row r="47" spans="1:33">
      <c r="B47" s="226" t="s">
        <v>282</v>
      </c>
      <c r="C47" s="45">
        <f t="shared" si="15"/>
        <v>0</v>
      </c>
      <c r="D47" s="45"/>
      <c r="F47" s="176">
        <f t="shared" si="16"/>
        <v>-16461245.335877862</v>
      </c>
      <c r="H47" s="45"/>
      <c r="I47" s="228">
        <f t="shared" si="17"/>
        <v>0</v>
      </c>
      <c r="J47" s="176">
        <f t="shared" si="18"/>
        <v>-14017349.748148147</v>
      </c>
      <c r="L47" s="176">
        <f t="shared" si="21"/>
        <v>0</v>
      </c>
      <c r="P47" s="102" t="s">
        <v>316</v>
      </c>
      <c r="Q47" s="236" t="s">
        <v>317</v>
      </c>
      <c r="R47" s="237"/>
      <c r="S47" s="235">
        <f t="shared" ref="S47:AD47" si="24">36344840.91*S21</f>
        <v>2368433.322829097</v>
      </c>
      <c r="T47" s="235">
        <f t="shared" si="24"/>
        <v>2418150.9310686574</v>
      </c>
      <c r="U47" s="235">
        <f t="shared" si="24"/>
        <v>2884998.4809212806</v>
      </c>
      <c r="V47" s="235">
        <f t="shared" si="24"/>
        <v>3038312.1695890729</v>
      </c>
      <c r="W47" s="235">
        <f t="shared" si="24"/>
        <v>3060118.1875648159</v>
      </c>
      <c r="X47" s="235">
        <f t="shared" si="24"/>
        <v>2879569.3422674029</v>
      </c>
      <c r="Y47" s="235">
        <f t="shared" si="24"/>
        <v>3312297.8379945694</v>
      </c>
      <c r="Z47" s="235">
        <f t="shared" si="24"/>
        <v>2897466.4383724355</v>
      </c>
      <c r="AA47" s="235">
        <f t="shared" si="24"/>
        <v>2805005.0282583055</v>
      </c>
      <c r="AB47" s="235">
        <f t="shared" si="24"/>
        <v>3071797.3173465072</v>
      </c>
      <c r="AC47" s="235">
        <f t="shared" si="24"/>
        <v>2937989.5844855704</v>
      </c>
      <c r="AD47" s="235">
        <f t="shared" si="24"/>
        <v>4670702.2693022797</v>
      </c>
      <c r="AE47" s="45">
        <f t="shared" si="23"/>
        <v>36344840.909999996</v>
      </c>
      <c r="AF47" s="119"/>
      <c r="AG47" s="386">
        <f>36344840.91-AE47</f>
        <v>0</v>
      </c>
    </row>
    <row r="48" spans="1:33">
      <c r="B48" s="226" t="s">
        <v>283</v>
      </c>
      <c r="C48" s="45">
        <f t="shared" si="15"/>
        <v>0</v>
      </c>
      <c r="D48" s="45"/>
      <c r="F48" s="176">
        <f t="shared" si="16"/>
        <v>-14348835.832061067</v>
      </c>
      <c r="H48" s="45"/>
      <c r="I48" s="228">
        <f t="shared" si="17"/>
        <v>0</v>
      </c>
      <c r="J48" s="176">
        <f t="shared" si="18"/>
        <v>-14226762.077777777</v>
      </c>
      <c r="L48" s="176">
        <f>D48-H48</f>
        <v>0</v>
      </c>
      <c r="P48" s="102" t="s">
        <v>318</v>
      </c>
      <c r="Q48" s="233" t="s">
        <v>319</v>
      </c>
      <c r="R48" s="234"/>
      <c r="S48" s="235">
        <f>SUM(S49:S51)</f>
        <v>668946.42175656755</v>
      </c>
      <c r="T48" s="235">
        <f>SUM(T49:T51)</f>
        <v>682988.79137262295</v>
      </c>
      <c r="U48" s="235">
        <f t="shared" ref="U48:AD48" si="25">SUM(U49:U51)</f>
        <v>814846.41850932234</v>
      </c>
      <c r="V48" s="235">
        <f t="shared" si="25"/>
        <v>858148.73251245159</v>
      </c>
      <c r="W48" s="235">
        <f t="shared" si="25"/>
        <v>864307.68052125943</v>
      </c>
      <c r="X48" s="235">
        <f t="shared" si="25"/>
        <v>813312.99857272336</v>
      </c>
      <c r="Y48" s="235">
        <f t="shared" si="25"/>
        <v>935533.9519846671</v>
      </c>
      <c r="Z48" s="235">
        <f t="shared" si="25"/>
        <v>818367.900597575</v>
      </c>
      <c r="AA48" s="235">
        <f t="shared" si="25"/>
        <v>792252.86123791442</v>
      </c>
      <c r="AB48" s="235">
        <f t="shared" si="25"/>
        <v>867606.36408620828</v>
      </c>
      <c r="AC48" s="235">
        <f t="shared" si="25"/>
        <v>829813.36259534815</v>
      </c>
      <c r="AD48" s="235">
        <f t="shared" si="25"/>
        <v>1319205.2062533391</v>
      </c>
      <c r="AE48" s="235">
        <f t="shared" ref="AE48" si="26">SUM(AE49:AE51)</f>
        <v>10265330.689999999</v>
      </c>
      <c r="AG48" s="119">
        <f>10265330.69-AE48</f>
        <v>0</v>
      </c>
    </row>
    <row r="49" spans="1:34">
      <c r="B49" s="226" t="s">
        <v>284</v>
      </c>
      <c r="C49" s="45">
        <f t="shared" si="15"/>
        <v>0</v>
      </c>
      <c r="D49" s="45"/>
      <c r="F49" s="176">
        <f t="shared" si="16"/>
        <v>-13878002.713740457</v>
      </c>
      <c r="H49" s="45"/>
      <c r="I49" s="228">
        <f t="shared" si="17"/>
        <v>0</v>
      </c>
      <c r="J49" s="176">
        <f t="shared" si="18"/>
        <v>-14248018.574074075</v>
      </c>
      <c r="L49" s="176">
        <f t="shared" si="21"/>
        <v>0</v>
      </c>
      <c r="N49" s="197"/>
      <c r="P49" s="102" t="s">
        <v>320</v>
      </c>
      <c r="Q49" s="236" t="s">
        <v>321</v>
      </c>
      <c r="R49" s="237"/>
      <c r="S49" s="235">
        <f t="shared" ref="S49:AD49" si="27">10263193.69*S21</f>
        <v>668807.16287183564</v>
      </c>
      <c r="T49" s="235">
        <f t="shared" si="27"/>
        <v>682846.60919737315</v>
      </c>
      <c r="U49" s="235">
        <f t="shared" si="27"/>
        <v>814676.7866826487</v>
      </c>
      <c r="V49" s="235">
        <f t="shared" si="27"/>
        <v>857970.08616419847</v>
      </c>
      <c r="W49" s="235">
        <f t="shared" si="27"/>
        <v>864127.75202513486</v>
      </c>
      <c r="X49" s="235">
        <f t="shared" si="27"/>
        <v>813143.68596795329</v>
      </c>
      <c r="Y49" s="235">
        <f t="shared" si="27"/>
        <v>935339.19585690403</v>
      </c>
      <c r="Z49" s="235">
        <f t="shared" si="27"/>
        <v>818197.53568129614</v>
      </c>
      <c r="AA49" s="235">
        <f t="shared" si="27"/>
        <v>792087.93285756372</v>
      </c>
      <c r="AB49" s="235">
        <f t="shared" si="27"/>
        <v>867425.74888188182</v>
      </c>
      <c r="AC49" s="235">
        <f t="shared" si="27"/>
        <v>829640.61500353471</v>
      </c>
      <c r="AD49" s="235">
        <f t="shared" si="27"/>
        <v>1318930.5788096746</v>
      </c>
      <c r="AE49" s="45">
        <f t="shared" si="23"/>
        <v>10263193.689999999</v>
      </c>
      <c r="AG49" s="119">
        <f>10263193.69-AE49</f>
        <v>0</v>
      </c>
    </row>
    <row r="50" spans="1:34">
      <c r="B50" s="226" t="s">
        <v>286</v>
      </c>
      <c r="C50" s="45">
        <f>D50/$D$53</f>
        <v>0</v>
      </c>
      <c r="D50" s="45"/>
      <c r="F50" s="176">
        <f t="shared" si="16"/>
        <v>-15236565.656488551</v>
      </c>
      <c r="H50" s="45"/>
      <c r="I50" s="228">
        <f t="shared" si="17"/>
        <v>0</v>
      </c>
      <c r="J50" s="176">
        <f t="shared" si="18"/>
        <v>-14514618.67037037</v>
      </c>
      <c r="L50" s="176">
        <f t="shared" si="21"/>
        <v>0</v>
      </c>
      <c r="N50" s="197"/>
      <c r="P50" s="102" t="s">
        <v>322</v>
      </c>
      <c r="Q50" s="236" t="s">
        <v>323</v>
      </c>
      <c r="R50" s="237"/>
      <c r="S50" s="235">
        <f t="shared" ref="S50:AD50" si="28">283*S21</f>
        <v>18.441864473155967</v>
      </c>
      <c r="T50" s="235">
        <f t="shared" si="28"/>
        <v>18.828991855736536</v>
      </c>
      <c r="U50" s="235">
        <f t="shared" si="28"/>
        <v>22.464111815002646</v>
      </c>
      <c r="V50" s="235">
        <f t="shared" si="28"/>
        <v>23.657892632489933</v>
      </c>
      <c r="W50" s="235">
        <f t="shared" si="28"/>
        <v>23.827685729188765</v>
      </c>
      <c r="X50" s="235">
        <f t="shared" si="28"/>
        <v>22.421837692993087</v>
      </c>
      <c r="Y50" s="235">
        <f t="shared" si="28"/>
        <v>25.791288795944361</v>
      </c>
      <c r="Z50" s="235">
        <f t="shared" si="28"/>
        <v>22.561193873152639</v>
      </c>
      <c r="AA50" s="235">
        <f t="shared" si="28"/>
        <v>21.841240823224737</v>
      </c>
      <c r="AB50" s="235">
        <f t="shared" si="28"/>
        <v>23.918625561238194</v>
      </c>
      <c r="AC50" s="235">
        <f t="shared" si="28"/>
        <v>22.876728349652762</v>
      </c>
      <c r="AD50" s="235">
        <f t="shared" si="28"/>
        <v>36.368538398220366</v>
      </c>
      <c r="AE50" s="45">
        <f t="shared" si="23"/>
        <v>282.99999999999994</v>
      </c>
      <c r="AG50" s="197">
        <f>283-AE50</f>
        <v>0</v>
      </c>
    </row>
    <row r="51" spans="1:34">
      <c r="B51" s="226" t="s">
        <v>287</v>
      </c>
      <c r="C51" s="45">
        <f t="shared" si="15"/>
        <v>0</v>
      </c>
      <c r="D51" s="45"/>
      <c r="F51" s="176">
        <f t="shared" si="16"/>
        <v>-14555188.290076336</v>
      </c>
      <c r="H51" s="45"/>
      <c r="I51" s="228">
        <f t="shared" si="17"/>
        <v>0</v>
      </c>
      <c r="J51" s="176">
        <f t="shared" si="18"/>
        <v>-14940480.014814813</v>
      </c>
      <c r="L51" s="176">
        <f t="shared" si="21"/>
        <v>0</v>
      </c>
      <c r="P51" s="238" t="s">
        <v>324</v>
      </c>
      <c r="Q51" s="233" t="s">
        <v>325</v>
      </c>
      <c r="R51" s="234"/>
      <c r="S51" s="235">
        <f t="shared" ref="S51:AD51" si="29">1854*S21</f>
        <v>120.81702025876736</v>
      </c>
      <c r="T51" s="235">
        <f t="shared" si="29"/>
        <v>123.35318339411852</v>
      </c>
      <c r="U51" s="235">
        <f t="shared" si="29"/>
        <v>147.1677148587099</v>
      </c>
      <c r="V51" s="235">
        <f t="shared" si="29"/>
        <v>154.98845562062311</v>
      </c>
      <c r="W51" s="235">
        <f t="shared" si="29"/>
        <v>156.10081039546279</v>
      </c>
      <c r="X51" s="235">
        <f t="shared" si="29"/>
        <v>146.89076707706425</v>
      </c>
      <c r="Y51" s="235">
        <f t="shared" si="29"/>
        <v>168.96483896707011</v>
      </c>
      <c r="Z51" s="235">
        <f t="shared" si="29"/>
        <v>147.80372240574201</v>
      </c>
      <c r="AA51" s="235">
        <f t="shared" si="29"/>
        <v>143.08713952741576</v>
      </c>
      <c r="AB51" s="235">
        <f t="shared" si="29"/>
        <v>156.6965787651435</v>
      </c>
      <c r="AC51" s="235">
        <f t="shared" si="29"/>
        <v>149.87086346380289</v>
      </c>
      <c r="AD51" s="235">
        <f t="shared" si="29"/>
        <v>238.25890526607969</v>
      </c>
      <c r="AE51" s="45">
        <f t="shared" si="23"/>
        <v>1854</v>
      </c>
      <c r="AG51" s="197">
        <f>1854-AE51</f>
        <v>0</v>
      </c>
    </row>
    <row r="52" spans="1:34">
      <c r="B52" s="226" t="s">
        <v>288</v>
      </c>
      <c r="C52" s="45">
        <f>D52/$D$53</f>
        <v>0</v>
      </c>
      <c r="D52" s="45"/>
      <c r="F52" s="176">
        <f t="shared" si="16"/>
        <v>-23378528.919847324</v>
      </c>
      <c r="H52" s="45"/>
      <c r="I52" s="228">
        <f t="shared" si="17"/>
        <v>0</v>
      </c>
      <c r="J52" s="176">
        <f t="shared" si="18"/>
        <v>-25717665.755555555</v>
      </c>
      <c r="L52" s="176">
        <f t="shared" si="21"/>
        <v>0</v>
      </c>
      <c r="P52" s="239" t="s">
        <v>326</v>
      </c>
      <c r="Q52" s="240"/>
      <c r="R52" s="220"/>
      <c r="S52" s="235">
        <f>S44+S48</f>
        <v>10862938.152949885</v>
      </c>
      <c r="T52" s="235">
        <f t="shared" ref="T52:AC52" si="30">T44+T48</f>
        <v>11090970.455237294</v>
      </c>
      <c r="U52" s="235">
        <f t="shared" si="30"/>
        <v>13232190.143384356</v>
      </c>
      <c r="V52" s="235">
        <f t="shared" si="30"/>
        <v>13935371.061312616</v>
      </c>
      <c r="W52" s="235">
        <f t="shared" si="30"/>
        <v>14035385.455785692</v>
      </c>
      <c r="X52" s="235">
        <f>X44+X48</f>
        <v>13207289.126812601</v>
      </c>
      <c r="Y52" s="235">
        <f t="shared" si="30"/>
        <v>15192020.062994607</v>
      </c>
      <c r="Z52" s="235">
        <f t="shared" si="30"/>
        <v>13289375.055190833</v>
      </c>
      <c r="AA52" s="235">
        <f t="shared" si="30"/>
        <v>12865296.16307131</v>
      </c>
      <c r="AB52" s="235">
        <f t="shared" si="30"/>
        <v>14088952.369946165</v>
      </c>
      <c r="AC52" s="235">
        <f t="shared" si="30"/>
        <v>13475236.49606269</v>
      </c>
      <c r="AD52" s="235">
        <f>AD44+AD48</f>
        <v>21422410.077251937</v>
      </c>
      <c r="AE52" s="235">
        <f t="shared" ref="AE52" si="31">AE44+AE48</f>
        <v>166697434.61999997</v>
      </c>
    </row>
    <row r="53" spans="1:34">
      <c r="B53" s="102" t="s">
        <v>255</v>
      </c>
      <c r="C53" s="167">
        <f>SUM(C41:C52)</f>
        <v>1</v>
      </c>
      <c r="D53" s="45">
        <f>SUM(D41:D52)</f>
        <v>55793265.700000003</v>
      </c>
      <c r="F53" s="45">
        <f>SUM(F41:F52)</f>
        <v>-124414239.17580152</v>
      </c>
      <c r="G53" s="213">
        <f>(H53-H34)/H34</f>
        <v>-0.61139816617368936</v>
      </c>
      <c r="H53" s="45">
        <f>SUM(H41:H52)</f>
        <v>48032222.039999999</v>
      </c>
      <c r="I53" s="167">
        <f>SUM(I41:I52)</f>
        <v>1</v>
      </c>
      <c r="J53" s="45">
        <f>SUM(J41:J52)</f>
        <v>-128713401.74777776</v>
      </c>
      <c r="L53" s="167">
        <f>SUM(L41:L52)</f>
        <v>7761043.660000002</v>
      </c>
      <c r="P53" s="102" t="s">
        <v>327</v>
      </c>
      <c r="Q53" s="241" t="s">
        <v>328</v>
      </c>
      <c r="R53" s="237"/>
      <c r="S53" s="176">
        <f>S20-S52</f>
        <v>880391.8189319279</v>
      </c>
      <c r="T53" s="176">
        <f t="shared" ref="T53:AD53" si="32">T20-T52</f>
        <v>898872.80175253935</v>
      </c>
      <c r="U53" s="176">
        <f t="shared" si="32"/>
        <v>1072408.9362161923</v>
      </c>
      <c r="V53" s="176">
        <f t="shared" si="32"/>
        <v>1129398.5571324248</v>
      </c>
      <c r="W53" s="176">
        <f t="shared" si="32"/>
        <v>1137504.2697333582</v>
      </c>
      <c r="X53" s="176">
        <f t="shared" si="32"/>
        <v>1070390.821875101</v>
      </c>
      <c r="Y53" s="176">
        <f t="shared" si="32"/>
        <v>1231244.2534599286</v>
      </c>
      <c r="Z53" s="176">
        <f t="shared" si="32"/>
        <v>1077043.5136953183</v>
      </c>
      <c r="AA53" s="176">
        <f t="shared" si="32"/>
        <v>1042673.8448316138</v>
      </c>
      <c r="AB53" s="176">
        <f t="shared" si="32"/>
        <v>1141845.6249291897</v>
      </c>
      <c r="AC53" s="176">
        <f t="shared" si="32"/>
        <v>1092106.7396563385</v>
      </c>
      <c r="AD53" s="176">
        <f t="shared" si="32"/>
        <v>1736189.0777860992</v>
      </c>
      <c r="AE53" s="45">
        <f t="shared" si="23"/>
        <v>13510070.260000031</v>
      </c>
      <c r="AG53" s="119">
        <f>13510070.26-AE53</f>
        <v>-3.166496753692627E-8</v>
      </c>
    </row>
    <row r="54" spans="1:34">
      <c r="C54" s="197"/>
      <c r="D54" s="61">
        <f>55793265.7-D53</f>
        <v>0</v>
      </c>
      <c r="H54" s="61">
        <f>48032222.04-H53</f>
        <v>0</v>
      </c>
      <c r="P54" s="114" t="s">
        <v>329</v>
      </c>
      <c r="Q54" s="241"/>
      <c r="R54" s="237"/>
      <c r="S54" s="176">
        <f>S52+S53</f>
        <v>11743329.971881812</v>
      </c>
      <c r="T54" s="176">
        <f t="shared" ref="T54:AD54" si="33">T52+T53</f>
        <v>11989843.256989833</v>
      </c>
      <c r="U54" s="176">
        <f t="shared" si="33"/>
        <v>14304599.079600548</v>
      </c>
      <c r="V54" s="176">
        <f t="shared" si="33"/>
        <v>15064769.618445041</v>
      </c>
      <c r="W54" s="176">
        <f t="shared" si="33"/>
        <v>15172889.72551905</v>
      </c>
      <c r="X54" s="176">
        <f>X52+X53</f>
        <v>14277679.948687702</v>
      </c>
      <c r="Y54" s="176">
        <f t="shared" si="33"/>
        <v>16423264.316454535</v>
      </c>
      <c r="Z54" s="176">
        <f t="shared" si="33"/>
        <v>14366418.568886152</v>
      </c>
      <c r="AA54" s="176">
        <f t="shared" si="33"/>
        <v>13907970.007902924</v>
      </c>
      <c r="AB54" s="176">
        <f t="shared" si="33"/>
        <v>15230797.994875355</v>
      </c>
      <c r="AC54" s="176">
        <f t="shared" si="33"/>
        <v>14567343.235719029</v>
      </c>
      <c r="AD54" s="176">
        <f t="shared" si="33"/>
        <v>23158599.155038036</v>
      </c>
      <c r="AE54" s="45">
        <f>SUM(S54:AD54)</f>
        <v>180207504.88</v>
      </c>
      <c r="AG54" s="119">
        <f>180207504.88-AE54</f>
        <v>0</v>
      </c>
    </row>
    <row r="55" spans="1:34">
      <c r="D55" s="61"/>
      <c r="F55" s="197"/>
      <c r="H55" s="226" t="s">
        <v>304</v>
      </c>
      <c r="I55" s="227" t="s">
        <v>330</v>
      </c>
      <c r="J55" s="176">
        <f>D53-H53</f>
        <v>7761043.6600000039</v>
      </c>
      <c r="K55" s="239" t="s">
        <v>331</v>
      </c>
      <c r="L55" s="237"/>
    </row>
    <row r="56" spans="1:34">
      <c r="D56" s="197"/>
      <c r="P56" s="102" t="s">
        <v>310</v>
      </c>
      <c r="Q56" s="175" t="s">
        <v>311</v>
      </c>
      <c r="R56" s="226"/>
      <c r="S56" s="235">
        <f>SUM(S57:S59)</f>
        <v>10042746.34</v>
      </c>
      <c r="T56" s="45">
        <f>SUM(T57:T59)</f>
        <v>11870250.32</v>
      </c>
      <c r="U56" s="45">
        <f>SUM(U57:U59)</f>
        <v>12841334.529999999</v>
      </c>
      <c r="V56" s="45">
        <f t="shared" ref="V56:AD56" si="34">SUM(V57:V59)</f>
        <v>13001149.34</v>
      </c>
      <c r="W56" s="45">
        <f>SUM(W57:W59)</f>
        <v>0</v>
      </c>
      <c r="X56" s="45">
        <f t="shared" si="34"/>
        <v>0</v>
      </c>
      <c r="Y56" s="45">
        <f t="shared" si="34"/>
        <v>0</v>
      </c>
      <c r="Z56" s="45">
        <f>SUM(Z57:Z59)</f>
        <v>0</v>
      </c>
      <c r="AA56" s="45">
        <f t="shared" si="34"/>
        <v>0</v>
      </c>
      <c r="AB56" s="45">
        <f>SUM(AB57:AB59)</f>
        <v>0</v>
      </c>
      <c r="AC56" s="45">
        <f t="shared" si="34"/>
        <v>0</v>
      </c>
      <c r="AD56" s="45">
        <f t="shared" si="34"/>
        <v>0</v>
      </c>
      <c r="AE56" s="45">
        <f>SUM(AE57:AE59)</f>
        <v>47755480.530000001</v>
      </c>
      <c r="AF56" s="213">
        <f>AE56/$AE$64</f>
        <v>0.99423841958072368</v>
      </c>
      <c r="AG56" s="60"/>
      <c r="AH56" s="61"/>
    </row>
    <row r="57" spans="1:34">
      <c r="D57" s="197"/>
      <c r="I57" s="86" t="s">
        <v>332</v>
      </c>
      <c r="J57" s="242">
        <f>Exec_Orç!K19-J58</f>
        <v>5828739.8200000003</v>
      </c>
      <c r="K57" s="86" t="s">
        <v>333</v>
      </c>
      <c r="L57" s="242">
        <f>Exec_Orç!L19</f>
        <v>19536182.360000003</v>
      </c>
      <c r="N57" s="197"/>
      <c r="P57" s="102" t="s">
        <v>312</v>
      </c>
      <c r="Q57" s="236" t="s">
        <v>313</v>
      </c>
      <c r="R57" s="237"/>
      <c r="S57" s="235">
        <f>8005499.8</f>
        <v>8005499.7999999998</v>
      </c>
      <c r="T57" s="235">
        <f>9733196.11</f>
        <v>9733196.1099999994</v>
      </c>
      <c r="U57" s="45">
        <v>9780954.5299999993</v>
      </c>
      <c r="V57" s="45">
        <f>10060591.48</f>
        <v>10060591.48</v>
      </c>
      <c r="W57" s="45"/>
      <c r="X57" s="45"/>
      <c r="Y57" s="45"/>
      <c r="Z57" s="45"/>
      <c r="AA57" s="45"/>
      <c r="AB57" s="45"/>
      <c r="AC57" s="45"/>
      <c r="AD57" s="45"/>
      <c r="AE57" s="45">
        <f>SUM(S57:AD57)</f>
        <v>37580241.920000002</v>
      </c>
      <c r="AF57" s="213">
        <f>AE57/$AE$64</f>
        <v>0.78239648977105714</v>
      </c>
      <c r="AH57" s="61"/>
    </row>
    <row r="58" spans="1:34">
      <c r="B58" s="61"/>
      <c r="D58" s="61"/>
      <c r="I58" s="86" t="s">
        <v>334</v>
      </c>
      <c r="J58" s="197">
        <f>-Exec_Orç!H26</f>
        <v>691261.3499999987</v>
      </c>
      <c r="K58" s="86" t="s">
        <v>657</v>
      </c>
      <c r="L58" s="197">
        <f>Exec_Orç!J19</f>
        <v>18390.52</v>
      </c>
      <c r="P58" s="102" t="s">
        <v>314</v>
      </c>
      <c r="Q58" s="233" t="s">
        <v>315</v>
      </c>
      <c r="R58" s="234"/>
      <c r="S58" s="235"/>
      <c r="T58" s="235"/>
      <c r="U58" s="45">
        <v>10160.719999999999</v>
      </c>
      <c r="V58" s="45"/>
      <c r="W58" s="45"/>
      <c r="X58" s="45"/>
      <c r="Y58" s="45"/>
      <c r="Z58" s="45"/>
      <c r="AA58" s="45"/>
      <c r="AB58" s="45"/>
      <c r="AC58" s="45"/>
      <c r="AD58" s="45"/>
      <c r="AE58" s="45">
        <f>SUM(S58:AD58)</f>
        <v>10160.719999999999</v>
      </c>
      <c r="AF58" s="213">
        <f t="shared" ref="AF58:AF63" si="35">AE58/$AE$64</f>
        <v>2.1153966167832946E-4</v>
      </c>
      <c r="AH58" s="61"/>
    </row>
    <row r="59" spans="1:34">
      <c r="B59" s="61"/>
      <c r="D59" s="61"/>
      <c r="H59" s="61"/>
      <c r="I59" s="122" t="s">
        <v>335</v>
      </c>
      <c r="J59" s="393">
        <f>SUM(J57:J58)</f>
        <v>6520001.169999999</v>
      </c>
      <c r="N59" s="60"/>
      <c r="P59" s="102" t="s">
        <v>316</v>
      </c>
      <c r="Q59" s="236" t="s">
        <v>317</v>
      </c>
      <c r="R59" s="237"/>
      <c r="S59" s="235">
        <f>2037246.54</f>
        <v>2037246.54</v>
      </c>
      <c r="T59" s="235">
        <f>2137054.21</f>
        <v>2137054.21</v>
      </c>
      <c r="U59" s="45">
        <v>3050219.28</v>
      </c>
      <c r="V59" s="45">
        <f>2940557.86</f>
        <v>2940557.86</v>
      </c>
      <c r="W59" s="45"/>
      <c r="X59" s="45"/>
      <c r="Y59" s="45"/>
      <c r="Z59" s="45"/>
      <c r="AA59" s="45"/>
      <c r="AB59" s="45"/>
      <c r="AC59" s="45"/>
      <c r="AD59" s="45"/>
      <c r="AE59" s="45">
        <f>SUM(S59:AD59)</f>
        <v>10165077.889999999</v>
      </c>
      <c r="AF59" s="213">
        <f t="shared" si="35"/>
        <v>0.21163039014798823</v>
      </c>
      <c r="AH59" s="61"/>
    </row>
    <row r="60" spans="1:34">
      <c r="B60" s="61"/>
      <c r="D60" s="61"/>
      <c r="H60" s="61"/>
      <c r="J60" s="119"/>
      <c r="P60" s="102" t="s">
        <v>318</v>
      </c>
      <c r="Q60" s="233" t="s">
        <v>319</v>
      </c>
      <c r="R60" s="234"/>
      <c r="S60" s="235">
        <f>SUM(S61:S63)</f>
        <v>0</v>
      </c>
      <c r="T60" s="235">
        <f t="shared" ref="T60:AD60" si="36">SUM(T61:T63)</f>
        <v>61775.15</v>
      </c>
      <c r="U60" s="235">
        <f t="shared" si="36"/>
        <v>154378.71</v>
      </c>
      <c r="V60" s="235">
        <f t="shared" si="36"/>
        <v>60587.65</v>
      </c>
      <c r="W60" s="235">
        <f t="shared" si="36"/>
        <v>0</v>
      </c>
      <c r="X60" s="235">
        <f t="shared" si="36"/>
        <v>0</v>
      </c>
      <c r="Y60" s="235">
        <f t="shared" si="36"/>
        <v>0</v>
      </c>
      <c r="Z60" s="235">
        <f t="shared" si="36"/>
        <v>0</v>
      </c>
      <c r="AA60" s="235">
        <f t="shared" si="36"/>
        <v>0</v>
      </c>
      <c r="AB60" s="235">
        <f t="shared" si="36"/>
        <v>0</v>
      </c>
      <c r="AC60" s="235">
        <f t="shared" si="36"/>
        <v>0</v>
      </c>
      <c r="AD60" s="235">
        <f t="shared" si="36"/>
        <v>0</v>
      </c>
      <c r="AE60" s="235">
        <f>SUM(AE61:AE63)</f>
        <v>276741.51</v>
      </c>
      <c r="AF60" s="213">
        <f t="shared" si="35"/>
        <v>5.7615804192763928E-3</v>
      </c>
      <c r="AH60" s="61"/>
    </row>
    <row r="61" spans="1:34">
      <c r="B61" s="197"/>
      <c r="D61" s="197"/>
      <c r="J61" s="61"/>
      <c r="P61" s="102" t="s">
        <v>320</v>
      </c>
      <c r="Q61" s="236" t="s">
        <v>321</v>
      </c>
      <c r="R61" s="237"/>
      <c r="S61" s="235"/>
      <c r="T61" s="23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>
        <f>SUM(S61:AD61)</f>
        <v>0</v>
      </c>
      <c r="AF61" s="213">
        <f t="shared" si="35"/>
        <v>0</v>
      </c>
      <c r="AH61" s="61"/>
    </row>
    <row r="62" spans="1:34">
      <c r="L62" s="119"/>
      <c r="P62" s="102" t="s">
        <v>322</v>
      </c>
      <c r="Q62" s="236" t="s">
        <v>687</v>
      </c>
      <c r="R62" s="237"/>
      <c r="S62" s="235"/>
      <c r="T62" s="235">
        <f>61775.15</f>
        <v>61775.15</v>
      </c>
      <c r="U62" s="45">
        <v>154378.71</v>
      </c>
      <c r="V62" s="45">
        <f>60587.65</f>
        <v>60587.65</v>
      </c>
      <c r="W62" s="45"/>
      <c r="X62" s="45"/>
      <c r="Y62" s="45"/>
      <c r="Z62" s="45"/>
      <c r="AA62" s="45"/>
      <c r="AB62" s="45"/>
      <c r="AC62" s="45"/>
      <c r="AD62" s="45"/>
      <c r="AE62" s="45">
        <f>SUM(S62:AD62)</f>
        <v>276741.51</v>
      </c>
      <c r="AF62" s="213">
        <f t="shared" si="35"/>
        <v>5.7615804192763928E-3</v>
      </c>
      <c r="AH62" s="61"/>
    </row>
    <row r="63" spans="1:34">
      <c r="B63" s="344" t="s">
        <v>99</v>
      </c>
      <c r="C63" s="345"/>
      <c r="D63" s="345"/>
      <c r="E63" s="346" t="s">
        <v>100</v>
      </c>
      <c r="F63" s="346"/>
      <c r="H63" s="344"/>
      <c r="I63" s="347" t="s">
        <v>101</v>
      </c>
      <c r="L63" s="60"/>
      <c r="P63" s="238" t="s">
        <v>324</v>
      </c>
      <c r="Q63" s="233" t="s">
        <v>325</v>
      </c>
      <c r="R63" s="234"/>
      <c r="S63" s="235"/>
      <c r="T63" s="23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>
        <f>SUM(S63:AD63)</f>
        <v>0</v>
      </c>
      <c r="AF63" s="213">
        <f t="shared" si="35"/>
        <v>0</v>
      </c>
      <c r="AH63" s="61"/>
    </row>
    <row r="64" spans="1:34">
      <c r="A64" s="348"/>
      <c r="B64" s="344" t="s">
        <v>102</v>
      </c>
      <c r="C64" s="345"/>
      <c r="D64" s="345"/>
      <c r="E64" s="346" t="s">
        <v>103</v>
      </c>
      <c r="F64" s="346"/>
      <c r="H64" s="344"/>
      <c r="I64" s="347" t="s">
        <v>104</v>
      </c>
      <c r="J64" s="348"/>
      <c r="K64" s="348"/>
      <c r="L64" s="119"/>
      <c r="P64" s="239" t="s">
        <v>336</v>
      </c>
      <c r="Q64" s="240"/>
      <c r="R64" s="220"/>
      <c r="S64" s="235">
        <f>S56+S60</f>
        <v>10042746.34</v>
      </c>
      <c r="T64" s="235">
        <f t="shared" ref="T64:AD64" si="37">T56+T60</f>
        <v>11932025.470000001</v>
      </c>
      <c r="U64" s="235">
        <f>U56+U60</f>
        <v>12995713.24</v>
      </c>
      <c r="V64" s="235">
        <f t="shared" si="37"/>
        <v>13061736.99</v>
      </c>
      <c r="W64" s="235">
        <f t="shared" si="37"/>
        <v>0</v>
      </c>
      <c r="X64" s="235">
        <f t="shared" si="37"/>
        <v>0</v>
      </c>
      <c r="Y64" s="235">
        <f t="shared" si="37"/>
        <v>0</v>
      </c>
      <c r="Z64" s="235">
        <f>Z56+Z60</f>
        <v>0</v>
      </c>
      <c r="AA64" s="235">
        <f t="shared" si="37"/>
        <v>0</v>
      </c>
      <c r="AB64" s="235">
        <f t="shared" si="37"/>
        <v>0</v>
      </c>
      <c r="AC64" s="235">
        <f t="shared" si="37"/>
        <v>0</v>
      </c>
      <c r="AD64" s="235">
        <f t="shared" si="37"/>
        <v>0</v>
      </c>
      <c r="AE64" s="235">
        <f>AE56+AE60</f>
        <v>48032222.039999999</v>
      </c>
      <c r="AF64" s="213">
        <f>AF56+AF60</f>
        <v>1</v>
      </c>
      <c r="AH64" s="61"/>
    </row>
    <row r="65" spans="1:33">
      <c r="A65" s="349"/>
      <c r="B65" s="350"/>
      <c r="C65" s="350"/>
      <c r="D65" s="350"/>
      <c r="E65" s="350"/>
      <c r="F65" s="350"/>
      <c r="G65" s="350"/>
      <c r="H65" s="350"/>
      <c r="I65" s="350"/>
      <c r="J65" s="350"/>
      <c r="K65" s="350"/>
      <c r="L65" s="60"/>
      <c r="S65" s="197">
        <f>H41-S64</f>
        <v>0</v>
      </c>
      <c r="T65" s="197">
        <f>H42-T64</f>
        <v>0</v>
      </c>
      <c r="U65" s="197">
        <f>H43-U64</f>
        <v>0</v>
      </c>
      <c r="V65" s="197">
        <f>H44-V64</f>
        <v>0</v>
      </c>
      <c r="W65" s="197">
        <f>H45-W64</f>
        <v>0</v>
      </c>
      <c r="X65" s="197">
        <f>H46-X64</f>
        <v>0</v>
      </c>
      <c r="Y65" s="197">
        <f>H47-Y64</f>
        <v>0</v>
      </c>
      <c r="Z65" s="197">
        <f>H48-Z64</f>
        <v>0</v>
      </c>
      <c r="AA65" s="197">
        <f>H49-AA64</f>
        <v>0</v>
      </c>
      <c r="AB65" s="197">
        <f>H50-AB64</f>
        <v>0</v>
      </c>
      <c r="AC65" s="197">
        <f>H51-AC64</f>
        <v>0</v>
      </c>
      <c r="AD65" s="197">
        <f>H52-AD64</f>
        <v>0</v>
      </c>
      <c r="AE65" s="197">
        <f>AE64-H53</f>
        <v>0</v>
      </c>
    </row>
    <row r="66" spans="1:33">
      <c r="A66" s="349"/>
      <c r="B66" s="350"/>
      <c r="C66" s="350"/>
      <c r="D66" s="350"/>
      <c r="E66" s="350"/>
      <c r="F66" s="350"/>
      <c r="G66" s="350"/>
      <c r="H66" s="350"/>
      <c r="I66" s="350"/>
      <c r="J66" s="350"/>
      <c r="K66" s="350"/>
      <c r="L66" s="60"/>
      <c r="R66" s="344" t="s">
        <v>99</v>
      </c>
      <c r="S66" s="345"/>
      <c r="T66" s="345"/>
      <c r="U66" s="346" t="s">
        <v>100</v>
      </c>
      <c r="V66" s="346"/>
      <c r="X66" s="344"/>
      <c r="Y66" s="347" t="s">
        <v>101</v>
      </c>
      <c r="Z66" s="348"/>
      <c r="AA66" s="351"/>
      <c r="AB66" s="348"/>
      <c r="AD66" s="84" t="s">
        <v>337</v>
      </c>
      <c r="AE66" s="197">
        <f>55310851.46-AE64</f>
        <v>7278629.4200000018</v>
      </c>
    </row>
    <row r="67" spans="1:33">
      <c r="A67" s="349"/>
      <c r="E67" s="197"/>
      <c r="R67" s="344" t="s">
        <v>102</v>
      </c>
      <c r="S67" s="345"/>
      <c r="T67" s="345"/>
      <c r="U67" s="346" t="s">
        <v>103</v>
      </c>
      <c r="V67" s="346"/>
      <c r="X67" s="344"/>
      <c r="Y67" s="347" t="s">
        <v>104</v>
      </c>
      <c r="Z67" s="350"/>
      <c r="AA67" s="350"/>
      <c r="AB67" s="350"/>
      <c r="AD67" s="86" t="s">
        <v>338</v>
      </c>
      <c r="AE67" s="244">
        <f>AE66+AE64</f>
        <v>55310851.460000001</v>
      </c>
    </row>
    <row r="68" spans="1:33">
      <c r="A68" s="349"/>
      <c r="E68" s="61"/>
      <c r="R68" s="344"/>
      <c r="S68" s="345"/>
      <c r="T68" s="352"/>
      <c r="U68" s="346"/>
      <c r="V68" s="346"/>
      <c r="X68" s="344"/>
      <c r="Y68" s="347"/>
      <c r="Z68" s="350"/>
      <c r="AA68" s="350"/>
      <c r="AB68" s="350"/>
      <c r="AE68" s="197"/>
      <c r="AG68" s="119"/>
    </row>
    <row r="69" spans="1:33">
      <c r="S69" s="207"/>
      <c r="U69" s="89"/>
      <c r="V69" s="89"/>
      <c r="W69" s="89"/>
      <c r="X69" s="90" t="s">
        <v>651</v>
      </c>
      <c r="Y69" s="207"/>
      <c r="Z69" s="207"/>
      <c r="AA69" s="89"/>
      <c r="AB69" s="207"/>
      <c r="AC69" s="207"/>
      <c r="AD69" s="207"/>
      <c r="AE69" s="89"/>
    </row>
    <row r="70" spans="1:33">
      <c r="C70" s="107" t="s">
        <v>1774</v>
      </c>
      <c r="R70" s="86" t="s">
        <v>649</v>
      </c>
      <c r="S70" s="95" t="s">
        <v>117</v>
      </c>
      <c r="T70" s="95" t="s">
        <v>118</v>
      </c>
      <c r="U70" s="95" t="s">
        <v>119</v>
      </c>
      <c r="V70" s="95" t="s">
        <v>120</v>
      </c>
      <c r="W70" s="95" t="s">
        <v>280</v>
      </c>
      <c r="X70" s="95" t="s">
        <v>281</v>
      </c>
      <c r="Y70" s="95" t="s">
        <v>282</v>
      </c>
      <c r="Z70" s="95" t="s">
        <v>283</v>
      </c>
      <c r="AA70" s="95" t="s">
        <v>284</v>
      </c>
      <c r="AB70" s="95" t="s">
        <v>286</v>
      </c>
      <c r="AC70" s="95" t="s">
        <v>287</v>
      </c>
      <c r="AD70" s="95" t="s">
        <v>288</v>
      </c>
      <c r="AE70" s="97" t="s">
        <v>10</v>
      </c>
    </row>
    <row r="71" spans="1:33">
      <c r="A71" s="483" t="s">
        <v>484</v>
      </c>
      <c r="B71" s="204" t="s">
        <v>341</v>
      </c>
      <c r="C71" s="483" t="s">
        <v>342</v>
      </c>
      <c r="D71" s="484" t="s">
        <v>118</v>
      </c>
      <c r="E71" s="483" t="s">
        <v>119</v>
      </c>
      <c r="F71" s="543" t="s">
        <v>120</v>
      </c>
      <c r="G71" s="483" t="s">
        <v>280</v>
      </c>
      <c r="H71" s="484" t="s">
        <v>281</v>
      </c>
      <c r="I71" s="489"/>
      <c r="J71" s="484" t="s">
        <v>282</v>
      </c>
      <c r="K71" s="483" t="s">
        <v>283</v>
      </c>
      <c r="L71" s="484" t="s">
        <v>284</v>
      </c>
      <c r="M71" s="483" t="s">
        <v>286</v>
      </c>
      <c r="N71" s="484" t="s">
        <v>287</v>
      </c>
      <c r="O71" s="483" t="s">
        <v>288</v>
      </c>
      <c r="R71" s="86" t="s">
        <v>652</v>
      </c>
      <c r="S71" s="176">
        <f>S56</f>
        <v>10042746.34</v>
      </c>
      <c r="T71" s="176">
        <f t="shared" ref="T71:AD71" si="38">T56</f>
        <v>11870250.32</v>
      </c>
      <c r="U71" s="176">
        <f t="shared" si="38"/>
        <v>12841334.529999999</v>
      </c>
      <c r="V71" s="176">
        <f t="shared" si="38"/>
        <v>13001149.34</v>
      </c>
      <c r="W71" s="176">
        <f t="shared" si="38"/>
        <v>0</v>
      </c>
      <c r="X71" s="176">
        <f t="shared" si="38"/>
        <v>0</v>
      </c>
      <c r="Y71" s="176">
        <f t="shared" si="38"/>
        <v>0</v>
      </c>
      <c r="Z71" s="176">
        <f t="shared" si="38"/>
        <v>0</v>
      </c>
      <c r="AA71" s="176">
        <f t="shared" si="38"/>
        <v>0</v>
      </c>
      <c r="AB71" s="176">
        <f t="shared" si="38"/>
        <v>0</v>
      </c>
      <c r="AC71" s="176">
        <f>AC56</f>
        <v>0</v>
      </c>
      <c r="AD71" s="176">
        <f t="shared" si="38"/>
        <v>0</v>
      </c>
      <c r="AE71" s="176">
        <f>SUM(S71:AD71)</f>
        <v>47755480.530000001</v>
      </c>
    </row>
    <row r="72" spans="1:33">
      <c r="A72" s="361">
        <f t="shared" ref="A72:A88" si="39">O101</f>
        <v>4383.53</v>
      </c>
      <c r="B72" s="250">
        <v>4383.53</v>
      </c>
      <c r="C72" s="488">
        <v>2004</v>
      </c>
      <c r="D72" s="250">
        <v>4383.53</v>
      </c>
      <c r="E72" s="487">
        <v>4383.53</v>
      </c>
      <c r="F72" s="544">
        <v>4383.53</v>
      </c>
      <c r="G72" s="487"/>
      <c r="H72" s="250"/>
      <c r="I72" s="489"/>
      <c r="J72" s="250"/>
      <c r="K72" s="487"/>
      <c r="L72" s="249"/>
      <c r="M72" s="487"/>
      <c r="N72" s="250"/>
      <c r="O72" s="447"/>
      <c r="R72" s="86" t="s">
        <v>650</v>
      </c>
      <c r="S72" s="390">
        <f>RCL!E5</f>
        <v>11527853.43</v>
      </c>
      <c r="T72" s="390">
        <f>RCL!D5</f>
        <v>11103679.35</v>
      </c>
      <c r="U72" s="390">
        <f>RCL!D5</f>
        <v>11103679.35</v>
      </c>
      <c r="V72" s="390">
        <f>RCL!H5</f>
        <v>16377826.710000001</v>
      </c>
      <c r="W72" s="391">
        <f>RCL!G5</f>
        <v>11182974.76</v>
      </c>
      <c r="X72" s="391">
        <f>RCL!F5</f>
        <v>11080171.5</v>
      </c>
      <c r="Y72" s="391">
        <f>RCL!E5</f>
        <v>11527853.43</v>
      </c>
      <c r="Z72" s="391">
        <f>RCL!D5</f>
        <v>11103679.35</v>
      </c>
      <c r="AA72" s="391">
        <f>RCL!E5</f>
        <v>11527853.43</v>
      </c>
      <c r="AB72" s="391">
        <f>RCL!D5</f>
        <v>11103679.35</v>
      </c>
      <c r="AC72" s="391">
        <f>RCL!E37</f>
        <v>10081731.52</v>
      </c>
      <c r="AD72" s="391">
        <f>RCL!D37</f>
        <v>9893516.2400000002</v>
      </c>
      <c r="AE72" s="176">
        <f>SUM(S72:AD72)</f>
        <v>137614498.41999999</v>
      </c>
    </row>
    <row r="73" spans="1:33">
      <c r="A73" s="247">
        <f t="shared" si="39"/>
        <v>57.84</v>
      </c>
      <c r="B73" s="252">
        <v>57.84</v>
      </c>
      <c r="C73" s="63">
        <v>2005</v>
      </c>
      <c r="D73" s="252">
        <v>57.84</v>
      </c>
      <c r="E73" s="243">
        <v>57.84</v>
      </c>
      <c r="F73" s="252">
        <v>57.84</v>
      </c>
      <c r="G73" s="243"/>
      <c r="H73" s="252"/>
      <c r="I73" s="243"/>
      <c r="J73" s="252"/>
      <c r="K73" s="366"/>
      <c r="L73" s="253"/>
      <c r="M73" s="243"/>
      <c r="N73" s="252"/>
      <c r="O73" s="234"/>
      <c r="R73" s="86" t="s">
        <v>343</v>
      </c>
      <c r="S73" s="213">
        <f>S71/S72</f>
        <v>0.8711722786017414</v>
      </c>
      <c r="T73" s="213">
        <f t="shared" ref="T73:AD73" si="40">T71/T72</f>
        <v>1.0690375636612741</v>
      </c>
      <c r="U73" s="213">
        <f t="shared" si="40"/>
        <v>1.1564936383001729</v>
      </c>
      <c r="V73" s="213">
        <f t="shared" si="40"/>
        <v>0.79382628539241629</v>
      </c>
      <c r="W73" s="213">
        <f t="shared" si="40"/>
        <v>0</v>
      </c>
      <c r="X73" s="213">
        <f t="shared" si="40"/>
        <v>0</v>
      </c>
      <c r="Y73" s="213">
        <f t="shared" si="40"/>
        <v>0</v>
      </c>
      <c r="Z73" s="213">
        <f t="shared" si="40"/>
        <v>0</v>
      </c>
      <c r="AA73" s="213">
        <f t="shared" si="40"/>
        <v>0</v>
      </c>
      <c r="AB73" s="213">
        <f t="shared" si="40"/>
        <v>0</v>
      </c>
      <c r="AC73" s="213">
        <f t="shared" si="40"/>
        <v>0</v>
      </c>
      <c r="AD73" s="213">
        <f t="shared" si="40"/>
        <v>0</v>
      </c>
      <c r="AE73" s="213">
        <f>AE71/AE72</f>
        <v>0.34702361363299156</v>
      </c>
      <c r="AF73" s="119"/>
    </row>
    <row r="74" spans="1:33">
      <c r="A74" s="247">
        <f t="shared" si="39"/>
        <v>1022.7</v>
      </c>
      <c r="B74" s="248">
        <v>1022.7</v>
      </c>
      <c r="C74" s="63">
        <v>2006</v>
      </c>
      <c r="D74" s="248">
        <v>1022.7</v>
      </c>
      <c r="E74" s="366">
        <v>1022.7</v>
      </c>
      <c r="F74" s="248">
        <v>376.17</v>
      </c>
      <c r="G74" s="366"/>
      <c r="H74" s="248"/>
      <c r="I74" s="243"/>
      <c r="J74" s="248"/>
      <c r="K74" s="366"/>
      <c r="L74" s="253"/>
      <c r="M74" s="366"/>
      <c r="N74" s="248"/>
      <c r="O74" s="427"/>
    </row>
    <row r="75" spans="1:33">
      <c r="A75" s="247">
        <f t="shared" si="39"/>
        <v>776.55</v>
      </c>
      <c r="B75" s="248">
        <v>776.55</v>
      </c>
      <c r="C75" s="63">
        <v>2007</v>
      </c>
      <c r="D75" s="248">
        <v>776.55</v>
      </c>
      <c r="E75" s="366">
        <v>776.55</v>
      </c>
      <c r="F75" s="248">
        <v>776.55</v>
      </c>
      <c r="G75" s="366"/>
      <c r="H75" s="248"/>
      <c r="I75" s="243"/>
      <c r="J75" s="248"/>
      <c r="K75" s="366"/>
      <c r="L75" s="253"/>
      <c r="M75" s="366"/>
      <c r="N75" s="248"/>
      <c r="O75" s="234"/>
      <c r="T75" s="107" t="s">
        <v>344</v>
      </c>
    </row>
    <row r="76" spans="1:33">
      <c r="A76" s="247">
        <f t="shared" si="39"/>
        <v>2046.08</v>
      </c>
      <c r="B76" s="248">
        <v>2046.08</v>
      </c>
      <c r="C76" s="63">
        <v>2008</v>
      </c>
      <c r="D76" s="248">
        <v>2046.08</v>
      </c>
      <c r="E76" s="366">
        <v>2046.08</v>
      </c>
      <c r="F76" s="248">
        <v>1737.19</v>
      </c>
      <c r="G76" s="366"/>
      <c r="H76" s="248"/>
      <c r="I76" s="243"/>
      <c r="J76" s="248"/>
      <c r="K76" s="366"/>
      <c r="L76" s="253"/>
      <c r="M76" s="366"/>
      <c r="N76" s="248"/>
      <c r="O76" s="427"/>
    </row>
    <row r="77" spans="1:33">
      <c r="A77" s="247">
        <f t="shared" si="39"/>
        <v>2230.9</v>
      </c>
      <c r="B77" s="248">
        <v>2230.9</v>
      </c>
      <c r="C77" s="63">
        <v>2009</v>
      </c>
      <c r="D77" s="248">
        <v>2230.9</v>
      </c>
      <c r="E77" s="366">
        <v>2230.9</v>
      </c>
      <c r="F77" s="248">
        <v>1779.08</v>
      </c>
      <c r="G77" s="366"/>
      <c r="H77" s="248"/>
      <c r="I77" s="243"/>
      <c r="J77" s="248"/>
      <c r="K77" s="366"/>
      <c r="L77" s="253"/>
      <c r="M77" s="366"/>
      <c r="N77" s="248"/>
      <c r="O77" s="427"/>
      <c r="T77" s="107" t="s">
        <v>345</v>
      </c>
    </row>
    <row r="78" spans="1:33">
      <c r="A78" s="247">
        <f t="shared" si="39"/>
        <v>7980.88</v>
      </c>
      <c r="B78" s="248">
        <v>7980.88</v>
      </c>
      <c r="C78" s="63">
        <v>2010</v>
      </c>
      <c r="D78" s="248">
        <v>7980.88</v>
      </c>
      <c r="E78" s="366">
        <v>7980.88</v>
      </c>
      <c r="F78" s="248">
        <v>6480.66</v>
      </c>
      <c r="G78" s="366"/>
      <c r="H78" s="248"/>
      <c r="I78" s="243"/>
      <c r="J78" s="248"/>
      <c r="K78" s="366"/>
      <c r="L78" s="253"/>
      <c r="M78" s="366"/>
      <c r="N78" s="248"/>
      <c r="O78" s="427"/>
      <c r="Q78" s="95" t="s">
        <v>129</v>
      </c>
      <c r="R78" s="95" t="s">
        <v>346</v>
      </c>
      <c r="S78" s="95" t="str">
        <f t="shared" ref="S78:AE78" si="41">S3</f>
        <v>JANEIRO</v>
      </c>
      <c r="T78" s="95" t="str">
        <f t="shared" si="41"/>
        <v>FEVEREIRO</v>
      </c>
      <c r="U78" s="95" t="str">
        <f t="shared" si="41"/>
        <v>MARÇO</v>
      </c>
      <c r="V78" s="95" t="str">
        <f t="shared" si="41"/>
        <v>ABRIL</v>
      </c>
      <c r="W78" s="95" t="str">
        <f t="shared" si="41"/>
        <v>MAIO</v>
      </c>
      <c r="X78" s="95" t="str">
        <f t="shared" si="41"/>
        <v>JUNHO</v>
      </c>
      <c r="Y78" s="95" t="str">
        <f t="shared" si="41"/>
        <v>JULHO</v>
      </c>
      <c r="Z78" s="95" t="str">
        <f t="shared" si="41"/>
        <v>AGOSTO</v>
      </c>
      <c r="AA78" s="95" t="str">
        <f t="shared" si="41"/>
        <v>SETEMBRO</v>
      </c>
      <c r="AB78" s="95" t="str">
        <f t="shared" si="41"/>
        <v>OUTUBRO</v>
      </c>
      <c r="AC78" s="95" t="str">
        <f t="shared" si="41"/>
        <v>NOVEMBRO</v>
      </c>
      <c r="AD78" s="95" t="str">
        <f t="shared" si="41"/>
        <v>DEZEMBRO</v>
      </c>
      <c r="AE78" s="95" t="str">
        <f t="shared" si="41"/>
        <v>TOTAL</v>
      </c>
    </row>
    <row r="79" spans="1:33">
      <c r="A79" s="247">
        <f t="shared" si="39"/>
        <v>172953.87</v>
      </c>
      <c r="B79" s="248">
        <v>172953.87</v>
      </c>
      <c r="C79" s="63">
        <v>2011</v>
      </c>
      <c r="D79" s="248">
        <v>172953.87</v>
      </c>
      <c r="E79" s="366">
        <v>172953.87</v>
      </c>
      <c r="F79" s="248">
        <v>169801.14</v>
      </c>
      <c r="G79" s="366"/>
      <c r="H79" s="248"/>
      <c r="I79" s="243"/>
      <c r="J79" s="248"/>
      <c r="K79" s="366"/>
      <c r="L79" s="253"/>
      <c r="M79" s="366"/>
      <c r="N79" s="248"/>
      <c r="O79" s="427"/>
      <c r="Q79" s="204" t="s">
        <v>347</v>
      </c>
      <c r="R79" s="95" t="s">
        <v>277</v>
      </c>
      <c r="S79" s="97">
        <f t="shared" ref="S79:AE79" si="42">S20</f>
        <v>11743329.971881812</v>
      </c>
      <c r="T79" s="97">
        <f t="shared" si="42"/>
        <v>11989843.256989833</v>
      </c>
      <c r="U79" s="97">
        <f t="shared" si="42"/>
        <v>14304599.079600548</v>
      </c>
      <c r="V79" s="97">
        <f t="shared" si="42"/>
        <v>15064769.618445041</v>
      </c>
      <c r="W79" s="97">
        <f t="shared" si="42"/>
        <v>15172889.72551905</v>
      </c>
      <c r="X79" s="97">
        <f t="shared" si="42"/>
        <v>14277679.948687702</v>
      </c>
      <c r="Y79" s="97">
        <f t="shared" si="42"/>
        <v>16423264.316454535</v>
      </c>
      <c r="Z79" s="97">
        <f t="shared" si="42"/>
        <v>14366418.568886152</v>
      </c>
      <c r="AA79" s="97">
        <f t="shared" si="42"/>
        <v>13907970.007902924</v>
      </c>
      <c r="AB79" s="97">
        <f t="shared" si="42"/>
        <v>15230797.994875355</v>
      </c>
      <c r="AC79" s="97">
        <f t="shared" si="42"/>
        <v>14567343.235719029</v>
      </c>
      <c r="AD79" s="97">
        <f t="shared" si="42"/>
        <v>23158599.155038036</v>
      </c>
      <c r="AE79" s="97">
        <f t="shared" si="42"/>
        <v>180207504.88000003</v>
      </c>
      <c r="AG79" s="61"/>
    </row>
    <row r="80" spans="1:33">
      <c r="A80" s="247">
        <f t="shared" si="39"/>
        <v>1853617.76</v>
      </c>
      <c r="B80" s="248">
        <v>1840064.14</v>
      </c>
      <c r="C80" s="63">
        <v>2012</v>
      </c>
      <c r="D80" s="248">
        <v>1826510.52</v>
      </c>
      <c r="E80" s="366">
        <v>1812792.97</v>
      </c>
      <c r="F80" s="248">
        <v>1798786.57</v>
      </c>
      <c r="G80" s="366"/>
      <c r="H80" s="248"/>
      <c r="I80" s="243"/>
      <c r="J80" s="248"/>
      <c r="K80" s="366"/>
      <c r="L80" s="253"/>
      <c r="M80" s="366"/>
      <c r="N80" s="248"/>
      <c r="O80" s="427"/>
    </row>
    <row r="81" spans="1:32">
      <c r="A81" s="247">
        <f t="shared" si="39"/>
        <v>10667.58</v>
      </c>
      <c r="B81" s="248">
        <v>10667.58</v>
      </c>
      <c r="C81" s="63">
        <v>2013</v>
      </c>
      <c r="D81" s="248">
        <v>10667.58</v>
      </c>
      <c r="E81" s="366">
        <v>10667.58</v>
      </c>
      <c r="F81" s="248">
        <v>9489.8700000000008</v>
      </c>
      <c r="G81" s="366"/>
      <c r="H81" s="248"/>
      <c r="I81" s="243"/>
      <c r="J81" s="248"/>
      <c r="K81" s="366"/>
      <c r="L81" s="253"/>
      <c r="M81" s="366"/>
      <c r="N81" s="248"/>
      <c r="O81" s="427"/>
      <c r="Q81" s="204">
        <f t="shared" ref="Q81:AE81" si="43">Q13</f>
        <v>10</v>
      </c>
      <c r="R81" s="204" t="str">
        <f t="shared" si="43"/>
        <v>SMS</v>
      </c>
      <c r="S81" s="97">
        <f t="shared" si="43"/>
        <v>1909501.6614223479</v>
      </c>
      <c r="T81" s="97">
        <f t="shared" si="43"/>
        <v>1950980.7011660014</v>
      </c>
      <c r="U81" s="97">
        <f t="shared" si="43"/>
        <v>2340468.2240021438</v>
      </c>
      <c r="V81" s="97">
        <f t="shared" si="43"/>
        <v>2468376.7218296276</v>
      </c>
      <c r="W81" s="97">
        <f t="shared" si="43"/>
        <v>2486569.3243761626</v>
      </c>
      <c r="X81" s="97">
        <f t="shared" si="43"/>
        <v>2335938.7330235578</v>
      </c>
      <c r="Y81" s="97">
        <f t="shared" si="43"/>
        <v>2696960.9766116212</v>
      </c>
      <c r="Z81" s="97">
        <f t="shared" si="43"/>
        <v>2350870.1504211859</v>
      </c>
      <c r="AA81" s="97">
        <f t="shared" si="43"/>
        <v>2273730.2669738848</v>
      </c>
      <c r="AB81" s="97">
        <f t="shared" si="43"/>
        <v>2496313.1375952503</v>
      </c>
      <c r="AC81" s="97">
        <f t="shared" si="43"/>
        <v>2384678.3171388102</v>
      </c>
      <c r="AD81" s="97">
        <f t="shared" si="43"/>
        <v>3830267.9354394069</v>
      </c>
      <c r="AE81" s="97">
        <f t="shared" si="43"/>
        <v>29524656.150000002</v>
      </c>
    </row>
    <row r="82" spans="1:32">
      <c r="A82" s="247">
        <f t="shared" si="39"/>
        <v>262666.27</v>
      </c>
      <c r="B82" s="248">
        <v>239850.34</v>
      </c>
      <c r="C82" s="63">
        <v>2014</v>
      </c>
      <c r="D82" s="248">
        <v>217034.41</v>
      </c>
      <c r="E82" s="366">
        <v>194218.48</v>
      </c>
      <c r="F82" s="248">
        <v>191899.2</v>
      </c>
      <c r="G82" s="366"/>
      <c r="H82" s="248"/>
      <c r="I82" s="243"/>
      <c r="J82" s="248"/>
      <c r="K82" s="366"/>
      <c r="L82" s="253"/>
      <c r="M82" s="366"/>
      <c r="N82" s="248"/>
      <c r="O82" s="427"/>
      <c r="Q82" s="226"/>
      <c r="R82" s="226" t="s">
        <v>348</v>
      </c>
      <c r="S82" s="97">
        <f>(S81/S79)*100</f>
        <v>16.26030832816971</v>
      </c>
      <c r="T82" s="97">
        <f t="shared" ref="T82:AD82" si="44">(T81/T79)*100</f>
        <v>16.271945006692391</v>
      </c>
      <c r="U82" s="97">
        <f t="shared" si="44"/>
        <v>16.361648522815507</v>
      </c>
      <c r="V82" s="97">
        <f t="shared" si="44"/>
        <v>16.38509439140304</v>
      </c>
      <c r="W82" s="97">
        <f t="shared" si="44"/>
        <v>16.388238294476231</v>
      </c>
      <c r="X82" s="97">
        <f t="shared" si="44"/>
        <v>16.360772488377986</v>
      </c>
      <c r="Y82" s="97">
        <f t="shared" si="44"/>
        <v>16.421589061984012</v>
      </c>
      <c r="Z82" s="97">
        <f t="shared" si="44"/>
        <v>16.3636478997803</v>
      </c>
      <c r="AA82" s="97">
        <f t="shared" si="44"/>
        <v>16.348397830034745</v>
      </c>
      <c r="AB82" s="97">
        <f t="shared" si="44"/>
        <v>16.389903788594495</v>
      </c>
      <c r="AC82" s="97">
        <f t="shared" si="44"/>
        <v>16.370029033788363</v>
      </c>
      <c r="AD82" s="97">
        <f t="shared" si="44"/>
        <v>16.539290264481092</v>
      </c>
      <c r="AE82" s="97">
        <f>(AE81/AE79)*100</f>
        <v>16.383699541070964</v>
      </c>
    </row>
    <row r="83" spans="1:32">
      <c r="A83" s="247">
        <f t="shared" si="39"/>
        <v>2976030.69</v>
      </c>
      <c r="B83" s="248">
        <v>2963376.61</v>
      </c>
      <c r="C83" s="63">
        <v>2015</v>
      </c>
      <c r="D83" s="248">
        <v>2950722.53</v>
      </c>
      <c r="E83" s="366">
        <v>2938068.45</v>
      </c>
      <c r="F83" s="248">
        <v>2938068.45</v>
      </c>
      <c r="G83" s="366"/>
      <c r="H83" s="248"/>
      <c r="I83" s="243"/>
      <c r="J83" s="248"/>
      <c r="K83" s="366"/>
      <c r="L83" s="253"/>
      <c r="M83" s="366"/>
      <c r="N83" s="248"/>
      <c r="O83" s="427"/>
      <c r="U83" s="119"/>
      <c r="V83" s="119"/>
      <c r="W83" s="119"/>
      <c r="X83" s="61"/>
      <c r="Y83" s="119"/>
      <c r="Z83" s="61"/>
    </row>
    <row r="84" spans="1:32">
      <c r="A84" s="247">
        <f t="shared" si="39"/>
        <v>3090443.38</v>
      </c>
      <c r="B84" s="248">
        <v>3076165.72</v>
      </c>
      <c r="C84" s="63">
        <v>2016</v>
      </c>
      <c r="D84" s="248">
        <v>3061888.06</v>
      </c>
      <c r="E84" s="366">
        <v>3047610.4</v>
      </c>
      <c r="F84" s="248">
        <v>3046096.7</v>
      </c>
      <c r="G84" s="366"/>
      <c r="H84" s="248"/>
      <c r="I84" s="243"/>
      <c r="J84" s="248"/>
      <c r="K84" s="366"/>
      <c r="L84" s="253"/>
      <c r="M84" s="366"/>
      <c r="N84" s="248"/>
      <c r="O84" s="427"/>
      <c r="R84" s="95" t="s">
        <v>349</v>
      </c>
      <c r="S84" s="226" t="s">
        <v>350</v>
      </c>
      <c r="T84" s="226" t="s">
        <v>351</v>
      </c>
      <c r="U84" s="226" t="s">
        <v>352</v>
      </c>
      <c r="V84" s="95" t="s">
        <v>132</v>
      </c>
      <c r="W84" s="95" t="s">
        <v>353</v>
      </c>
      <c r="X84" s="95" t="s">
        <v>354</v>
      </c>
      <c r="Y84" s="95" t="s">
        <v>148</v>
      </c>
      <c r="Z84" s="226" t="s">
        <v>355</v>
      </c>
      <c r="AA84" s="95" t="s">
        <v>356</v>
      </c>
    </row>
    <row r="85" spans="1:32">
      <c r="A85" s="247">
        <f t="shared" si="39"/>
        <v>1983979.69</v>
      </c>
      <c r="B85" s="248">
        <v>1946694.19</v>
      </c>
      <c r="C85" s="63">
        <v>2017</v>
      </c>
      <c r="D85" s="248">
        <v>1909408.69</v>
      </c>
      <c r="E85" s="366">
        <v>1872123.19</v>
      </c>
      <c r="F85" s="248">
        <v>1872123.19</v>
      </c>
      <c r="G85" s="366"/>
      <c r="H85" s="248"/>
      <c r="I85" s="243"/>
      <c r="J85" s="248"/>
      <c r="K85" s="366"/>
      <c r="L85" s="253"/>
      <c r="M85" s="366"/>
      <c r="N85" s="248"/>
      <c r="O85" s="427"/>
      <c r="R85" s="95" t="s">
        <v>357</v>
      </c>
      <c r="S85" s="45">
        <f>Cruz!I27</f>
        <v>183735028.03</v>
      </c>
      <c r="T85" s="176">
        <f>S85-U85</f>
        <v>128424176.56999999</v>
      </c>
      <c r="U85" s="45">
        <f>AE67</f>
        <v>55310851.460000001</v>
      </c>
      <c r="V85" s="45">
        <f>AE64</f>
        <v>48032222.039999999</v>
      </c>
      <c r="W85" s="45">
        <f>U85-V85</f>
        <v>7278629.4200000018</v>
      </c>
      <c r="X85" s="45">
        <f>43048470.62</f>
        <v>43048470.619999997</v>
      </c>
      <c r="Y85" s="176">
        <f>V85-X85</f>
        <v>4983751.4200000018</v>
      </c>
      <c r="Z85" s="176">
        <f>W85+Y85</f>
        <v>12262380.840000004</v>
      </c>
      <c r="AA85" s="254">
        <f>Z85-W85</f>
        <v>4983751.4200000018</v>
      </c>
    </row>
    <row r="86" spans="1:32">
      <c r="A86" s="247">
        <f t="shared" si="39"/>
        <v>1947123.88</v>
      </c>
      <c r="B86" s="248">
        <v>1947123.88</v>
      </c>
      <c r="C86" s="63">
        <v>2018</v>
      </c>
      <c r="D86" s="248">
        <v>1947123.88</v>
      </c>
      <c r="E86" s="366">
        <v>1947123.88</v>
      </c>
      <c r="F86" s="248">
        <v>1945507.17</v>
      </c>
      <c r="G86" s="366"/>
      <c r="H86" s="248"/>
      <c r="I86" s="243"/>
      <c r="J86" s="248"/>
      <c r="K86" s="366"/>
      <c r="L86" s="253"/>
      <c r="M86" s="366"/>
      <c r="N86" s="248"/>
      <c r="O86" s="427"/>
      <c r="T86" s="107" t="s">
        <v>358</v>
      </c>
    </row>
    <row r="87" spans="1:32">
      <c r="A87" s="247">
        <f t="shared" si="39"/>
        <v>1589682.36</v>
      </c>
      <c r="B87" s="248">
        <v>1589682.36</v>
      </c>
      <c r="C87" s="63">
        <v>2019</v>
      </c>
      <c r="D87" s="248">
        <v>1589682.36</v>
      </c>
      <c r="E87" s="366">
        <v>1589682.36</v>
      </c>
      <c r="F87" s="248">
        <v>1586108.09</v>
      </c>
      <c r="G87" s="366"/>
      <c r="H87" s="248"/>
      <c r="I87" s="243"/>
      <c r="J87" s="248"/>
      <c r="K87" s="366"/>
      <c r="L87" s="253"/>
      <c r="M87" s="366"/>
      <c r="N87" s="248"/>
      <c r="O87" s="427"/>
      <c r="Q87" s="95" t="s">
        <v>129</v>
      </c>
      <c r="R87" s="95" t="s">
        <v>359</v>
      </c>
      <c r="S87" s="176">
        <f>S40</f>
        <v>10042746.34</v>
      </c>
      <c r="T87" s="176">
        <f t="shared" ref="T87:AE87" si="45">T40</f>
        <v>11932025.470000001</v>
      </c>
      <c r="U87" s="176">
        <f t="shared" si="45"/>
        <v>12995713.240000002</v>
      </c>
      <c r="V87" s="176">
        <f t="shared" si="45"/>
        <v>13061736.99</v>
      </c>
      <c r="W87" s="176">
        <f t="shared" si="45"/>
        <v>0</v>
      </c>
      <c r="X87" s="176">
        <f t="shared" si="45"/>
        <v>0</v>
      </c>
      <c r="Y87" s="176">
        <f t="shared" si="45"/>
        <v>0</v>
      </c>
      <c r="Z87" s="176">
        <f t="shared" si="45"/>
        <v>0</v>
      </c>
      <c r="AA87" s="176">
        <f t="shared" si="45"/>
        <v>0</v>
      </c>
      <c r="AB87" s="176">
        <f t="shared" si="45"/>
        <v>0</v>
      </c>
      <c r="AC87" s="176">
        <f t="shared" si="45"/>
        <v>0</v>
      </c>
      <c r="AD87" s="176">
        <f t="shared" si="45"/>
        <v>0</v>
      </c>
      <c r="AE87" s="176">
        <f t="shared" si="45"/>
        <v>48032222.039999999</v>
      </c>
      <c r="AF87" s="61"/>
    </row>
    <row r="88" spans="1:32">
      <c r="A88" s="247">
        <f t="shared" si="39"/>
        <v>5680688.5700000003</v>
      </c>
      <c r="B88" s="248">
        <v>5574403.1600000001</v>
      </c>
      <c r="C88" s="63">
        <v>2020</v>
      </c>
      <c r="D88" s="248">
        <v>5452349.8099999996</v>
      </c>
      <c r="E88" s="366">
        <v>5428351.1900000004</v>
      </c>
      <c r="F88" s="248">
        <v>5425688.5499999998</v>
      </c>
      <c r="G88" s="366"/>
      <c r="H88" s="248"/>
      <c r="I88" s="243"/>
      <c r="J88" s="248"/>
      <c r="K88" s="243"/>
      <c r="L88" s="248"/>
      <c r="M88" s="366"/>
      <c r="N88" s="248"/>
      <c r="O88" s="427"/>
    </row>
    <row r="89" spans="1:32">
      <c r="A89" s="356">
        <v>1358407.71</v>
      </c>
      <c r="B89" s="485">
        <v>1358407.71</v>
      </c>
      <c r="C89" s="41">
        <v>2021</v>
      </c>
      <c r="D89" s="485">
        <v>1101746.45</v>
      </c>
      <c r="E89" s="360">
        <v>1192060.05</v>
      </c>
      <c r="F89" s="485">
        <v>1191267.1599999999</v>
      </c>
      <c r="G89" s="360"/>
      <c r="H89" s="492"/>
      <c r="I89" s="490"/>
      <c r="J89" s="492"/>
      <c r="K89" s="490"/>
      <c r="L89" s="492"/>
      <c r="M89" s="490"/>
      <c r="N89" s="492"/>
      <c r="O89" s="357"/>
      <c r="Q89" s="95">
        <f t="shared" ref="Q89:AE89" si="46">Q33</f>
        <v>10</v>
      </c>
      <c r="R89" s="95" t="str">
        <f t="shared" si="46"/>
        <v>SMSMA</v>
      </c>
      <c r="S89" s="97">
        <f t="shared" si="46"/>
        <v>2160274.39</v>
      </c>
      <c r="T89" s="97">
        <f t="shared" si="46"/>
        <v>2485721.2599999998</v>
      </c>
      <c r="U89" s="97">
        <f t="shared" si="46"/>
        <v>2241731.09</v>
      </c>
      <c r="V89" s="97">
        <f t="shared" si="46"/>
        <v>2969516.94</v>
      </c>
      <c r="W89" s="97">
        <f t="shared" si="46"/>
        <v>0</v>
      </c>
      <c r="X89" s="97">
        <f t="shared" si="46"/>
        <v>0</v>
      </c>
      <c r="Y89" s="97">
        <f t="shared" si="46"/>
        <v>0</v>
      </c>
      <c r="Z89" s="97">
        <f t="shared" si="46"/>
        <v>0</v>
      </c>
      <c r="AA89" s="97">
        <f t="shared" si="46"/>
        <v>0</v>
      </c>
      <c r="AB89" s="97">
        <f t="shared" si="46"/>
        <v>0</v>
      </c>
      <c r="AC89" s="97">
        <f t="shared" si="46"/>
        <v>0</v>
      </c>
      <c r="AD89" s="97">
        <f t="shared" si="46"/>
        <v>0</v>
      </c>
      <c r="AE89" s="97">
        <f t="shared" si="46"/>
        <v>9857243.6799999997</v>
      </c>
    </row>
    <row r="90" spans="1:32">
      <c r="A90" s="356">
        <f>SUM(A72:A89)</f>
        <v>20944760.240000002</v>
      </c>
      <c r="B90" s="485">
        <f>SUM(B72:B89)</f>
        <v>20737888.039999999</v>
      </c>
      <c r="C90" s="491">
        <f>20737888.04-B90</f>
        <v>0</v>
      </c>
      <c r="D90" s="485">
        <f>SUM(D72:D89)</f>
        <v>20258586.639999997</v>
      </c>
      <c r="E90" s="360">
        <f>SUM(E72:E89)</f>
        <v>20224150.900000002</v>
      </c>
      <c r="F90" s="360">
        <f>SUM(F72:F89)</f>
        <v>20190427.109999999</v>
      </c>
      <c r="G90" s="360">
        <f t="shared" ref="G90:H90" si="47">SUM(G72:G89)</f>
        <v>0</v>
      </c>
      <c r="H90" s="360">
        <f t="shared" si="47"/>
        <v>0</v>
      </c>
      <c r="I90" s="490"/>
      <c r="J90" s="485">
        <f t="shared" ref="J90:O90" si="48">SUM(J72:J88)</f>
        <v>0</v>
      </c>
      <c r="K90" s="360">
        <f t="shared" si="48"/>
        <v>0</v>
      </c>
      <c r="L90" s="327">
        <f t="shared" si="48"/>
        <v>0</v>
      </c>
      <c r="M90" s="486">
        <f t="shared" si="48"/>
        <v>0</v>
      </c>
      <c r="N90" s="327">
        <f t="shared" si="48"/>
        <v>0</v>
      </c>
      <c r="O90" s="493">
        <f t="shared" si="48"/>
        <v>0</v>
      </c>
      <c r="Q90" s="204" t="s">
        <v>360</v>
      </c>
      <c r="R90" s="226" t="s">
        <v>348</v>
      </c>
      <c r="S90" s="97">
        <f t="shared" ref="S90:AD90" si="49">(S89/S87)*100</f>
        <v>21.510793132309665</v>
      </c>
      <c r="T90" s="97">
        <f t="shared" si="49"/>
        <v>20.832349597725084</v>
      </c>
      <c r="U90" s="97">
        <f>(U89/U87)*100</f>
        <v>17.249773433751141</v>
      </c>
      <c r="V90" s="97">
        <f t="shared" si="49"/>
        <v>22.734472009912977</v>
      </c>
      <c r="W90" s="97" t="e">
        <f t="shared" si="49"/>
        <v>#DIV/0!</v>
      </c>
      <c r="X90" s="97" t="e">
        <f t="shared" si="49"/>
        <v>#DIV/0!</v>
      </c>
      <c r="Y90" s="97" t="e">
        <f t="shared" si="49"/>
        <v>#DIV/0!</v>
      </c>
      <c r="Z90" s="97" t="e">
        <f t="shared" si="49"/>
        <v>#DIV/0!</v>
      </c>
      <c r="AA90" s="97" t="e">
        <f t="shared" si="49"/>
        <v>#DIV/0!</v>
      </c>
      <c r="AB90" s="97" t="e">
        <f t="shared" si="49"/>
        <v>#DIV/0!</v>
      </c>
      <c r="AC90" s="97" t="e">
        <f t="shared" si="49"/>
        <v>#DIV/0!</v>
      </c>
      <c r="AD90" s="97" t="e">
        <f t="shared" si="49"/>
        <v>#DIV/0!</v>
      </c>
      <c r="AE90" s="96">
        <f>(AE89/AE87)*100</f>
        <v>20.52214796931764</v>
      </c>
    </row>
    <row r="91" spans="1:32">
      <c r="A91" s="86" t="s">
        <v>361</v>
      </c>
      <c r="B91" s="61">
        <f>A90-B90</f>
        <v>206872.20000000298</v>
      </c>
      <c r="C91" s="61"/>
      <c r="D91" s="328">
        <f>B90-D90</f>
        <v>479301.40000000224</v>
      </c>
      <c r="E91" s="61">
        <f>D90-E90</f>
        <v>34435.739999994636</v>
      </c>
      <c r="F91" s="253">
        <f>E90-F90</f>
        <v>33723.790000002831</v>
      </c>
      <c r="G91" s="61">
        <f>F90-G90</f>
        <v>20190427.109999999</v>
      </c>
      <c r="H91" s="253">
        <f>G90-H90</f>
        <v>0</v>
      </c>
      <c r="J91" s="253">
        <f>H90-J90</f>
        <v>0</v>
      </c>
      <c r="K91" s="61">
        <f>J90-K90</f>
        <v>0</v>
      </c>
      <c r="L91" s="253">
        <f>K90-L90</f>
        <v>0</v>
      </c>
      <c r="M91" s="61">
        <f>L90-M90</f>
        <v>0</v>
      </c>
      <c r="N91" s="253">
        <f>M90-N90</f>
        <v>0</v>
      </c>
      <c r="O91" s="61">
        <f>N90-O90</f>
        <v>0</v>
      </c>
    </row>
    <row r="92" spans="1:32">
      <c r="A92" s="258" t="s">
        <v>362</v>
      </c>
      <c r="B92" s="255">
        <f>B90-20622652.63</f>
        <v>115235.41000000015</v>
      </c>
      <c r="C92" s="235"/>
      <c r="D92" s="255">
        <f>D90-20190158.89</f>
        <v>68427.749999996275</v>
      </c>
      <c r="E92" s="255"/>
      <c r="F92" s="98"/>
      <c r="G92" s="241"/>
      <c r="H92" s="98"/>
      <c r="I92" s="241"/>
      <c r="J92" s="98"/>
      <c r="K92" s="256"/>
      <c r="L92" s="98"/>
      <c r="M92" s="256"/>
      <c r="N92" s="98"/>
      <c r="O92" s="237"/>
    </row>
    <row r="93" spans="1:32">
      <c r="D93" s="60"/>
      <c r="L93" s="119"/>
      <c r="N93" s="119"/>
      <c r="O93" s="119"/>
    </row>
    <row r="94" spans="1:32">
      <c r="R94" s="204" t="s">
        <v>363</v>
      </c>
      <c r="S94" s="95" t="str">
        <f t="shared" ref="S94:AE94" si="50">S43</f>
        <v>Janeiro</v>
      </c>
      <c r="T94" s="95" t="str">
        <f t="shared" si="50"/>
        <v>Fevereiro</v>
      </c>
      <c r="U94" s="95" t="str">
        <f t="shared" si="50"/>
        <v>Março</v>
      </c>
      <c r="V94" s="95" t="str">
        <f t="shared" si="50"/>
        <v>Abril</v>
      </c>
      <c r="W94" s="95" t="str">
        <f t="shared" si="50"/>
        <v>Maio</v>
      </c>
      <c r="X94" s="95" t="str">
        <f t="shared" si="50"/>
        <v>Junho</v>
      </c>
      <c r="Y94" s="95" t="str">
        <f t="shared" si="50"/>
        <v>Julho</v>
      </c>
      <c r="Z94" s="95" t="str">
        <f t="shared" si="50"/>
        <v>Agosto</v>
      </c>
      <c r="AA94" s="95" t="str">
        <f t="shared" si="50"/>
        <v>Setembro</v>
      </c>
      <c r="AB94" s="95" t="str">
        <f t="shared" si="50"/>
        <v>Outubro</v>
      </c>
      <c r="AC94" s="95" t="str">
        <f t="shared" si="50"/>
        <v>Novembro</v>
      </c>
      <c r="AD94" s="95" t="str">
        <f t="shared" si="50"/>
        <v>Dezembro</v>
      </c>
      <c r="AE94" s="95" t="str">
        <f t="shared" si="50"/>
        <v>TOTAL</v>
      </c>
    </row>
    <row r="95" spans="1:32">
      <c r="Q95" s="331"/>
      <c r="R95" s="332" t="s">
        <v>293</v>
      </c>
      <c r="S95" s="213">
        <f>S89/$AE$89</f>
        <v>0.21915602983246937</v>
      </c>
      <c r="T95" s="213">
        <f t="shared" ref="T95:AD95" si="51">T89/$AE$89</f>
        <v>0.25217204126174142</v>
      </c>
      <c r="U95" s="213">
        <f t="shared" si="51"/>
        <v>0.22741966849702552</v>
      </c>
      <c r="V95" s="213">
        <f t="shared" si="51"/>
        <v>0.30125226040876368</v>
      </c>
      <c r="W95" s="213">
        <f t="shared" si="51"/>
        <v>0</v>
      </c>
      <c r="X95" s="213">
        <f t="shared" si="51"/>
        <v>0</v>
      </c>
      <c r="Y95" s="213">
        <f t="shared" si="51"/>
        <v>0</v>
      </c>
      <c r="Z95" s="213">
        <f t="shared" si="51"/>
        <v>0</v>
      </c>
      <c r="AA95" s="213">
        <f t="shared" si="51"/>
        <v>0</v>
      </c>
      <c r="AB95" s="213">
        <f t="shared" si="51"/>
        <v>0</v>
      </c>
      <c r="AC95" s="213">
        <f t="shared" si="51"/>
        <v>0</v>
      </c>
      <c r="AD95" s="213">
        <f t="shared" si="51"/>
        <v>0</v>
      </c>
      <c r="AE95" s="213">
        <f>AE89/$AE$20</f>
        <v>5.46994071449129E-2</v>
      </c>
    </row>
    <row r="98" spans="1:31">
      <c r="S98" s="107" t="s">
        <v>364</v>
      </c>
    </row>
    <row r="99" spans="1:31">
      <c r="C99" s="107" t="s">
        <v>339</v>
      </c>
      <c r="Q99" s="219" t="s">
        <v>294</v>
      </c>
      <c r="R99" s="220"/>
      <c r="S99" s="213" t="s">
        <v>295</v>
      </c>
      <c r="T99" s="221">
        <f>S89+T89</f>
        <v>4645995.6500000004</v>
      </c>
      <c r="U99" s="213" t="s">
        <v>296</v>
      </c>
      <c r="V99" s="222">
        <f>U89+V89</f>
        <v>5211248.0299999993</v>
      </c>
      <c r="W99" s="213" t="s">
        <v>297</v>
      </c>
      <c r="X99" s="222">
        <f>W89+X89</f>
        <v>0</v>
      </c>
      <c r="Y99" s="213" t="s">
        <v>298</v>
      </c>
      <c r="Z99" s="222">
        <f>Y89+Z89</f>
        <v>0</v>
      </c>
      <c r="AA99" s="213" t="s">
        <v>299</v>
      </c>
      <c r="AB99" s="222">
        <f>AA89+AB89</f>
        <v>0</v>
      </c>
      <c r="AC99" s="213" t="s">
        <v>300</v>
      </c>
      <c r="AD99" s="222">
        <f>AC89+AD89</f>
        <v>0</v>
      </c>
      <c r="AE99" s="45">
        <f>SUM(S99:AD99)</f>
        <v>9857243.6799999997</v>
      </c>
    </row>
    <row r="100" spans="1:31">
      <c r="A100" s="122" t="s">
        <v>340</v>
      </c>
      <c r="B100" s="245" t="s">
        <v>341</v>
      </c>
      <c r="C100" s="122" t="s">
        <v>342</v>
      </c>
      <c r="D100" s="122" t="s">
        <v>118</v>
      </c>
      <c r="E100" s="245" t="s">
        <v>119</v>
      </c>
      <c r="F100" s="245" t="s">
        <v>120</v>
      </c>
      <c r="G100" s="358" t="s">
        <v>280</v>
      </c>
      <c r="H100" s="204" t="s">
        <v>281</v>
      </c>
      <c r="I100" s="359"/>
      <c r="J100" s="122" t="s">
        <v>282</v>
      </c>
      <c r="K100" s="204" t="s">
        <v>283</v>
      </c>
      <c r="L100" s="246" t="s">
        <v>284</v>
      </c>
      <c r="M100" s="122" t="s">
        <v>286</v>
      </c>
      <c r="N100" s="204" t="s">
        <v>287</v>
      </c>
      <c r="O100" s="122" t="s">
        <v>288</v>
      </c>
    </row>
    <row r="101" spans="1:31">
      <c r="A101" s="247">
        <v>4383.53</v>
      </c>
      <c r="B101" s="247">
        <v>4383.53</v>
      </c>
      <c r="C101" s="87">
        <v>2004</v>
      </c>
      <c r="D101" s="60">
        <v>4383.53</v>
      </c>
      <c r="E101" s="247">
        <v>4383.53</v>
      </c>
      <c r="F101" s="247">
        <v>4383.53</v>
      </c>
      <c r="G101" s="361">
        <v>4383.53</v>
      </c>
      <c r="H101" s="247">
        <v>4383.53</v>
      </c>
      <c r="I101" s="359"/>
      <c r="J101" s="447">
        <v>4383.53</v>
      </c>
      <c r="K101" s="366">
        <v>57.84</v>
      </c>
      <c r="L101" s="249">
        <v>4383.53</v>
      </c>
      <c r="M101" s="60">
        <v>4383.53</v>
      </c>
      <c r="N101" s="250">
        <v>4383.53</v>
      </c>
      <c r="O101" s="250">
        <v>4383.53</v>
      </c>
      <c r="T101" s="107" t="s">
        <v>365</v>
      </c>
    </row>
    <row r="102" spans="1:31">
      <c r="A102" s="251">
        <v>57.84</v>
      </c>
      <c r="B102" s="251">
        <v>57.84</v>
      </c>
      <c r="C102" s="87">
        <v>2005</v>
      </c>
      <c r="D102" s="59">
        <v>57.84</v>
      </c>
      <c r="E102" s="251">
        <v>57.84</v>
      </c>
      <c r="F102" s="251">
        <v>57.84</v>
      </c>
      <c r="G102" s="251">
        <v>57.84</v>
      </c>
      <c r="H102" s="251">
        <v>57.84</v>
      </c>
      <c r="I102" s="234"/>
      <c r="J102" s="234">
        <v>57.84</v>
      </c>
      <c r="K102" s="366">
        <v>1022.7</v>
      </c>
      <c r="L102" s="253">
        <v>57.84</v>
      </c>
      <c r="M102" s="59">
        <v>57.84</v>
      </c>
      <c r="N102" s="252">
        <v>57.84</v>
      </c>
      <c r="O102" s="252">
        <v>57.84</v>
      </c>
      <c r="R102" s="226" t="s">
        <v>366</v>
      </c>
      <c r="S102" s="45">
        <f t="shared" ref="S102:AE102" si="52">S81-S89</f>
        <v>-250772.72857765225</v>
      </c>
      <c r="T102" s="45">
        <f t="shared" si="52"/>
        <v>-534740.5588339984</v>
      </c>
      <c r="U102" s="45">
        <f t="shared" si="52"/>
        <v>98737.134002143983</v>
      </c>
      <c r="V102" s="45">
        <f t="shared" si="52"/>
        <v>-501140.2181703723</v>
      </c>
      <c r="W102" s="45">
        <f t="shared" si="52"/>
        <v>2486569.3243761626</v>
      </c>
      <c r="X102" s="45">
        <f t="shared" si="52"/>
        <v>2335938.7330235578</v>
      </c>
      <c r="Y102" s="45">
        <f t="shared" si="52"/>
        <v>2696960.9766116212</v>
      </c>
      <c r="Z102" s="45">
        <f t="shared" si="52"/>
        <v>2350870.1504211859</v>
      </c>
      <c r="AA102" s="45">
        <f t="shared" si="52"/>
        <v>2273730.2669738848</v>
      </c>
      <c r="AB102" s="45">
        <f t="shared" si="52"/>
        <v>2496313.1375952503</v>
      </c>
      <c r="AC102" s="45">
        <f t="shared" si="52"/>
        <v>2384678.3171388102</v>
      </c>
      <c r="AD102" s="45">
        <f t="shared" si="52"/>
        <v>3830267.9354394069</v>
      </c>
      <c r="AE102" s="45">
        <f t="shared" si="52"/>
        <v>19667412.470000003</v>
      </c>
    </row>
    <row r="103" spans="1:31">
      <c r="A103" s="247">
        <v>1022.7</v>
      </c>
      <c r="B103" s="247">
        <v>1022.7</v>
      </c>
      <c r="C103" s="87">
        <v>2006</v>
      </c>
      <c r="D103" s="60">
        <v>1022.7</v>
      </c>
      <c r="E103" s="247">
        <v>1022.7</v>
      </c>
      <c r="F103" s="247">
        <v>1022.7</v>
      </c>
      <c r="G103" s="247">
        <v>1022.7</v>
      </c>
      <c r="H103" s="247">
        <v>1022.7</v>
      </c>
      <c r="I103" s="234"/>
      <c r="J103" s="427">
        <v>1022.7</v>
      </c>
      <c r="K103" s="366">
        <v>776.55</v>
      </c>
      <c r="L103" s="253">
        <v>1022.7</v>
      </c>
      <c r="M103" s="60">
        <v>376.17</v>
      </c>
      <c r="N103" s="248">
        <v>376.17</v>
      </c>
      <c r="O103" s="248">
        <v>1022.7</v>
      </c>
    </row>
    <row r="104" spans="1:31">
      <c r="A104" s="247">
        <v>776.55</v>
      </c>
      <c r="B104" s="247">
        <v>776.55</v>
      </c>
      <c r="C104" s="87">
        <v>2007</v>
      </c>
      <c r="D104" s="60">
        <v>776.55</v>
      </c>
      <c r="E104" s="247">
        <v>776.55</v>
      </c>
      <c r="F104" s="247">
        <v>776.55</v>
      </c>
      <c r="G104" s="247">
        <v>776.55</v>
      </c>
      <c r="H104" s="247">
        <v>776.55</v>
      </c>
      <c r="I104" s="234"/>
      <c r="J104" s="427">
        <v>776.55</v>
      </c>
      <c r="K104" s="366">
        <v>2046.08</v>
      </c>
      <c r="L104" s="253">
        <v>776.55</v>
      </c>
      <c r="M104" s="60">
        <v>776.55</v>
      </c>
      <c r="N104" s="248">
        <v>776.55</v>
      </c>
      <c r="O104" s="252">
        <v>776.55</v>
      </c>
    </row>
    <row r="105" spans="1:31">
      <c r="A105" s="247">
        <v>2046.08</v>
      </c>
      <c r="B105" s="247">
        <v>2046.08</v>
      </c>
      <c r="C105" s="87">
        <v>2008</v>
      </c>
      <c r="D105" s="60">
        <v>2046.08</v>
      </c>
      <c r="E105" s="247">
        <v>2046.08</v>
      </c>
      <c r="F105" s="247">
        <v>2046.08</v>
      </c>
      <c r="G105" s="247">
        <v>2046.08</v>
      </c>
      <c r="H105" s="247">
        <v>2046.08</v>
      </c>
      <c r="I105" s="234"/>
      <c r="J105" s="427">
        <v>2046.08</v>
      </c>
      <c r="K105" s="366">
        <v>2230.9</v>
      </c>
      <c r="L105" s="253">
        <v>2046.08</v>
      </c>
      <c r="M105" s="60">
        <v>1737.19</v>
      </c>
      <c r="N105" s="248">
        <v>1737.19</v>
      </c>
      <c r="O105" s="248">
        <v>2046.08</v>
      </c>
    </row>
    <row r="106" spans="1:31">
      <c r="A106" s="247">
        <v>2230.9</v>
      </c>
      <c r="B106" s="247">
        <v>2230.9</v>
      </c>
      <c r="C106" s="87">
        <v>2009</v>
      </c>
      <c r="D106" s="60">
        <v>2230.9</v>
      </c>
      <c r="E106" s="247">
        <v>2230.9</v>
      </c>
      <c r="F106" s="247">
        <v>2230.9</v>
      </c>
      <c r="G106" s="247">
        <v>2230.9</v>
      </c>
      <c r="H106" s="247">
        <v>2230.9</v>
      </c>
      <c r="I106" s="234"/>
      <c r="J106" s="427">
        <v>2230.9</v>
      </c>
      <c r="K106" s="366">
        <v>7980.88</v>
      </c>
      <c r="L106" s="253">
        <v>2230.9</v>
      </c>
      <c r="M106" s="60">
        <v>1779.08</v>
      </c>
      <c r="N106" s="248">
        <v>1779.08</v>
      </c>
      <c r="O106" s="248">
        <v>2230.9</v>
      </c>
      <c r="T106" s="107" t="s">
        <v>367</v>
      </c>
    </row>
    <row r="107" spans="1:31">
      <c r="A107" s="247">
        <v>7980.88</v>
      </c>
      <c r="B107" s="247">
        <v>7980.88</v>
      </c>
      <c r="C107" s="87">
        <v>2010</v>
      </c>
      <c r="D107" s="60">
        <v>7980.88</v>
      </c>
      <c r="E107" s="247">
        <v>7980.88</v>
      </c>
      <c r="F107" s="247">
        <v>7980.88</v>
      </c>
      <c r="G107" s="247">
        <v>7980.88</v>
      </c>
      <c r="H107" s="247">
        <v>7980.88</v>
      </c>
      <c r="I107" s="234"/>
      <c r="J107" s="427">
        <v>7980.88</v>
      </c>
      <c r="K107" s="366">
        <v>172953.87</v>
      </c>
      <c r="L107" s="253">
        <v>7980.88</v>
      </c>
      <c r="M107" s="60">
        <v>6480.66</v>
      </c>
      <c r="N107" s="248">
        <v>6480.66</v>
      </c>
      <c r="O107" s="248">
        <v>7980.88</v>
      </c>
    </row>
    <row r="108" spans="1:31">
      <c r="A108" s="247">
        <v>172953.87</v>
      </c>
      <c r="B108" s="247">
        <v>172953.87</v>
      </c>
      <c r="C108" s="87">
        <v>2011</v>
      </c>
      <c r="D108" s="60">
        <v>172953.87</v>
      </c>
      <c r="E108" s="247">
        <v>172953.87</v>
      </c>
      <c r="F108" s="247">
        <v>172953.87</v>
      </c>
      <c r="G108" s="247">
        <v>172953.87</v>
      </c>
      <c r="H108" s="247">
        <v>172953.87</v>
      </c>
      <c r="I108" s="234"/>
      <c r="J108" s="427">
        <v>172953.87</v>
      </c>
      <c r="K108" s="366">
        <v>1907832.24</v>
      </c>
      <c r="L108" s="253">
        <v>172953.87</v>
      </c>
      <c r="M108" s="60">
        <v>169801.14</v>
      </c>
      <c r="N108" s="248">
        <v>169801.14</v>
      </c>
      <c r="O108" s="248">
        <v>172953.87</v>
      </c>
      <c r="S108" s="107" t="s">
        <v>368</v>
      </c>
    </row>
    <row r="109" spans="1:31">
      <c r="A109" s="247">
        <v>2016261.2</v>
      </c>
      <c r="B109" s="247">
        <v>2002707.58</v>
      </c>
      <c r="C109" s="87">
        <v>2012</v>
      </c>
      <c r="D109" s="60">
        <v>1989153.96</v>
      </c>
      <c r="E109" s="247">
        <v>1975600.34</v>
      </c>
      <c r="F109" s="247">
        <v>1962046.72</v>
      </c>
      <c r="G109" s="247">
        <v>1948493.1</v>
      </c>
      <c r="H109" s="247">
        <v>1934939.48</v>
      </c>
      <c r="I109" s="234"/>
      <c r="J109" s="427">
        <v>1921385.86</v>
      </c>
      <c r="K109" s="366">
        <v>10667.58</v>
      </c>
      <c r="L109" s="253">
        <v>1894278.62</v>
      </c>
      <c r="M109" s="60">
        <v>1866718.6</v>
      </c>
      <c r="N109" s="248">
        <v>1853164.98</v>
      </c>
      <c r="O109" s="248">
        <v>1853617.76</v>
      </c>
      <c r="S109" s="95" t="s">
        <v>369</v>
      </c>
      <c r="T109" s="95" t="s">
        <v>370</v>
      </c>
      <c r="U109" s="95" t="s">
        <v>371</v>
      </c>
      <c r="V109" s="95" t="s">
        <v>372</v>
      </c>
      <c r="W109" s="95" t="s">
        <v>373</v>
      </c>
      <c r="X109" s="95" t="s">
        <v>374</v>
      </c>
      <c r="Y109" s="95" t="s">
        <v>375</v>
      </c>
      <c r="Z109" s="95" t="s">
        <v>376</v>
      </c>
      <c r="AA109" s="95" t="s">
        <v>377</v>
      </c>
      <c r="AB109" s="95" t="s">
        <v>378</v>
      </c>
      <c r="AC109" s="95" t="s">
        <v>379</v>
      </c>
      <c r="AD109" s="95" t="s">
        <v>380</v>
      </c>
      <c r="AE109" s="95" t="s">
        <v>381</v>
      </c>
    </row>
    <row r="110" spans="1:31">
      <c r="A110" s="247">
        <v>10667.58</v>
      </c>
      <c r="B110" s="247">
        <v>10667.58</v>
      </c>
      <c r="C110" s="87">
        <v>2013</v>
      </c>
      <c r="D110" s="60">
        <v>10667.58</v>
      </c>
      <c r="E110" s="247">
        <v>10667.58</v>
      </c>
      <c r="F110" s="247">
        <v>10667.58</v>
      </c>
      <c r="G110" s="247">
        <v>10667.58</v>
      </c>
      <c r="H110" s="247">
        <v>10667.58</v>
      </c>
      <c r="I110" s="234"/>
      <c r="J110" s="427">
        <v>10667.58</v>
      </c>
      <c r="K110" s="366">
        <v>353929.99</v>
      </c>
      <c r="L110" s="253">
        <v>10667.58</v>
      </c>
      <c r="M110" s="60">
        <v>9489.8700000000008</v>
      </c>
      <c r="N110" s="248">
        <v>9489.8700000000008</v>
      </c>
      <c r="O110" s="248">
        <v>10667.58</v>
      </c>
      <c r="Q110" s="204" t="s">
        <v>347</v>
      </c>
      <c r="R110" s="95" t="s">
        <v>277</v>
      </c>
      <c r="S110" s="97">
        <f t="shared" ref="S110:AE110" si="53">S12</f>
        <v>2996712.9070728417</v>
      </c>
      <c r="T110" s="97">
        <f t="shared" si="53"/>
        <v>3061808.8304145397</v>
      </c>
      <c r="U110" s="97">
        <f t="shared" si="53"/>
        <v>3673058.5142495814</v>
      </c>
      <c r="V110" s="97">
        <f t="shared" si="53"/>
        <v>3873794.1585843465</v>
      </c>
      <c r="W110" s="97">
        <f t="shared" si="53"/>
        <v>3902345.0669003087</v>
      </c>
      <c r="X110" s="97">
        <f t="shared" si="53"/>
        <v>3665950.0710613783</v>
      </c>
      <c r="Y110" s="97">
        <f t="shared" si="53"/>
        <v>4232527.2251733448</v>
      </c>
      <c r="Z110" s="97">
        <f t="shared" si="53"/>
        <v>3689382.9761697385</v>
      </c>
      <c r="AA110" s="97">
        <f t="shared" si="53"/>
        <v>3568322.026579136</v>
      </c>
      <c r="AB110" s="97">
        <f t="shared" si="53"/>
        <v>3917636.7062990391</v>
      </c>
      <c r="AC110" s="97">
        <f t="shared" si="53"/>
        <v>3742440.4684013547</v>
      </c>
      <c r="AD110" s="97">
        <f t="shared" si="53"/>
        <v>6011104.1490943953</v>
      </c>
      <c r="AE110" s="97">
        <f t="shared" si="53"/>
        <v>46335083.100000009</v>
      </c>
    </row>
    <row r="111" spans="1:31">
      <c r="A111" s="247">
        <v>536457.43000000005</v>
      </c>
      <c r="B111" s="247">
        <v>513641.5</v>
      </c>
      <c r="C111" s="87">
        <v>2014</v>
      </c>
      <c r="D111" s="60">
        <v>490825.57</v>
      </c>
      <c r="E111" s="247">
        <v>468009.64</v>
      </c>
      <c r="F111" s="247">
        <v>445193.71</v>
      </c>
      <c r="G111" s="247">
        <v>422377.78</v>
      </c>
      <c r="H111" s="247">
        <v>399561.85</v>
      </c>
      <c r="I111" s="234"/>
      <c r="J111" s="427">
        <v>376745.92</v>
      </c>
      <c r="K111" s="366">
        <v>3106976.28</v>
      </c>
      <c r="L111" s="253">
        <v>331114.06</v>
      </c>
      <c r="M111" s="60">
        <v>305978.84999999998</v>
      </c>
      <c r="N111" s="248">
        <v>283162.92</v>
      </c>
      <c r="O111" s="248">
        <v>262666.27</v>
      </c>
      <c r="R111" s="226" t="s">
        <v>348</v>
      </c>
      <c r="S111" s="97">
        <f t="shared" ref="S111:AE111" si="54">(S110/S79)*100</f>
        <v>25.518425474274846</v>
      </c>
      <c r="T111" s="97">
        <f t="shared" si="54"/>
        <v>25.53668771799471</v>
      </c>
      <c r="U111" s="97">
        <f t="shared" si="54"/>
        <v>25.677465644511795</v>
      </c>
      <c r="V111" s="97">
        <f t="shared" si="54"/>
        <v>25.714260866235488</v>
      </c>
      <c r="W111" s="97">
        <f t="shared" si="54"/>
        <v>25.719194810577278</v>
      </c>
      <c r="X111" s="97">
        <f t="shared" si="54"/>
        <v>25.676090823133524</v>
      </c>
      <c r="Y111" s="97">
        <f t="shared" si="54"/>
        <v>25.771534474621827</v>
      </c>
      <c r="Z111" s="97">
        <f t="shared" si="54"/>
        <v>25.680603404942985</v>
      </c>
      <c r="AA111" s="97">
        <f t="shared" si="54"/>
        <v>25.656670416685607</v>
      </c>
      <c r="AB111" s="97">
        <f t="shared" si="54"/>
        <v>25.721808585585539</v>
      </c>
      <c r="AC111" s="97">
        <f t="shared" si="54"/>
        <v>25.690617759489015</v>
      </c>
      <c r="AD111" s="97">
        <f t="shared" si="54"/>
        <v>25.956251105053173</v>
      </c>
      <c r="AE111" s="96">
        <f t="shared" si="54"/>
        <v>25.712071831222836</v>
      </c>
    </row>
    <row r="112" spans="1:31">
      <c r="A112" s="247">
        <v>3209482.31</v>
      </c>
      <c r="B112" s="247">
        <v>3196828.23</v>
      </c>
      <c r="C112" s="87">
        <v>2015</v>
      </c>
      <c r="D112" s="60">
        <v>3184060.76</v>
      </c>
      <c r="E112" s="247">
        <v>3171406.68</v>
      </c>
      <c r="F112" s="247">
        <v>3157592.6</v>
      </c>
      <c r="G112" s="247">
        <v>3144938.52</v>
      </c>
      <c r="H112" s="247">
        <v>3132284.44</v>
      </c>
      <c r="I112" s="234"/>
      <c r="J112" s="427">
        <v>3119630.36</v>
      </c>
      <c r="K112" s="366">
        <v>3147554.02</v>
      </c>
      <c r="L112" s="253">
        <v>3094309.4</v>
      </c>
      <c r="M112" s="60">
        <v>3081655.32</v>
      </c>
      <c r="N112" s="248">
        <v>3013743.68</v>
      </c>
      <c r="O112" s="248">
        <v>2976030.69</v>
      </c>
    </row>
    <row r="113" spans="1:31">
      <c r="A113" s="247">
        <v>3398020.7</v>
      </c>
      <c r="B113" s="247">
        <v>3376054.18</v>
      </c>
      <c r="C113" s="87">
        <v>2016</v>
      </c>
      <c r="D113" s="60">
        <v>3354087.66</v>
      </c>
      <c r="E113" s="247">
        <v>3332121.14</v>
      </c>
      <c r="F113" s="247">
        <v>3255394.06</v>
      </c>
      <c r="G113" s="247">
        <v>3241116.4</v>
      </c>
      <c r="H113" s="247">
        <v>3183940.86</v>
      </c>
      <c r="I113" s="234"/>
      <c r="J113" s="427">
        <v>3161831.68</v>
      </c>
      <c r="K113" s="366">
        <v>2133121.69</v>
      </c>
      <c r="L113" s="253">
        <v>3133276.36</v>
      </c>
      <c r="M113" s="60">
        <v>3117485</v>
      </c>
      <c r="N113" s="248">
        <v>3103207.34</v>
      </c>
      <c r="O113" s="248">
        <v>3090443.38</v>
      </c>
      <c r="T113" s="107" t="s">
        <v>382</v>
      </c>
    </row>
    <row r="114" spans="1:31">
      <c r="A114" s="247">
        <v>2431405.69</v>
      </c>
      <c r="B114" s="247">
        <v>2394120.19</v>
      </c>
      <c r="C114" s="87">
        <v>2017</v>
      </c>
      <c r="D114" s="60">
        <v>2356834.69</v>
      </c>
      <c r="E114" s="247">
        <v>2319549.19</v>
      </c>
      <c r="F114" s="247">
        <v>2282263.69</v>
      </c>
      <c r="G114" s="247">
        <v>2244978.19</v>
      </c>
      <c r="H114" s="247">
        <v>2207692.69</v>
      </c>
      <c r="I114" s="234"/>
      <c r="J114" s="427">
        <v>2170407.19</v>
      </c>
      <c r="K114" s="366">
        <v>1950038.57</v>
      </c>
      <c r="L114" s="253">
        <v>2095836.19</v>
      </c>
      <c r="M114" s="60">
        <v>2058550.69</v>
      </c>
      <c r="N114" s="248">
        <v>2021265.19</v>
      </c>
      <c r="O114" s="248">
        <v>1983979.69</v>
      </c>
      <c r="S114" s="95" t="s">
        <v>369</v>
      </c>
      <c r="T114" s="95" t="s">
        <v>370</v>
      </c>
      <c r="U114" s="95" t="s">
        <v>371</v>
      </c>
      <c r="V114" s="95" t="s">
        <v>372</v>
      </c>
      <c r="W114" s="95" t="s">
        <v>373</v>
      </c>
      <c r="X114" s="95" t="s">
        <v>374</v>
      </c>
      <c r="Y114" s="95" t="s">
        <v>375</v>
      </c>
      <c r="Z114" s="95" t="s">
        <v>376</v>
      </c>
      <c r="AA114" s="95" t="s">
        <v>377</v>
      </c>
      <c r="AB114" s="95" t="s">
        <v>378</v>
      </c>
      <c r="AC114" s="95" t="s">
        <v>379</v>
      </c>
      <c r="AD114" s="95" t="s">
        <v>380</v>
      </c>
      <c r="AE114" s="95" t="s">
        <v>381</v>
      </c>
    </row>
    <row r="115" spans="1:31">
      <c r="A115" s="247">
        <v>1951977.07</v>
      </c>
      <c r="B115" s="247">
        <v>1951977.07</v>
      </c>
      <c r="C115" s="87">
        <v>2018</v>
      </c>
      <c r="D115" s="60">
        <v>1950772.37</v>
      </c>
      <c r="E115" s="247">
        <v>1950772.37</v>
      </c>
      <c r="F115" s="247">
        <v>1950772.37</v>
      </c>
      <c r="G115" s="247">
        <v>1950038.57</v>
      </c>
      <c r="H115" s="247">
        <v>1950038.57</v>
      </c>
      <c r="I115" s="234"/>
      <c r="J115" s="427">
        <v>1950038.57</v>
      </c>
      <c r="K115" s="366">
        <v>1591853.37</v>
      </c>
      <c r="L115" s="253">
        <v>1950038.57</v>
      </c>
      <c r="M115" s="60">
        <v>1948421.86</v>
      </c>
      <c r="N115" s="248">
        <v>1945722.09</v>
      </c>
      <c r="O115" s="248">
        <v>1947123.88</v>
      </c>
      <c r="Q115" s="95" t="s">
        <v>129</v>
      </c>
      <c r="R115" s="95" t="s">
        <v>263</v>
      </c>
      <c r="S115" s="176">
        <f>S12</f>
        <v>2996712.9070728417</v>
      </c>
      <c r="T115" s="176">
        <f t="shared" ref="T115:AD115" si="55">T12</f>
        <v>3061808.8304145397</v>
      </c>
      <c r="U115" s="176">
        <f t="shared" si="55"/>
        <v>3673058.5142495814</v>
      </c>
      <c r="V115" s="176">
        <f t="shared" si="55"/>
        <v>3873794.1585843465</v>
      </c>
      <c r="W115" s="176">
        <f t="shared" si="55"/>
        <v>3902345.0669003087</v>
      </c>
      <c r="X115" s="176">
        <f t="shared" si="55"/>
        <v>3665950.0710613783</v>
      </c>
      <c r="Y115" s="176">
        <f t="shared" si="55"/>
        <v>4232527.2251733448</v>
      </c>
      <c r="Z115" s="176">
        <f t="shared" si="55"/>
        <v>3689382.9761697385</v>
      </c>
      <c r="AA115" s="176">
        <f t="shared" si="55"/>
        <v>3568322.026579136</v>
      </c>
      <c r="AB115" s="176">
        <f t="shared" si="55"/>
        <v>3917636.7062990391</v>
      </c>
      <c r="AC115" s="176">
        <f t="shared" si="55"/>
        <v>3742440.4684013547</v>
      </c>
      <c r="AD115" s="176">
        <f t="shared" si="55"/>
        <v>6011104.1490943953</v>
      </c>
      <c r="AE115" s="176">
        <f>SUM(S115:AD115)</f>
        <v>46335083.100000009</v>
      </c>
    </row>
    <row r="116" spans="1:31">
      <c r="A116" s="247">
        <v>1602004.85</v>
      </c>
      <c r="B116" s="247">
        <v>1602004.85</v>
      </c>
      <c r="C116" s="87">
        <v>2019</v>
      </c>
      <c r="D116" s="60">
        <v>1597163.51</v>
      </c>
      <c r="E116" s="247">
        <v>1595013.1</v>
      </c>
      <c r="F116" s="247">
        <v>1595013.1</v>
      </c>
      <c r="G116" s="247">
        <v>1590916.36</v>
      </c>
      <c r="H116" s="247">
        <v>1590916.36</v>
      </c>
      <c r="I116" s="234"/>
      <c r="J116" s="427">
        <v>1590916.36</v>
      </c>
      <c r="K116" s="366">
        <v>6154226.1600000001</v>
      </c>
      <c r="L116" s="253">
        <v>1589832.36</v>
      </c>
      <c r="M116" s="60">
        <v>1586258.09</v>
      </c>
      <c r="N116" s="248">
        <v>1586258.09</v>
      </c>
      <c r="O116" s="248">
        <v>1589682.36</v>
      </c>
    </row>
    <row r="117" spans="1:31">
      <c r="A117" s="60">
        <v>11681226.07</v>
      </c>
      <c r="B117" s="60">
        <v>8367616.3600000003</v>
      </c>
      <c r="C117" s="87">
        <v>2020</v>
      </c>
      <c r="D117" s="60">
        <v>7165670.71</v>
      </c>
      <c r="E117" s="60">
        <v>7195049.4699999997</v>
      </c>
      <c r="F117" s="247">
        <v>6792191.1500000004</v>
      </c>
      <c r="G117" s="356">
        <v>6524062.2000000002</v>
      </c>
      <c r="H117" s="247">
        <v>6409256.2400000002</v>
      </c>
      <c r="I117" s="357"/>
      <c r="J117" s="448">
        <v>6297433.3700000001</v>
      </c>
      <c r="L117" s="248">
        <v>6043305.2300000004</v>
      </c>
      <c r="M117" s="60">
        <v>5949903.7199999997</v>
      </c>
      <c r="N117" s="248">
        <v>5867876.3899999997</v>
      </c>
      <c r="O117" s="248">
        <v>5680688.5700000003</v>
      </c>
    </row>
    <row r="118" spans="1:31">
      <c r="A118" s="255">
        <f>SUM(A101:A117)</f>
        <v>27028955.25</v>
      </c>
      <c r="B118" s="255">
        <f>SUM(B101:B117)</f>
        <v>23607069.890000001</v>
      </c>
      <c r="C118" s="235">
        <f>23607069.89-B118</f>
        <v>0</v>
      </c>
      <c r="D118" s="256">
        <f>SUM(D101:D117)</f>
        <v>22290689.159999996</v>
      </c>
      <c r="E118" s="256">
        <f>SUM(E101:E117)</f>
        <v>22209641.859999999</v>
      </c>
      <c r="F118" s="255">
        <f>SUM(F101:F117)</f>
        <v>21642587.329999998</v>
      </c>
      <c r="G118" s="360">
        <f>SUM(G101:G117)</f>
        <v>21269041.050000001</v>
      </c>
      <c r="H118" s="98">
        <f>SUM(H101:H117)</f>
        <v>21010750.420000002</v>
      </c>
      <c r="I118" s="357"/>
      <c r="J118" s="256">
        <f t="shared" ref="J118:O118" si="56">SUM(J101:J117)</f>
        <v>20790509.239999998</v>
      </c>
      <c r="K118" s="255">
        <f t="shared" si="56"/>
        <v>20543268.719999999</v>
      </c>
      <c r="L118" s="176">
        <f t="shared" si="56"/>
        <v>20334110.719999999</v>
      </c>
      <c r="M118" s="257">
        <f t="shared" si="56"/>
        <v>20109854.16</v>
      </c>
      <c r="N118" s="176">
        <f t="shared" si="56"/>
        <v>19869282.709999997</v>
      </c>
      <c r="O118" s="176">
        <f t="shared" si="56"/>
        <v>19586352.530000001</v>
      </c>
      <c r="R118" s="204" t="s">
        <v>363</v>
      </c>
      <c r="S118" s="95" t="s">
        <v>369</v>
      </c>
      <c r="T118" s="95" t="s">
        <v>370</v>
      </c>
      <c r="U118" s="95" t="s">
        <v>371</v>
      </c>
      <c r="V118" s="95" t="s">
        <v>372</v>
      </c>
      <c r="W118" s="95" t="s">
        <v>373</v>
      </c>
      <c r="X118" s="95" t="s">
        <v>374</v>
      </c>
      <c r="Y118" s="95" t="s">
        <v>375</v>
      </c>
      <c r="Z118" s="95" t="s">
        <v>376</v>
      </c>
      <c r="AA118" s="95" t="s">
        <v>377</v>
      </c>
      <c r="AB118" s="95" t="s">
        <v>378</v>
      </c>
      <c r="AC118" s="95" t="s">
        <v>379</v>
      </c>
      <c r="AD118" s="95" t="s">
        <v>380</v>
      </c>
      <c r="AE118" s="95" t="s">
        <v>381</v>
      </c>
    </row>
    <row r="119" spans="1:31">
      <c r="A119" s="86" t="s">
        <v>361</v>
      </c>
      <c r="B119" s="61">
        <f>A118-B118</f>
        <v>3421885.3599999994</v>
      </c>
      <c r="C119" s="61"/>
      <c r="D119" s="61">
        <f>B118-D118</f>
        <v>1316380.7300000042</v>
      </c>
      <c r="E119" s="61">
        <f>D118-E118</f>
        <v>81047.29999999702</v>
      </c>
      <c r="F119" s="61">
        <f>E118-F118</f>
        <v>567054.53000000119</v>
      </c>
      <c r="G119" s="61">
        <f>F118-G118</f>
        <v>373546.27999999747</v>
      </c>
      <c r="H119" s="61">
        <f>G118-H118</f>
        <v>258290.62999999896</v>
      </c>
      <c r="J119" s="61">
        <f>H118-J118</f>
        <v>220241.18000000343</v>
      </c>
      <c r="K119" s="61">
        <f>J118-K118</f>
        <v>247240.51999999955</v>
      </c>
      <c r="L119" s="61">
        <f>K118-L118</f>
        <v>209158</v>
      </c>
      <c r="M119" s="61">
        <f>L118-M118</f>
        <v>224256.55999999866</v>
      </c>
      <c r="N119" s="61">
        <f>M118-N118</f>
        <v>240571.45000000298</v>
      </c>
      <c r="O119" s="61">
        <f>N118-O118</f>
        <v>282930.17999999598</v>
      </c>
      <c r="Q119" s="95">
        <v>9</v>
      </c>
      <c r="R119" s="95" t="s">
        <v>141</v>
      </c>
      <c r="S119" s="97">
        <f t="shared" ref="S119:AD119" si="57">S32</f>
        <v>2409037.59</v>
      </c>
      <c r="T119" s="97">
        <f t="shared" si="57"/>
        <v>3390965.27</v>
      </c>
      <c r="U119" s="97">
        <f t="shared" si="57"/>
        <v>4453096.78</v>
      </c>
      <c r="V119" s="97">
        <f t="shared" si="57"/>
        <v>3650943.12</v>
      </c>
      <c r="W119" s="97">
        <f t="shared" si="57"/>
        <v>0</v>
      </c>
      <c r="X119" s="97">
        <f t="shared" si="57"/>
        <v>0</v>
      </c>
      <c r="Y119" s="97">
        <f t="shared" si="57"/>
        <v>0</v>
      </c>
      <c r="Z119" s="97">
        <f t="shared" si="57"/>
        <v>0</v>
      </c>
      <c r="AA119" s="97">
        <f t="shared" si="57"/>
        <v>0</v>
      </c>
      <c r="AB119" s="97">
        <f t="shared" si="57"/>
        <v>0</v>
      </c>
      <c r="AC119" s="97">
        <f t="shared" si="57"/>
        <v>0</v>
      </c>
      <c r="AD119" s="97">
        <f t="shared" si="57"/>
        <v>0</v>
      </c>
      <c r="AE119" s="176">
        <f>SUM(S119:AD119)</f>
        <v>13904042.760000002</v>
      </c>
    </row>
    <row r="120" spans="1:31">
      <c r="A120" s="258" t="s">
        <v>362</v>
      </c>
      <c r="B120" s="255">
        <f>22290689.16-B118</f>
        <v>-1316380.7300000004</v>
      </c>
      <c r="C120" s="235"/>
      <c r="D120" s="255"/>
      <c r="E120" s="255"/>
      <c r="F120" s="255"/>
      <c r="G120" s="237"/>
      <c r="H120" s="255"/>
      <c r="I120" s="237"/>
      <c r="J120" s="98"/>
      <c r="K120" s="98"/>
      <c r="L120" s="98"/>
      <c r="M120" s="98"/>
      <c r="N120" s="98"/>
      <c r="O120" s="226"/>
      <c r="Q120" s="204" t="s">
        <v>360</v>
      </c>
      <c r="R120" s="226" t="s">
        <v>348</v>
      </c>
      <c r="S120" s="97">
        <f t="shared" ref="S120:AE120" si="58">(S119/S87)*100</f>
        <v>23.987836677750838</v>
      </c>
      <c r="T120" s="97">
        <f t="shared" si="58"/>
        <v>28.41902473746563</v>
      </c>
      <c r="U120" s="97">
        <f t="shared" si="58"/>
        <v>34.265889818910772</v>
      </c>
      <c r="V120" s="97">
        <f t="shared" si="58"/>
        <v>27.951436495736697</v>
      </c>
      <c r="W120" s="97" t="e">
        <f t="shared" si="58"/>
        <v>#DIV/0!</v>
      </c>
      <c r="X120" s="97" t="e">
        <f t="shared" si="58"/>
        <v>#DIV/0!</v>
      </c>
      <c r="Y120" s="97" t="e">
        <f t="shared" si="58"/>
        <v>#DIV/0!</v>
      </c>
      <c r="Z120" s="97" t="e">
        <f t="shared" si="58"/>
        <v>#DIV/0!</v>
      </c>
      <c r="AA120" s="97" t="e">
        <f t="shared" si="58"/>
        <v>#DIV/0!</v>
      </c>
      <c r="AB120" s="97" t="e">
        <f t="shared" si="58"/>
        <v>#DIV/0!</v>
      </c>
      <c r="AC120" s="97" t="e">
        <f t="shared" si="58"/>
        <v>#DIV/0!</v>
      </c>
      <c r="AD120" s="97" t="e">
        <f t="shared" si="58"/>
        <v>#DIV/0!</v>
      </c>
      <c r="AE120" s="96">
        <f t="shared" si="58"/>
        <v>28.947323628752947</v>
      </c>
    </row>
    <row r="121" spans="1:31">
      <c r="D121" s="60"/>
      <c r="L121" s="119">
        <f>20334110.72-L118</f>
        <v>0</v>
      </c>
      <c r="N121" s="119">
        <f>19869282.71-N118</f>
        <v>0</v>
      </c>
      <c r="O121" s="119">
        <f>19586352.53-O118</f>
        <v>0</v>
      </c>
      <c r="R121" s="246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</row>
    <row r="122" spans="1:31" ht="12.75" customHeight="1">
      <c r="Q122" s="680" t="s">
        <v>383</v>
      </c>
      <c r="R122" s="681"/>
      <c r="S122" s="213">
        <f t="shared" ref="S122:AE122" si="59">S119/$AE$119</f>
        <v>0.17326166436501952</v>
      </c>
      <c r="T122" s="213">
        <f t="shared" si="59"/>
        <v>0.24388340344833631</v>
      </c>
      <c r="U122" s="213">
        <f t="shared" si="59"/>
        <v>0.32027352453280283</v>
      </c>
      <c r="V122" s="213">
        <f t="shared" si="59"/>
        <v>0.26258140765384125</v>
      </c>
      <c r="W122" s="213">
        <f t="shared" si="59"/>
        <v>0</v>
      </c>
      <c r="X122" s="213">
        <f t="shared" si="59"/>
        <v>0</v>
      </c>
      <c r="Y122" s="213">
        <f t="shared" si="59"/>
        <v>0</v>
      </c>
      <c r="Z122" s="213">
        <f t="shared" si="59"/>
        <v>0</v>
      </c>
      <c r="AA122" s="213">
        <f t="shared" si="59"/>
        <v>0</v>
      </c>
      <c r="AB122" s="213">
        <f t="shared" si="59"/>
        <v>0</v>
      </c>
      <c r="AC122" s="213">
        <f t="shared" si="59"/>
        <v>0</v>
      </c>
      <c r="AD122" s="213">
        <f t="shared" si="59"/>
        <v>0</v>
      </c>
      <c r="AE122" s="213">
        <f t="shared" si="59"/>
        <v>1</v>
      </c>
    </row>
    <row r="125" spans="1:31">
      <c r="S125" s="107" t="s">
        <v>384</v>
      </c>
      <c r="AE125" s="87" t="s">
        <v>385</v>
      </c>
    </row>
    <row r="126" spans="1:31">
      <c r="Q126" s="219" t="s">
        <v>294</v>
      </c>
      <c r="R126" s="220"/>
      <c r="S126" s="213" t="s">
        <v>295</v>
      </c>
      <c r="T126" s="221">
        <f>S119+T119</f>
        <v>5800002.8599999994</v>
      </c>
      <c r="U126" s="213" t="s">
        <v>296</v>
      </c>
      <c r="V126" s="222">
        <f>U119+V119</f>
        <v>8104039.9000000004</v>
      </c>
      <c r="W126" s="213" t="s">
        <v>297</v>
      </c>
      <c r="X126" s="222">
        <f>W119+X119</f>
        <v>0</v>
      </c>
      <c r="Y126" s="213" t="s">
        <v>298</v>
      </c>
      <c r="Z126" s="222">
        <f>Y119+Z119</f>
        <v>0</v>
      </c>
      <c r="AA126" s="213" t="s">
        <v>299</v>
      </c>
      <c r="AB126" s="222">
        <f>AA119+AB119</f>
        <v>0</v>
      </c>
      <c r="AC126" s="213" t="s">
        <v>300</v>
      </c>
      <c r="AD126" s="222">
        <f>AC119+AD119</f>
        <v>0</v>
      </c>
      <c r="AE126" s="45">
        <f>SUM(S126:AD126)</f>
        <v>13904042.76</v>
      </c>
    </row>
    <row r="128" spans="1:31">
      <c r="B128" s="344" t="s">
        <v>99</v>
      </c>
      <c r="E128" s="346" t="s">
        <v>100</v>
      </c>
      <c r="F128" s="346"/>
      <c r="H128" s="344"/>
      <c r="I128" s="347" t="s">
        <v>101</v>
      </c>
    </row>
    <row r="129" spans="2:28">
      <c r="B129" s="344" t="s">
        <v>102</v>
      </c>
      <c r="E129" s="346" t="s">
        <v>103</v>
      </c>
      <c r="F129" s="346"/>
      <c r="H129" s="344"/>
      <c r="I129" s="347" t="s">
        <v>104</v>
      </c>
    </row>
    <row r="130" spans="2:28">
      <c r="S130" s="344" t="s">
        <v>99</v>
      </c>
      <c r="T130" s="345"/>
      <c r="U130" s="345"/>
      <c r="V130" s="346" t="s">
        <v>100</v>
      </c>
      <c r="W130" s="346"/>
      <c r="Y130" s="344"/>
      <c r="Z130" s="347" t="s">
        <v>101</v>
      </c>
      <c r="AA130" s="350"/>
    </row>
    <row r="131" spans="2:28">
      <c r="R131" s="348"/>
      <c r="S131" s="344" t="s">
        <v>102</v>
      </c>
      <c r="T131" s="345"/>
      <c r="U131" s="345"/>
      <c r="V131" s="346" t="s">
        <v>103</v>
      </c>
      <c r="W131" s="346"/>
      <c r="Y131" s="344"/>
      <c r="Z131" s="347" t="s">
        <v>104</v>
      </c>
      <c r="AA131" s="350"/>
      <c r="AB131" s="348"/>
    </row>
    <row r="132" spans="2:28">
      <c r="R132" s="350"/>
      <c r="S132" s="350"/>
      <c r="T132" s="350"/>
      <c r="U132" s="350"/>
      <c r="V132" s="350"/>
      <c r="W132" s="350"/>
      <c r="X132" s="350"/>
      <c r="Y132" s="350"/>
      <c r="Z132" s="350"/>
      <c r="AA132" s="350"/>
      <c r="AB132" s="350"/>
    </row>
    <row r="133" spans="2:28">
      <c r="R133" s="350"/>
      <c r="AB133" s="350"/>
    </row>
    <row r="134" spans="2:28">
      <c r="J134" s="348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U84"/>
  <sheetViews>
    <sheetView workbookViewId="0">
      <selection activeCell="J37" sqref="J37"/>
    </sheetView>
  </sheetViews>
  <sheetFormatPr defaultRowHeight="12.75"/>
  <cols>
    <col min="1" max="1" width="2.7109375" style="64" bestFit="1" customWidth="1"/>
    <col min="2" max="3" width="9.140625" style="64"/>
    <col min="4" max="4" width="10" style="64" customWidth="1"/>
    <col min="5" max="5" width="13" style="64" customWidth="1"/>
    <col min="6" max="6" width="13.85546875" style="64" customWidth="1"/>
    <col min="7" max="7" width="13.28515625" style="64" bestFit="1" customWidth="1"/>
    <col min="8" max="8" width="14.28515625" style="64" customWidth="1"/>
    <col min="9" max="9" width="14.7109375" style="64" customWidth="1"/>
    <col min="10" max="10" width="13.42578125" style="64" customWidth="1"/>
    <col min="11" max="11" width="12.85546875" style="64" bestFit="1" customWidth="1"/>
    <col min="12" max="12" width="9.28515625" style="64" bestFit="1" customWidth="1"/>
    <col min="13" max="13" width="11.85546875" style="64" bestFit="1" customWidth="1"/>
    <col min="14" max="14" width="2.7109375" style="64" bestFit="1" customWidth="1"/>
    <col min="15" max="15" width="40.7109375" style="64" bestFit="1" customWidth="1"/>
    <col min="16" max="16" width="12.5703125" style="64" customWidth="1"/>
    <col min="17" max="17" width="7" style="64" bestFit="1" customWidth="1"/>
    <col min="18" max="18" width="11.7109375" style="64" bestFit="1" customWidth="1"/>
    <col min="19" max="19" width="12.85546875" style="64" bestFit="1" customWidth="1"/>
    <col min="20" max="20" width="11.5703125" style="64" bestFit="1" customWidth="1"/>
    <col min="21" max="21" width="12.5703125" style="64" bestFit="1" customWidth="1"/>
    <col min="22" max="256" width="9.140625" style="64"/>
    <col min="257" max="257" width="2.7109375" style="64" bestFit="1" customWidth="1"/>
    <col min="258" max="259" width="9.140625" style="64"/>
    <col min="260" max="260" width="10" style="64" customWidth="1"/>
    <col min="261" max="261" width="13" style="64" customWidth="1"/>
    <col min="262" max="262" width="13.85546875" style="64" customWidth="1"/>
    <col min="263" max="263" width="13.28515625" style="64" bestFit="1" customWidth="1"/>
    <col min="264" max="264" width="15.140625" style="64" customWidth="1"/>
    <col min="265" max="265" width="14.7109375" style="64" customWidth="1"/>
    <col min="266" max="266" width="13.42578125" style="64" customWidth="1"/>
    <col min="267" max="267" width="12.85546875" style="64" bestFit="1" customWidth="1"/>
    <col min="268" max="268" width="9.28515625" style="64" bestFit="1" customWidth="1"/>
    <col min="269" max="269" width="11.85546875" style="64" bestFit="1" customWidth="1"/>
    <col min="270" max="270" width="2.7109375" style="64" bestFit="1" customWidth="1"/>
    <col min="271" max="271" width="40.7109375" style="64" bestFit="1" customWidth="1"/>
    <col min="272" max="272" width="12.5703125" style="64" customWidth="1"/>
    <col min="273" max="273" width="7" style="64" bestFit="1" customWidth="1"/>
    <col min="274" max="274" width="11.7109375" style="64" bestFit="1" customWidth="1"/>
    <col min="275" max="275" width="12.85546875" style="64" bestFit="1" customWidth="1"/>
    <col min="276" max="276" width="11.5703125" style="64" bestFit="1" customWidth="1"/>
    <col min="277" max="277" width="12.5703125" style="64" bestFit="1" customWidth="1"/>
    <col min="278" max="512" width="9.140625" style="64"/>
    <col min="513" max="513" width="2.7109375" style="64" bestFit="1" customWidth="1"/>
    <col min="514" max="515" width="9.140625" style="64"/>
    <col min="516" max="516" width="10" style="64" customWidth="1"/>
    <col min="517" max="517" width="13" style="64" customWidth="1"/>
    <col min="518" max="518" width="13.85546875" style="64" customWidth="1"/>
    <col min="519" max="519" width="13.28515625" style="64" bestFit="1" customWidth="1"/>
    <col min="520" max="520" width="15.140625" style="64" customWidth="1"/>
    <col min="521" max="521" width="14.7109375" style="64" customWidth="1"/>
    <col min="522" max="522" width="13.42578125" style="64" customWidth="1"/>
    <col min="523" max="523" width="12.85546875" style="64" bestFit="1" customWidth="1"/>
    <col min="524" max="524" width="9.28515625" style="64" bestFit="1" customWidth="1"/>
    <col min="525" max="525" width="11.85546875" style="64" bestFit="1" customWidth="1"/>
    <col min="526" max="526" width="2.7109375" style="64" bestFit="1" customWidth="1"/>
    <col min="527" max="527" width="40.7109375" style="64" bestFit="1" customWidth="1"/>
    <col min="528" max="528" width="12.5703125" style="64" customWidth="1"/>
    <col min="529" max="529" width="7" style="64" bestFit="1" customWidth="1"/>
    <col min="530" max="530" width="11.7109375" style="64" bestFit="1" customWidth="1"/>
    <col min="531" max="531" width="12.85546875" style="64" bestFit="1" customWidth="1"/>
    <col min="532" max="532" width="11.5703125" style="64" bestFit="1" customWidth="1"/>
    <col min="533" max="533" width="12.5703125" style="64" bestFit="1" customWidth="1"/>
    <col min="534" max="768" width="9.140625" style="64"/>
    <col min="769" max="769" width="2.7109375" style="64" bestFit="1" customWidth="1"/>
    <col min="770" max="771" width="9.140625" style="64"/>
    <col min="772" max="772" width="10" style="64" customWidth="1"/>
    <col min="773" max="773" width="13" style="64" customWidth="1"/>
    <col min="774" max="774" width="13.85546875" style="64" customWidth="1"/>
    <col min="775" max="775" width="13.28515625" style="64" bestFit="1" customWidth="1"/>
    <col min="776" max="776" width="15.140625" style="64" customWidth="1"/>
    <col min="777" max="777" width="14.7109375" style="64" customWidth="1"/>
    <col min="778" max="778" width="13.42578125" style="64" customWidth="1"/>
    <col min="779" max="779" width="12.85546875" style="64" bestFit="1" customWidth="1"/>
    <col min="780" max="780" width="9.28515625" style="64" bestFit="1" customWidth="1"/>
    <col min="781" max="781" width="11.85546875" style="64" bestFit="1" customWidth="1"/>
    <col min="782" max="782" width="2.7109375" style="64" bestFit="1" customWidth="1"/>
    <col min="783" max="783" width="40.7109375" style="64" bestFit="1" customWidth="1"/>
    <col min="784" max="784" width="12.5703125" style="64" customWidth="1"/>
    <col min="785" max="785" width="7" style="64" bestFit="1" customWidth="1"/>
    <col min="786" max="786" width="11.7109375" style="64" bestFit="1" customWidth="1"/>
    <col min="787" max="787" width="12.85546875" style="64" bestFit="1" customWidth="1"/>
    <col min="788" max="788" width="11.5703125" style="64" bestFit="1" customWidth="1"/>
    <col min="789" max="789" width="12.5703125" style="64" bestFit="1" customWidth="1"/>
    <col min="790" max="1024" width="9.140625" style="64"/>
    <col min="1025" max="1025" width="2.7109375" style="64" bestFit="1" customWidth="1"/>
    <col min="1026" max="1027" width="9.140625" style="64"/>
    <col min="1028" max="1028" width="10" style="64" customWidth="1"/>
    <col min="1029" max="1029" width="13" style="64" customWidth="1"/>
    <col min="1030" max="1030" width="13.85546875" style="64" customWidth="1"/>
    <col min="1031" max="1031" width="13.28515625" style="64" bestFit="1" customWidth="1"/>
    <col min="1032" max="1032" width="15.140625" style="64" customWidth="1"/>
    <col min="1033" max="1033" width="14.7109375" style="64" customWidth="1"/>
    <col min="1034" max="1034" width="13.42578125" style="64" customWidth="1"/>
    <col min="1035" max="1035" width="12.85546875" style="64" bestFit="1" customWidth="1"/>
    <col min="1036" max="1036" width="9.28515625" style="64" bestFit="1" customWidth="1"/>
    <col min="1037" max="1037" width="11.85546875" style="64" bestFit="1" customWidth="1"/>
    <col min="1038" max="1038" width="2.7109375" style="64" bestFit="1" customWidth="1"/>
    <col min="1039" max="1039" width="40.7109375" style="64" bestFit="1" customWidth="1"/>
    <col min="1040" max="1040" width="12.5703125" style="64" customWidth="1"/>
    <col min="1041" max="1041" width="7" style="64" bestFit="1" customWidth="1"/>
    <col min="1042" max="1042" width="11.7109375" style="64" bestFit="1" customWidth="1"/>
    <col min="1043" max="1043" width="12.85546875" style="64" bestFit="1" customWidth="1"/>
    <col min="1044" max="1044" width="11.5703125" style="64" bestFit="1" customWidth="1"/>
    <col min="1045" max="1045" width="12.5703125" style="64" bestFit="1" customWidth="1"/>
    <col min="1046" max="1280" width="9.140625" style="64"/>
    <col min="1281" max="1281" width="2.7109375" style="64" bestFit="1" customWidth="1"/>
    <col min="1282" max="1283" width="9.140625" style="64"/>
    <col min="1284" max="1284" width="10" style="64" customWidth="1"/>
    <col min="1285" max="1285" width="13" style="64" customWidth="1"/>
    <col min="1286" max="1286" width="13.85546875" style="64" customWidth="1"/>
    <col min="1287" max="1287" width="13.28515625" style="64" bestFit="1" customWidth="1"/>
    <col min="1288" max="1288" width="15.140625" style="64" customWidth="1"/>
    <col min="1289" max="1289" width="14.7109375" style="64" customWidth="1"/>
    <col min="1290" max="1290" width="13.42578125" style="64" customWidth="1"/>
    <col min="1291" max="1291" width="12.85546875" style="64" bestFit="1" customWidth="1"/>
    <col min="1292" max="1292" width="9.28515625" style="64" bestFit="1" customWidth="1"/>
    <col min="1293" max="1293" width="11.85546875" style="64" bestFit="1" customWidth="1"/>
    <col min="1294" max="1294" width="2.7109375" style="64" bestFit="1" customWidth="1"/>
    <col min="1295" max="1295" width="40.7109375" style="64" bestFit="1" customWidth="1"/>
    <col min="1296" max="1296" width="12.5703125" style="64" customWidth="1"/>
    <col min="1297" max="1297" width="7" style="64" bestFit="1" customWidth="1"/>
    <col min="1298" max="1298" width="11.7109375" style="64" bestFit="1" customWidth="1"/>
    <col min="1299" max="1299" width="12.85546875" style="64" bestFit="1" customWidth="1"/>
    <col min="1300" max="1300" width="11.5703125" style="64" bestFit="1" customWidth="1"/>
    <col min="1301" max="1301" width="12.5703125" style="64" bestFit="1" customWidth="1"/>
    <col min="1302" max="1536" width="9.140625" style="64"/>
    <col min="1537" max="1537" width="2.7109375" style="64" bestFit="1" customWidth="1"/>
    <col min="1538" max="1539" width="9.140625" style="64"/>
    <col min="1540" max="1540" width="10" style="64" customWidth="1"/>
    <col min="1541" max="1541" width="13" style="64" customWidth="1"/>
    <col min="1542" max="1542" width="13.85546875" style="64" customWidth="1"/>
    <col min="1543" max="1543" width="13.28515625" style="64" bestFit="1" customWidth="1"/>
    <col min="1544" max="1544" width="15.140625" style="64" customWidth="1"/>
    <col min="1545" max="1545" width="14.7109375" style="64" customWidth="1"/>
    <col min="1546" max="1546" width="13.42578125" style="64" customWidth="1"/>
    <col min="1547" max="1547" width="12.85546875" style="64" bestFit="1" customWidth="1"/>
    <col min="1548" max="1548" width="9.28515625" style="64" bestFit="1" customWidth="1"/>
    <col min="1549" max="1549" width="11.85546875" style="64" bestFit="1" customWidth="1"/>
    <col min="1550" max="1550" width="2.7109375" style="64" bestFit="1" customWidth="1"/>
    <col min="1551" max="1551" width="40.7109375" style="64" bestFit="1" customWidth="1"/>
    <col min="1552" max="1552" width="12.5703125" style="64" customWidth="1"/>
    <col min="1553" max="1553" width="7" style="64" bestFit="1" customWidth="1"/>
    <col min="1554" max="1554" width="11.7109375" style="64" bestFit="1" customWidth="1"/>
    <col min="1555" max="1555" width="12.85546875" style="64" bestFit="1" customWidth="1"/>
    <col min="1556" max="1556" width="11.5703125" style="64" bestFit="1" customWidth="1"/>
    <col min="1557" max="1557" width="12.5703125" style="64" bestFit="1" customWidth="1"/>
    <col min="1558" max="1792" width="9.140625" style="64"/>
    <col min="1793" max="1793" width="2.7109375" style="64" bestFit="1" customWidth="1"/>
    <col min="1794" max="1795" width="9.140625" style="64"/>
    <col min="1796" max="1796" width="10" style="64" customWidth="1"/>
    <col min="1797" max="1797" width="13" style="64" customWidth="1"/>
    <col min="1798" max="1798" width="13.85546875" style="64" customWidth="1"/>
    <col min="1799" max="1799" width="13.28515625" style="64" bestFit="1" customWidth="1"/>
    <col min="1800" max="1800" width="15.140625" style="64" customWidth="1"/>
    <col min="1801" max="1801" width="14.7109375" style="64" customWidth="1"/>
    <col min="1802" max="1802" width="13.42578125" style="64" customWidth="1"/>
    <col min="1803" max="1803" width="12.85546875" style="64" bestFit="1" customWidth="1"/>
    <col min="1804" max="1804" width="9.28515625" style="64" bestFit="1" customWidth="1"/>
    <col min="1805" max="1805" width="11.85546875" style="64" bestFit="1" customWidth="1"/>
    <col min="1806" max="1806" width="2.7109375" style="64" bestFit="1" customWidth="1"/>
    <col min="1807" max="1807" width="40.7109375" style="64" bestFit="1" customWidth="1"/>
    <col min="1808" max="1808" width="12.5703125" style="64" customWidth="1"/>
    <col min="1809" max="1809" width="7" style="64" bestFit="1" customWidth="1"/>
    <col min="1810" max="1810" width="11.7109375" style="64" bestFit="1" customWidth="1"/>
    <col min="1811" max="1811" width="12.85546875" style="64" bestFit="1" customWidth="1"/>
    <col min="1812" max="1812" width="11.5703125" style="64" bestFit="1" customWidth="1"/>
    <col min="1813" max="1813" width="12.5703125" style="64" bestFit="1" customWidth="1"/>
    <col min="1814" max="2048" width="9.140625" style="64"/>
    <col min="2049" max="2049" width="2.7109375" style="64" bestFit="1" customWidth="1"/>
    <col min="2050" max="2051" width="9.140625" style="64"/>
    <col min="2052" max="2052" width="10" style="64" customWidth="1"/>
    <col min="2053" max="2053" width="13" style="64" customWidth="1"/>
    <col min="2054" max="2054" width="13.85546875" style="64" customWidth="1"/>
    <col min="2055" max="2055" width="13.28515625" style="64" bestFit="1" customWidth="1"/>
    <col min="2056" max="2056" width="15.140625" style="64" customWidth="1"/>
    <col min="2057" max="2057" width="14.7109375" style="64" customWidth="1"/>
    <col min="2058" max="2058" width="13.42578125" style="64" customWidth="1"/>
    <col min="2059" max="2059" width="12.85546875" style="64" bestFit="1" customWidth="1"/>
    <col min="2060" max="2060" width="9.28515625" style="64" bestFit="1" customWidth="1"/>
    <col min="2061" max="2061" width="11.85546875" style="64" bestFit="1" customWidth="1"/>
    <col min="2062" max="2062" width="2.7109375" style="64" bestFit="1" customWidth="1"/>
    <col min="2063" max="2063" width="40.7109375" style="64" bestFit="1" customWidth="1"/>
    <col min="2064" max="2064" width="12.5703125" style="64" customWidth="1"/>
    <col min="2065" max="2065" width="7" style="64" bestFit="1" customWidth="1"/>
    <col min="2066" max="2066" width="11.7109375" style="64" bestFit="1" customWidth="1"/>
    <col min="2067" max="2067" width="12.85546875" style="64" bestFit="1" customWidth="1"/>
    <col min="2068" max="2068" width="11.5703125" style="64" bestFit="1" customWidth="1"/>
    <col min="2069" max="2069" width="12.5703125" style="64" bestFit="1" customWidth="1"/>
    <col min="2070" max="2304" width="9.140625" style="64"/>
    <col min="2305" max="2305" width="2.7109375" style="64" bestFit="1" customWidth="1"/>
    <col min="2306" max="2307" width="9.140625" style="64"/>
    <col min="2308" max="2308" width="10" style="64" customWidth="1"/>
    <col min="2309" max="2309" width="13" style="64" customWidth="1"/>
    <col min="2310" max="2310" width="13.85546875" style="64" customWidth="1"/>
    <col min="2311" max="2311" width="13.28515625" style="64" bestFit="1" customWidth="1"/>
    <col min="2312" max="2312" width="15.140625" style="64" customWidth="1"/>
    <col min="2313" max="2313" width="14.7109375" style="64" customWidth="1"/>
    <col min="2314" max="2314" width="13.42578125" style="64" customWidth="1"/>
    <col min="2315" max="2315" width="12.85546875" style="64" bestFit="1" customWidth="1"/>
    <col min="2316" max="2316" width="9.28515625" style="64" bestFit="1" customWidth="1"/>
    <col min="2317" max="2317" width="11.85546875" style="64" bestFit="1" customWidth="1"/>
    <col min="2318" max="2318" width="2.7109375" style="64" bestFit="1" customWidth="1"/>
    <col min="2319" max="2319" width="40.7109375" style="64" bestFit="1" customWidth="1"/>
    <col min="2320" max="2320" width="12.5703125" style="64" customWidth="1"/>
    <col min="2321" max="2321" width="7" style="64" bestFit="1" customWidth="1"/>
    <col min="2322" max="2322" width="11.7109375" style="64" bestFit="1" customWidth="1"/>
    <col min="2323" max="2323" width="12.85546875" style="64" bestFit="1" customWidth="1"/>
    <col min="2324" max="2324" width="11.5703125" style="64" bestFit="1" customWidth="1"/>
    <col min="2325" max="2325" width="12.5703125" style="64" bestFit="1" customWidth="1"/>
    <col min="2326" max="2560" width="9.140625" style="64"/>
    <col min="2561" max="2561" width="2.7109375" style="64" bestFit="1" customWidth="1"/>
    <col min="2562" max="2563" width="9.140625" style="64"/>
    <col min="2564" max="2564" width="10" style="64" customWidth="1"/>
    <col min="2565" max="2565" width="13" style="64" customWidth="1"/>
    <col min="2566" max="2566" width="13.85546875" style="64" customWidth="1"/>
    <col min="2567" max="2567" width="13.28515625" style="64" bestFit="1" customWidth="1"/>
    <col min="2568" max="2568" width="15.140625" style="64" customWidth="1"/>
    <col min="2569" max="2569" width="14.7109375" style="64" customWidth="1"/>
    <col min="2570" max="2570" width="13.42578125" style="64" customWidth="1"/>
    <col min="2571" max="2571" width="12.85546875" style="64" bestFit="1" customWidth="1"/>
    <col min="2572" max="2572" width="9.28515625" style="64" bestFit="1" customWidth="1"/>
    <col min="2573" max="2573" width="11.85546875" style="64" bestFit="1" customWidth="1"/>
    <col min="2574" max="2574" width="2.7109375" style="64" bestFit="1" customWidth="1"/>
    <col min="2575" max="2575" width="40.7109375" style="64" bestFit="1" customWidth="1"/>
    <col min="2576" max="2576" width="12.5703125" style="64" customWidth="1"/>
    <col min="2577" max="2577" width="7" style="64" bestFit="1" customWidth="1"/>
    <col min="2578" max="2578" width="11.7109375" style="64" bestFit="1" customWidth="1"/>
    <col min="2579" max="2579" width="12.85546875" style="64" bestFit="1" customWidth="1"/>
    <col min="2580" max="2580" width="11.5703125" style="64" bestFit="1" customWidth="1"/>
    <col min="2581" max="2581" width="12.5703125" style="64" bestFit="1" customWidth="1"/>
    <col min="2582" max="2816" width="9.140625" style="64"/>
    <col min="2817" max="2817" width="2.7109375" style="64" bestFit="1" customWidth="1"/>
    <col min="2818" max="2819" width="9.140625" style="64"/>
    <col min="2820" max="2820" width="10" style="64" customWidth="1"/>
    <col min="2821" max="2821" width="13" style="64" customWidth="1"/>
    <col min="2822" max="2822" width="13.85546875" style="64" customWidth="1"/>
    <col min="2823" max="2823" width="13.28515625" style="64" bestFit="1" customWidth="1"/>
    <col min="2824" max="2824" width="15.140625" style="64" customWidth="1"/>
    <col min="2825" max="2825" width="14.7109375" style="64" customWidth="1"/>
    <col min="2826" max="2826" width="13.42578125" style="64" customWidth="1"/>
    <col min="2827" max="2827" width="12.85546875" style="64" bestFit="1" customWidth="1"/>
    <col min="2828" max="2828" width="9.28515625" style="64" bestFit="1" customWidth="1"/>
    <col min="2829" max="2829" width="11.85546875" style="64" bestFit="1" customWidth="1"/>
    <col min="2830" max="2830" width="2.7109375" style="64" bestFit="1" customWidth="1"/>
    <col min="2831" max="2831" width="40.7109375" style="64" bestFit="1" customWidth="1"/>
    <col min="2832" max="2832" width="12.5703125" style="64" customWidth="1"/>
    <col min="2833" max="2833" width="7" style="64" bestFit="1" customWidth="1"/>
    <col min="2834" max="2834" width="11.7109375" style="64" bestFit="1" customWidth="1"/>
    <col min="2835" max="2835" width="12.85546875" style="64" bestFit="1" customWidth="1"/>
    <col min="2836" max="2836" width="11.5703125" style="64" bestFit="1" customWidth="1"/>
    <col min="2837" max="2837" width="12.5703125" style="64" bestFit="1" customWidth="1"/>
    <col min="2838" max="3072" width="9.140625" style="64"/>
    <col min="3073" max="3073" width="2.7109375" style="64" bestFit="1" customWidth="1"/>
    <col min="3074" max="3075" width="9.140625" style="64"/>
    <col min="3076" max="3076" width="10" style="64" customWidth="1"/>
    <col min="3077" max="3077" width="13" style="64" customWidth="1"/>
    <col min="3078" max="3078" width="13.85546875" style="64" customWidth="1"/>
    <col min="3079" max="3079" width="13.28515625" style="64" bestFit="1" customWidth="1"/>
    <col min="3080" max="3080" width="15.140625" style="64" customWidth="1"/>
    <col min="3081" max="3081" width="14.7109375" style="64" customWidth="1"/>
    <col min="3082" max="3082" width="13.42578125" style="64" customWidth="1"/>
    <col min="3083" max="3083" width="12.85546875" style="64" bestFit="1" customWidth="1"/>
    <col min="3084" max="3084" width="9.28515625" style="64" bestFit="1" customWidth="1"/>
    <col min="3085" max="3085" width="11.85546875" style="64" bestFit="1" customWidth="1"/>
    <col min="3086" max="3086" width="2.7109375" style="64" bestFit="1" customWidth="1"/>
    <col min="3087" max="3087" width="40.7109375" style="64" bestFit="1" customWidth="1"/>
    <col min="3088" max="3088" width="12.5703125" style="64" customWidth="1"/>
    <col min="3089" max="3089" width="7" style="64" bestFit="1" customWidth="1"/>
    <col min="3090" max="3090" width="11.7109375" style="64" bestFit="1" customWidth="1"/>
    <col min="3091" max="3091" width="12.85546875" style="64" bestFit="1" customWidth="1"/>
    <col min="3092" max="3092" width="11.5703125" style="64" bestFit="1" customWidth="1"/>
    <col min="3093" max="3093" width="12.5703125" style="64" bestFit="1" customWidth="1"/>
    <col min="3094" max="3328" width="9.140625" style="64"/>
    <col min="3329" max="3329" width="2.7109375" style="64" bestFit="1" customWidth="1"/>
    <col min="3330" max="3331" width="9.140625" style="64"/>
    <col min="3332" max="3332" width="10" style="64" customWidth="1"/>
    <col min="3333" max="3333" width="13" style="64" customWidth="1"/>
    <col min="3334" max="3334" width="13.85546875" style="64" customWidth="1"/>
    <col min="3335" max="3335" width="13.28515625" style="64" bestFit="1" customWidth="1"/>
    <col min="3336" max="3336" width="15.140625" style="64" customWidth="1"/>
    <col min="3337" max="3337" width="14.7109375" style="64" customWidth="1"/>
    <col min="3338" max="3338" width="13.42578125" style="64" customWidth="1"/>
    <col min="3339" max="3339" width="12.85546875" style="64" bestFit="1" customWidth="1"/>
    <col min="3340" max="3340" width="9.28515625" style="64" bestFit="1" customWidth="1"/>
    <col min="3341" max="3341" width="11.85546875" style="64" bestFit="1" customWidth="1"/>
    <col min="3342" max="3342" width="2.7109375" style="64" bestFit="1" customWidth="1"/>
    <col min="3343" max="3343" width="40.7109375" style="64" bestFit="1" customWidth="1"/>
    <col min="3344" max="3344" width="12.5703125" style="64" customWidth="1"/>
    <col min="3345" max="3345" width="7" style="64" bestFit="1" customWidth="1"/>
    <col min="3346" max="3346" width="11.7109375" style="64" bestFit="1" customWidth="1"/>
    <col min="3347" max="3347" width="12.85546875" style="64" bestFit="1" customWidth="1"/>
    <col min="3348" max="3348" width="11.5703125" style="64" bestFit="1" customWidth="1"/>
    <col min="3349" max="3349" width="12.5703125" style="64" bestFit="1" customWidth="1"/>
    <col min="3350" max="3584" width="9.140625" style="64"/>
    <col min="3585" max="3585" width="2.7109375" style="64" bestFit="1" customWidth="1"/>
    <col min="3586" max="3587" width="9.140625" style="64"/>
    <col min="3588" max="3588" width="10" style="64" customWidth="1"/>
    <col min="3589" max="3589" width="13" style="64" customWidth="1"/>
    <col min="3590" max="3590" width="13.85546875" style="64" customWidth="1"/>
    <col min="3591" max="3591" width="13.28515625" style="64" bestFit="1" customWidth="1"/>
    <col min="3592" max="3592" width="15.140625" style="64" customWidth="1"/>
    <col min="3593" max="3593" width="14.7109375" style="64" customWidth="1"/>
    <col min="3594" max="3594" width="13.42578125" style="64" customWidth="1"/>
    <col min="3595" max="3595" width="12.85546875" style="64" bestFit="1" customWidth="1"/>
    <col min="3596" max="3596" width="9.28515625" style="64" bestFit="1" customWidth="1"/>
    <col min="3597" max="3597" width="11.85546875" style="64" bestFit="1" customWidth="1"/>
    <col min="3598" max="3598" width="2.7109375" style="64" bestFit="1" customWidth="1"/>
    <col min="3599" max="3599" width="40.7109375" style="64" bestFit="1" customWidth="1"/>
    <col min="3600" max="3600" width="12.5703125" style="64" customWidth="1"/>
    <col min="3601" max="3601" width="7" style="64" bestFit="1" customWidth="1"/>
    <col min="3602" max="3602" width="11.7109375" style="64" bestFit="1" customWidth="1"/>
    <col min="3603" max="3603" width="12.85546875" style="64" bestFit="1" customWidth="1"/>
    <col min="3604" max="3604" width="11.5703125" style="64" bestFit="1" customWidth="1"/>
    <col min="3605" max="3605" width="12.5703125" style="64" bestFit="1" customWidth="1"/>
    <col min="3606" max="3840" width="9.140625" style="64"/>
    <col min="3841" max="3841" width="2.7109375" style="64" bestFit="1" customWidth="1"/>
    <col min="3842" max="3843" width="9.140625" style="64"/>
    <col min="3844" max="3844" width="10" style="64" customWidth="1"/>
    <col min="3845" max="3845" width="13" style="64" customWidth="1"/>
    <col min="3846" max="3846" width="13.85546875" style="64" customWidth="1"/>
    <col min="3847" max="3847" width="13.28515625" style="64" bestFit="1" customWidth="1"/>
    <col min="3848" max="3848" width="15.140625" style="64" customWidth="1"/>
    <col min="3849" max="3849" width="14.7109375" style="64" customWidth="1"/>
    <col min="3850" max="3850" width="13.42578125" style="64" customWidth="1"/>
    <col min="3851" max="3851" width="12.85546875" style="64" bestFit="1" customWidth="1"/>
    <col min="3852" max="3852" width="9.28515625" style="64" bestFit="1" customWidth="1"/>
    <col min="3853" max="3853" width="11.85546875" style="64" bestFit="1" customWidth="1"/>
    <col min="3854" max="3854" width="2.7109375" style="64" bestFit="1" customWidth="1"/>
    <col min="3855" max="3855" width="40.7109375" style="64" bestFit="1" customWidth="1"/>
    <col min="3856" max="3856" width="12.5703125" style="64" customWidth="1"/>
    <col min="3857" max="3857" width="7" style="64" bestFit="1" customWidth="1"/>
    <col min="3858" max="3858" width="11.7109375" style="64" bestFit="1" customWidth="1"/>
    <col min="3859" max="3859" width="12.85546875" style="64" bestFit="1" customWidth="1"/>
    <col min="3860" max="3860" width="11.5703125" style="64" bestFit="1" customWidth="1"/>
    <col min="3861" max="3861" width="12.5703125" style="64" bestFit="1" customWidth="1"/>
    <col min="3862" max="4096" width="9.140625" style="64"/>
    <col min="4097" max="4097" width="2.7109375" style="64" bestFit="1" customWidth="1"/>
    <col min="4098" max="4099" width="9.140625" style="64"/>
    <col min="4100" max="4100" width="10" style="64" customWidth="1"/>
    <col min="4101" max="4101" width="13" style="64" customWidth="1"/>
    <col min="4102" max="4102" width="13.85546875" style="64" customWidth="1"/>
    <col min="4103" max="4103" width="13.28515625" style="64" bestFit="1" customWidth="1"/>
    <col min="4104" max="4104" width="15.140625" style="64" customWidth="1"/>
    <col min="4105" max="4105" width="14.7109375" style="64" customWidth="1"/>
    <col min="4106" max="4106" width="13.42578125" style="64" customWidth="1"/>
    <col min="4107" max="4107" width="12.85546875" style="64" bestFit="1" customWidth="1"/>
    <col min="4108" max="4108" width="9.28515625" style="64" bestFit="1" customWidth="1"/>
    <col min="4109" max="4109" width="11.85546875" style="64" bestFit="1" customWidth="1"/>
    <col min="4110" max="4110" width="2.7109375" style="64" bestFit="1" customWidth="1"/>
    <col min="4111" max="4111" width="40.7109375" style="64" bestFit="1" customWidth="1"/>
    <col min="4112" max="4112" width="12.5703125" style="64" customWidth="1"/>
    <col min="4113" max="4113" width="7" style="64" bestFit="1" customWidth="1"/>
    <col min="4114" max="4114" width="11.7109375" style="64" bestFit="1" customWidth="1"/>
    <col min="4115" max="4115" width="12.85546875" style="64" bestFit="1" customWidth="1"/>
    <col min="4116" max="4116" width="11.5703125" style="64" bestFit="1" customWidth="1"/>
    <col min="4117" max="4117" width="12.5703125" style="64" bestFit="1" customWidth="1"/>
    <col min="4118" max="4352" width="9.140625" style="64"/>
    <col min="4353" max="4353" width="2.7109375" style="64" bestFit="1" customWidth="1"/>
    <col min="4354" max="4355" width="9.140625" style="64"/>
    <col min="4356" max="4356" width="10" style="64" customWidth="1"/>
    <col min="4357" max="4357" width="13" style="64" customWidth="1"/>
    <col min="4358" max="4358" width="13.85546875" style="64" customWidth="1"/>
    <col min="4359" max="4359" width="13.28515625" style="64" bestFit="1" customWidth="1"/>
    <col min="4360" max="4360" width="15.140625" style="64" customWidth="1"/>
    <col min="4361" max="4361" width="14.7109375" style="64" customWidth="1"/>
    <col min="4362" max="4362" width="13.42578125" style="64" customWidth="1"/>
    <col min="4363" max="4363" width="12.85546875" style="64" bestFit="1" customWidth="1"/>
    <col min="4364" max="4364" width="9.28515625" style="64" bestFit="1" customWidth="1"/>
    <col min="4365" max="4365" width="11.85546875" style="64" bestFit="1" customWidth="1"/>
    <col min="4366" max="4366" width="2.7109375" style="64" bestFit="1" customWidth="1"/>
    <col min="4367" max="4367" width="40.7109375" style="64" bestFit="1" customWidth="1"/>
    <col min="4368" max="4368" width="12.5703125" style="64" customWidth="1"/>
    <col min="4369" max="4369" width="7" style="64" bestFit="1" customWidth="1"/>
    <col min="4370" max="4370" width="11.7109375" style="64" bestFit="1" customWidth="1"/>
    <col min="4371" max="4371" width="12.85546875" style="64" bestFit="1" customWidth="1"/>
    <col min="4372" max="4372" width="11.5703125" style="64" bestFit="1" customWidth="1"/>
    <col min="4373" max="4373" width="12.5703125" style="64" bestFit="1" customWidth="1"/>
    <col min="4374" max="4608" width="9.140625" style="64"/>
    <col min="4609" max="4609" width="2.7109375" style="64" bestFit="1" customWidth="1"/>
    <col min="4610" max="4611" width="9.140625" style="64"/>
    <col min="4612" max="4612" width="10" style="64" customWidth="1"/>
    <col min="4613" max="4613" width="13" style="64" customWidth="1"/>
    <col min="4614" max="4614" width="13.85546875" style="64" customWidth="1"/>
    <col min="4615" max="4615" width="13.28515625" style="64" bestFit="1" customWidth="1"/>
    <col min="4616" max="4616" width="15.140625" style="64" customWidth="1"/>
    <col min="4617" max="4617" width="14.7109375" style="64" customWidth="1"/>
    <col min="4618" max="4618" width="13.42578125" style="64" customWidth="1"/>
    <col min="4619" max="4619" width="12.85546875" style="64" bestFit="1" customWidth="1"/>
    <col min="4620" max="4620" width="9.28515625" style="64" bestFit="1" customWidth="1"/>
    <col min="4621" max="4621" width="11.85546875" style="64" bestFit="1" customWidth="1"/>
    <col min="4622" max="4622" width="2.7109375" style="64" bestFit="1" customWidth="1"/>
    <col min="4623" max="4623" width="40.7109375" style="64" bestFit="1" customWidth="1"/>
    <col min="4624" max="4624" width="12.5703125" style="64" customWidth="1"/>
    <col min="4625" max="4625" width="7" style="64" bestFit="1" customWidth="1"/>
    <col min="4626" max="4626" width="11.7109375" style="64" bestFit="1" customWidth="1"/>
    <col min="4627" max="4627" width="12.85546875" style="64" bestFit="1" customWidth="1"/>
    <col min="4628" max="4628" width="11.5703125" style="64" bestFit="1" customWidth="1"/>
    <col min="4629" max="4629" width="12.5703125" style="64" bestFit="1" customWidth="1"/>
    <col min="4630" max="4864" width="9.140625" style="64"/>
    <col min="4865" max="4865" width="2.7109375" style="64" bestFit="1" customWidth="1"/>
    <col min="4866" max="4867" width="9.140625" style="64"/>
    <col min="4868" max="4868" width="10" style="64" customWidth="1"/>
    <col min="4869" max="4869" width="13" style="64" customWidth="1"/>
    <col min="4870" max="4870" width="13.85546875" style="64" customWidth="1"/>
    <col min="4871" max="4871" width="13.28515625" style="64" bestFit="1" customWidth="1"/>
    <col min="4872" max="4872" width="15.140625" style="64" customWidth="1"/>
    <col min="4873" max="4873" width="14.7109375" style="64" customWidth="1"/>
    <col min="4874" max="4874" width="13.42578125" style="64" customWidth="1"/>
    <col min="4875" max="4875" width="12.85546875" style="64" bestFit="1" customWidth="1"/>
    <col min="4876" max="4876" width="9.28515625" style="64" bestFit="1" customWidth="1"/>
    <col min="4877" max="4877" width="11.85546875" style="64" bestFit="1" customWidth="1"/>
    <col min="4878" max="4878" width="2.7109375" style="64" bestFit="1" customWidth="1"/>
    <col min="4879" max="4879" width="40.7109375" style="64" bestFit="1" customWidth="1"/>
    <col min="4880" max="4880" width="12.5703125" style="64" customWidth="1"/>
    <col min="4881" max="4881" width="7" style="64" bestFit="1" customWidth="1"/>
    <col min="4882" max="4882" width="11.7109375" style="64" bestFit="1" customWidth="1"/>
    <col min="4883" max="4883" width="12.85546875" style="64" bestFit="1" customWidth="1"/>
    <col min="4884" max="4884" width="11.5703125" style="64" bestFit="1" customWidth="1"/>
    <col min="4885" max="4885" width="12.5703125" style="64" bestFit="1" customWidth="1"/>
    <col min="4886" max="5120" width="9.140625" style="64"/>
    <col min="5121" max="5121" width="2.7109375" style="64" bestFit="1" customWidth="1"/>
    <col min="5122" max="5123" width="9.140625" style="64"/>
    <col min="5124" max="5124" width="10" style="64" customWidth="1"/>
    <col min="5125" max="5125" width="13" style="64" customWidth="1"/>
    <col min="5126" max="5126" width="13.85546875" style="64" customWidth="1"/>
    <col min="5127" max="5127" width="13.28515625" style="64" bestFit="1" customWidth="1"/>
    <col min="5128" max="5128" width="15.140625" style="64" customWidth="1"/>
    <col min="5129" max="5129" width="14.7109375" style="64" customWidth="1"/>
    <col min="5130" max="5130" width="13.42578125" style="64" customWidth="1"/>
    <col min="5131" max="5131" width="12.85546875" style="64" bestFit="1" customWidth="1"/>
    <col min="5132" max="5132" width="9.28515625" style="64" bestFit="1" customWidth="1"/>
    <col min="5133" max="5133" width="11.85546875" style="64" bestFit="1" customWidth="1"/>
    <col min="5134" max="5134" width="2.7109375" style="64" bestFit="1" customWidth="1"/>
    <col min="5135" max="5135" width="40.7109375" style="64" bestFit="1" customWidth="1"/>
    <col min="5136" max="5136" width="12.5703125" style="64" customWidth="1"/>
    <col min="5137" max="5137" width="7" style="64" bestFit="1" customWidth="1"/>
    <col min="5138" max="5138" width="11.7109375" style="64" bestFit="1" customWidth="1"/>
    <col min="5139" max="5139" width="12.85546875" style="64" bestFit="1" customWidth="1"/>
    <col min="5140" max="5140" width="11.5703125" style="64" bestFit="1" customWidth="1"/>
    <col min="5141" max="5141" width="12.5703125" style="64" bestFit="1" customWidth="1"/>
    <col min="5142" max="5376" width="9.140625" style="64"/>
    <col min="5377" max="5377" width="2.7109375" style="64" bestFit="1" customWidth="1"/>
    <col min="5378" max="5379" width="9.140625" style="64"/>
    <col min="5380" max="5380" width="10" style="64" customWidth="1"/>
    <col min="5381" max="5381" width="13" style="64" customWidth="1"/>
    <col min="5382" max="5382" width="13.85546875" style="64" customWidth="1"/>
    <col min="5383" max="5383" width="13.28515625" style="64" bestFit="1" customWidth="1"/>
    <col min="5384" max="5384" width="15.140625" style="64" customWidth="1"/>
    <col min="5385" max="5385" width="14.7109375" style="64" customWidth="1"/>
    <col min="5386" max="5386" width="13.42578125" style="64" customWidth="1"/>
    <col min="5387" max="5387" width="12.85546875" style="64" bestFit="1" customWidth="1"/>
    <col min="5388" max="5388" width="9.28515625" style="64" bestFit="1" customWidth="1"/>
    <col min="5389" max="5389" width="11.85546875" style="64" bestFit="1" customWidth="1"/>
    <col min="5390" max="5390" width="2.7109375" style="64" bestFit="1" customWidth="1"/>
    <col min="5391" max="5391" width="40.7109375" style="64" bestFit="1" customWidth="1"/>
    <col min="5392" max="5392" width="12.5703125" style="64" customWidth="1"/>
    <col min="5393" max="5393" width="7" style="64" bestFit="1" customWidth="1"/>
    <col min="5394" max="5394" width="11.7109375" style="64" bestFit="1" customWidth="1"/>
    <col min="5395" max="5395" width="12.85546875" style="64" bestFit="1" customWidth="1"/>
    <col min="5396" max="5396" width="11.5703125" style="64" bestFit="1" customWidth="1"/>
    <col min="5397" max="5397" width="12.5703125" style="64" bestFit="1" customWidth="1"/>
    <col min="5398" max="5632" width="9.140625" style="64"/>
    <col min="5633" max="5633" width="2.7109375" style="64" bestFit="1" customWidth="1"/>
    <col min="5634" max="5635" width="9.140625" style="64"/>
    <col min="5636" max="5636" width="10" style="64" customWidth="1"/>
    <col min="5637" max="5637" width="13" style="64" customWidth="1"/>
    <col min="5638" max="5638" width="13.85546875" style="64" customWidth="1"/>
    <col min="5639" max="5639" width="13.28515625" style="64" bestFit="1" customWidth="1"/>
    <col min="5640" max="5640" width="15.140625" style="64" customWidth="1"/>
    <col min="5641" max="5641" width="14.7109375" style="64" customWidth="1"/>
    <col min="5642" max="5642" width="13.42578125" style="64" customWidth="1"/>
    <col min="5643" max="5643" width="12.85546875" style="64" bestFit="1" customWidth="1"/>
    <col min="5644" max="5644" width="9.28515625" style="64" bestFit="1" customWidth="1"/>
    <col min="5645" max="5645" width="11.85546875" style="64" bestFit="1" customWidth="1"/>
    <col min="5646" max="5646" width="2.7109375" style="64" bestFit="1" customWidth="1"/>
    <col min="5647" max="5647" width="40.7109375" style="64" bestFit="1" customWidth="1"/>
    <col min="5648" max="5648" width="12.5703125" style="64" customWidth="1"/>
    <col min="5649" max="5649" width="7" style="64" bestFit="1" customWidth="1"/>
    <col min="5650" max="5650" width="11.7109375" style="64" bestFit="1" customWidth="1"/>
    <col min="5651" max="5651" width="12.85546875" style="64" bestFit="1" customWidth="1"/>
    <col min="5652" max="5652" width="11.5703125" style="64" bestFit="1" customWidth="1"/>
    <col min="5653" max="5653" width="12.5703125" style="64" bestFit="1" customWidth="1"/>
    <col min="5654" max="5888" width="9.140625" style="64"/>
    <col min="5889" max="5889" width="2.7109375" style="64" bestFit="1" customWidth="1"/>
    <col min="5890" max="5891" width="9.140625" style="64"/>
    <col min="5892" max="5892" width="10" style="64" customWidth="1"/>
    <col min="5893" max="5893" width="13" style="64" customWidth="1"/>
    <col min="5894" max="5894" width="13.85546875" style="64" customWidth="1"/>
    <col min="5895" max="5895" width="13.28515625" style="64" bestFit="1" customWidth="1"/>
    <col min="5896" max="5896" width="15.140625" style="64" customWidth="1"/>
    <col min="5897" max="5897" width="14.7109375" style="64" customWidth="1"/>
    <col min="5898" max="5898" width="13.42578125" style="64" customWidth="1"/>
    <col min="5899" max="5899" width="12.85546875" style="64" bestFit="1" customWidth="1"/>
    <col min="5900" max="5900" width="9.28515625" style="64" bestFit="1" customWidth="1"/>
    <col min="5901" max="5901" width="11.85546875" style="64" bestFit="1" customWidth="1"/>
    <col min="5902" max="5902" width="2.7109375" style="64" bestFit="1" customWidth="1"/>
    <col min="5903" max="5903" width="40.7109375" style="64" bestFit="1" customWidth="1"/>
    <col min="5904" max="5904" width="12.5703125" style="64" customWidth="1"/>
    <col min="5905" max="5905" width="7" style="64" bestFit="1" customWidth="1"/>
    <col min="5906" max="5906" width="11.7109375" style="64" bestFit="1" customWidth="1"/>
    <col min="5907" max="5907" width="12.85546875" style="64" bestFit="1" customWidth="1"/>
    <col min="5908" max="5908" width="11.5703125" style="64" bestFit="1" customWidth="1"/>
    <col min="5909" max="5909" width="12.5703125" style="64" bestFit="1" customWidth="1"/>
    <col min="5910" max="6144" width="9.140625" style="64"/>
    <col min="6145" max="6145" width="2.7109375" style="64" bestFit="1" customWidth="1"/>
    <col min="6146" max="6147" width="9.140625" style="64"/>
    <col min="6148" max="6148" width="10" style="64" customWidth="1"/>
    <col min="6149" max="6149" width="13" style="64" customWidth="1"/>
    <col min="6150" max="6150" width="13.85546875" style="64" customWidth="1"/>
    <col min="6151" max="6151" width="13.28515625" style="64" bestFit="1" customWidth="1"/>
    <col min="6152" max="6152" width="15.140625" style="64" customWidth="1"/>
    <col min="6153" max="6153" width="14.7109375" style="64" customWidth="1"/>
    <col min="6154" max="6154" width="13.42578125" style="64" customWidth="1"/>
    <col min="6155" max="6155" width="12.85546875" style="64" bestFit="1" customWidth="1"/>
    <col min="6156" max="6156" width="9.28515625" style="64" bestFit="1" customWidth="1"/>
    <col min="6157" max="6157" width="11.85546875" style="64" bestFit="1" customWidth="1"/>
    <col min="6158" max="6158" width="2.7109375" style="64" bestFit="1" customWidth="1"/>
    <col min="6159" max="6159" width="40.7109375" style="64" bestFit="1" customWidth="1"/>
    <col min="6160" max="6160" width="12.5703125" style="64" customWidth="1"/>
    <col min="6161" max="6161" width="7" style="64" bestFit="1" customWidth="1"/>
    <col min="6162" max="6162" width="11.7109375" style="64" bestFit="1" customWidth="1"/>
    <col min="6163" max="6163" width="12.85546875" style="64" bestFit="1" customWidth="1"/>
    <col min="6164" max="6164" width="11.5703125" style="64" bestFit="1" customWidth="1"/>
    <col min="6165" max="6165" width="12.5703125" style="64" bestFit="1" customWidth="1"/>
    <col min="6166" max="6400" width="9.140625" style="64"/>
    <col min="6401" max="6401" width="2.7109375" style="64" bestFit="1" customWidth="1"/>
    <col min="6402" max="6403" width="9.140625" style="64"/>
    <col min="6404" max="6404" width="10" style="64" customWidth="1"/>
    <col min="6405" max="6405" width="13" style="64" customWidth="1"/>
    <col min="6406" max="6406" width="13.85546875" style="64" customWidth="1"/>
    <col min="6407" max="6407" width="13.28515625" style="64" bestFit="1" customWidth="1"/>
    <col min="6408" max="6408" width="15.140625" style="64" customWidth="1"/>
    <col min="6409" max="6409" width="14.7109375" style="64" customWidth="1"/>
    <col min="6410" max="6410" width="13.42578125" style="64" customWidth="1"/>
    <col min="6411" max="6411" width="12.85546875" style="64" bestFit="1" customWidth="1"/>
    <col min="6412" max="6412" width="9.28515625" style="64" bestFit="1" customWidth="1"/>
    <col min="6413" max="6413" width="11.85546875" style="64" bestFit="1" customWidth="1"/>
    <col min="6414" max="6414" width="2.7109375" style="64" bestFit="1" customWidth="1"/>
    <col min="6415" max="6415" width="40.7109375" style="64" bestFit="1" customWidth="1"/>
    <col min="6416" max="6416" width="12.5703125" style="64" customWidth="1"/>
    <col min="6417" max="6417" width="7" style="64" bestFit="1" customWidth="1"/>
    <col min="6418" max="6418" width="11.7109375" style="64" bestFit="1" customWidth="1"/>
    <col min="6419" max="6419" width="12.85546875" style="64" bestFit="1" customWidth="1"/>
    <col min="6420" max="6420" width="11.5703125" style="64" bestFit="1" customWidth="1"/>
    <col min="6421" max="6421" width="12.5703125" style="64" bestFit="1" customWidth="1"/>
    <col min="6422" max="6656" width="9.140625" style="64"/>
    <col min="6657" max="6657" width="2.7109375" style="64" bestFit="1" customWidth="1"/>
    <col min="6658" max="6659" width="9.140625" style="64"/>
    <col min="6660" max="6660" width="10" style="64" customWidth="1"/>
    <col min="6661" max="6661" width="13" style="64" customWidth="1"/>
    <col min="6662" max="6662" width="13.85546875" style="64" customWidth="1"/>
    <col min="6663" max="6663" width="13.28515625" style="64" bestFit="1" customWidth="1"/>
    <col min="6664" max="6664" width="15.140625" style="64" customWidth="1"/>
    <col min="6665" max="6665" width="14.7109375" style="64" customWidth="1"/>
    <col min="6666" max="6666" width="13.42578125" style="64" customWidth="1"/>
    <col min="6667" max="6667" width="12.85546875" style="64" bestFit="1" customWidth="1"/>
    <col min="6668" max="6668" width="9.28515625" style="64" bestFit="1" customWidth="1"/>
    <col min="6669" max="6669" width="11.85546875" style="64" bestFit="1" customWidth="1"/>
    <col min="6670" max="6670" width="2.7109375" style="64" bestFit="1" customWidth="1"/>
    <col min="6671" max="6671" width="40.7109375" style="64" bestFit="1" customWidth="1"/>
    <col min="6672" max="6672" width="12.5703125" style="64" customWidth="1"/>
    <col min="6673" max="6673" width="7" style="64" bestFit="1" customWidth="1"/>
    <col min="6674" max="6674" width="11.7109375" style="64" bestFit="1" customWidth="1"/>
    <col min="6675" max="6675" width="12.85546875" style="64" bestFit="1" customWidth="1"/>
    <col min="6676" max="6676" width="11.5703125" style="64" bestFit="1" customWidth="1"/>
    <col min="6677" max="6677" width="12.5703125" style="64" bestFit="1" customWidth="1"/>
    <col min="6678" max="6912" width="9.140625" style="64"/>
    <col min="6913" max="6913" width="2.7109375" style="64" bestFit="1" customWidth="1"/>
    <col min="6914" max="6915" width="9.140625" style="64"/>
    <col min="6916" max="6916" width="10" style="64" customWidth="1"/>
    <col min="6917" max="6917" width="13" style="64" customWidth="1"/>
    <col min="6918" max="6918" width="13.85546875" style="64" customWidth="1"/>
    <col min="6919" max="6919" width="13.28515625" style="64" bestFit="1" customWidth="1"/>
    <col min="6920" max="6920" width="15.140625" style="64" customWidth="1"/>
    <col min="6921" max="6921" width="14.7109375" style="64" customWidth="1"/>
    <col min="6922" max="6922" width="13.42578125" style="64" customWidth="1"/>
    <col min="6923" max="6923" width="12.85546875" style="64" bestFit="1" customWidth="1"/>
    <col min="6924" max="6924" width="9.28515625" style="64" bestFit="1" customWidth="1"/>
    <col min="6925" max="6925" width="11.85546875" style="64" bestFit="1" customWidth="1"/>
    <col min="6926" max="6926" width="2.7109375" style="64" bestFit="1" customWidth="1"/>
    <col min="6927" max="6927" width="40.7109375" style="64" bestFit="1" customWidth="1"/>
    <col min="6928" max="6928" width="12.5703125" style="64" customWidth="1"/>
    <col min="6929" max="6929" width="7" style="64" bestFit="1" customWidth="1"/>
    <col min="6930" max="6930" width="11.7109375" style="64" bestFit="1" customWidth="1"/>
    <col min="6931" max="6931" width="12.85546875" style="64" bestFit="1" customWidth="1"/>
    <col min="6932" max="6932" width="11.5703125" style="64" bestFit="1" customWidth="1"/>
    <col min="6933" max="6933" width="12.5703125" style="64" bestFit="1" customWidth="1"/>
    <col min="6934" max="7168" width="9.140625" style="64"/>
    <col min="7169" max="7169" width="2.7109375" style="64" bestFit="1" customWidth="1"/>
    <col min="7170" max="7171" width="9.140625" style="64"/>
    <col min="7172" max="7172" width="10" style="64" customWidth="1"/>
    <col min="7173" max="7173" width="13" style="64" customWidth="1"/>
    <col min="7174" max="7174" width="13.85546875" style="64" customWidth="1"/>
    <col min="7175" max="7175" width="13.28515625" style="64" bestFit="1" customWidth="1"/>
    <col min="7176" max="7176" width="15.140625" style="64" customWidth="1"/>
    <col min="7177" max="7177" width="14.7109375" style="64" customWidth="1"/>
    <col min="7178" max="7178" width="13.42578125" style="64" customWidth="1"/>
    <col min="7179" max="7179" width="12.85546875" style="64" bestFit="1" customWidth="1"/>
    <col min="7180" max="7180" width="9.28515625" style="64" bestFit="1" customWidth="1"/>
    <col min="7181" max="7181" width="11.85546875" style="64" bestFit="1" customWidth="1"/>
    <col min="7182" max="7182" width="2.7109375" style="64" bestFit="1" customWidth="1"/>
    <col min="7183" max="7183" width="40.7109375" style="64" bestFit="1" customWidth="1"/>
    <col min="7184" max="7184" width="12.5703125" style="64" customWidth="1"/>
    <col min="7185" max="7185" width="7" style="64" bestFit="1" customWidth="1"/>
    <col min="7186" max="7186" width="11.7109375" style="64" bestFit="1" customWidth="1"/>
    <col min="7187" max="7187" width="12.85546875" style="64" bestFit="1" customWidth="1"/>
    <col min="7188" max="7188" width="11.5703125" style="64" bestFit="1" customWidth="1"/>
    <col min="7189" max="7189" width="12.5703125" style="64" bestFit="1" customWidth="1"/>
    <col min="7190" max="7424" width="9.140625" style="64"/>
    <col min="7425" max="7425" width="2.7109375" style="64" bestFit="1" customWidth="1"/>
    <col min="7426" max="7427" width="9.140625" style="64"/>
    <col min="7428" max="7428" width="10" style="64" customWidth="1"/>
    <col min="7429" max="7429" width="13" style="64" customWidth="1"/>
    <col min="7430" max="7430" width="13.85546875" style="64" customWidth="1"/>
    <col min="7431" max="7431" width="13.28515625" style="64" bestFit="1" customWidth="1"/>
    <col min="7432" max="7432" width="15.140625" style="64" customWidth="1"/>
    <col min="7433" max="7433" width="14.7109375" style="64" customWidth="1"/>
    <col min="7434" max="7434" width="13.42578125" style="64" customWidth="1"/>
    <col min="7435" max="7435" width="12.85546875" style="64" bestFit="1" customWidth="1"/>
    <col min="7436" max="7436" width="9.28515625" style="64" bestFit="1" customWidth="1"/>
    <col min="7437" max="7437" width="11.85546875" style="64" bestFit="1" customWidth="1"/>
    <col min="7438" max="7438" width="2.7109375" style="64" bestFit="1" customWidth="1"/>
    <col min="7439" max="7439" width="40.7109375" style="64" bestFit="1" customWidth="1"/>
    <col min="7440" max="7440" width="12.5703125" style="64" customWidth="1"/>
    <col min="7441" max="7441" width="7" style="64" bestFit="1" customWidth="1"/>
    <col min="7442" max="7442" width="11.7109375" style="64" bestFit="1" customWidth="1"/>
    <col min="7443" max="7443" width="12.85546875" style="64" bestFit="1" customWidth="1"/>
    <col min="7444" max="7444" width="11.5703125" style="64" bestFit="1" customWidth="1"/>
    <col min="7445" max="7445" width="12.5703125" style="64" bestFit="1" customWidth="1"/>
    <col min="7446" max="7680" width="9.140625" style="64"/>
    <col min="7681" max="7681" width="2.7109375" style="64" bestFit="1" customWidth="1"/>
    <col min="7682" max="7683" width="9.140625" style="64"/>
    <col min="7684" max="7684" width="10" style="64" customWidth="1"/>
    <col min="7685" max="7685" width="13" style="64" customWidth="1"/>
    <col min="7686" max="7686" width="13.85546875" style="64" customWidth="1"/>
    <col min="7687" max="7687" width="13.28515625" style="64" bestFit="1" customWidth="1"/>
    <col min="7688" max="7688" width="15.140625" style="64" customWidth="1"/>
    <col min="7689" max="7689" width="14.7109375" style="64" customWidth="1"/>
    <col min="7690" max="7690" width="13.42578125" style="64" customWidth="1"/>
    <col min="7691" max="7691" width="12.85546875" style="64" bestFit="1" customWidth="1"/>
    <col min="7692" max="7692" width="9.28515625" style="64" bestFit="1" customWidth="1"/>
    <col min="7693" max="7693" width="11.85546875" style="64" bestFit="1" customWidth="1"/>
    <col min="7694" max="7694" width="2.7109375" style="64" bestFit="1" customWidth="1"/>
    <col min="7695" max="7695" width="40.7109375" style="64" bestFit="1" customWidth="1"/>
    <col min="7696" max="7696" width="12.5703125" style="64" customWidth="1"/>
    <col min="7697" max="7697" width="7" style="64" bestFit="1" customWidth="1"/>
    <col min="7698" max="7698" width="11.7109375" style="64" bestFit="1" customWidth="1"/>
    <col min="7699" max="7699" width="12.85546875" style="64" bestFit="1" customWidth="1"/>
    <col min="7700" max="7700" width="11.5703125" style="64" bestFit="1" customWidth="1"/>
    <col min="7701" max="7701" width="12.5703125" style="64" bestFit="1" customWidth="1"/>
    <col min="7702" max="7936" width="9.140625" style="64"/>
    <col min="7937" max="7937" width="2.7109375" style="64" bestFit="1" customWidth="1"/>
    <col min="7938" max="7939" width="9.140625" style="64"/>
    <col min="7940" max="7940" width="10" style="64" customWidth="1"/>
    <col min="7941" max="7941" width="13" style="64" customWidth="1"/>
    <col min="7942" max="7942" width="13.85546875" style="64" customWidth="1"/>
    <col min="7943" max="7943" width="13.28515625" style="64" bestFit="1" customWidth="1"/>
    <col min="7944" max="7944" width="15.140625" style="64" customWidth="1"/>
    <col min="7945" max="7945" width="14.7109375" style="64" customWidth="1"/>
    <col min="7946" max="7946" width="13.42578125" style="64" customWidth="1"/>
    <col min="7947" max="7947" width="12.85546875" style="64" bestFit="1" customWidth="1"/>
    <col min="7948" max="7948" width="9.28515625" style="64" bestFit="1" customWidth="1"/>
    <col min="7949" max="7949" width="11.85546875" style="64" bestFit="1" customWidth="1"/>
    <col min="7950" max="7950" width="2.7109375" style="64" bestFit="1" customWidth="1"/>
    <col min="7951" max="7951" width="40.7109375" style="64" bestFit="1" customWidth="1"/>
    <col min="7952" max="7952" width="12.5703125" style="64" customWidth="1"/>
    <col min="7953" max="7953" width="7" style="64" bestFit="1" customWidth="1"/>
    <col min="7954" max="7954" width="11.7109375" style="64" bestFit="1" customWidth="1"/>
    <col min="7955" max="7955" width="12.85546875" style="64" bestFit="1" customWidth="1"/>
    <col min="7956" max="7956" width="11.5703125" style="64" bestFit="1" customWidth="1"/>
    <col min="7957" max="7957" width="12.5703125" style="64" bestFit="1" customWidth="1"/>
    <col min="7958" max="8192" width="9.140625" style="64"/>
    <col min="8193" max="8193" width="2.7109375" style="64" bestFit="1" customWidth="1"/>
    <col min="8194" max="8195" width="9.140625" style="64"/>
    <col min="8196" max="8196" width="10" style="64" customWidth="1"/>
    <col min="8197" max="8197" width="13" style="64" customWidth="1"/>
    <col min="8198" max="8198" width="13.85546875" style="64" customWidth="1"/>
    <col min="8199" max="8199" width="13.28515625" style="64" bestFit="1" customWidth="1"/>
    <col min="8200" max="8200" width="15.140625" style="64" customWidth="1"/>
    <col min="8201" max="8201" width="14.7109375" style="64" customWidth="1"/>
    <col min="8202" max="8202" width="13.42578125" style="64" customWidth="1"/>
    <col min="8203" max="8203" width="12.85546875" style="64" bestFit="1" customWidth="1"/>
    <col min="8204" max="8204" width="9.28515625" style="64" bestFit="1" customWidth="1"/>
    <col min="8205" max="8205" width="11.85546875" style="64" bestFit="1" customWidth="1"/>
    <col min="8206" max="8206" width="2.7109375" style="64" bestFit="1" customWidth="1"/>
    <col min="8207" max="8207" width="40.7109375" style="64" bestFit="1" customWidth="1"/>
    <col min="8208" max="8208" width="12.5703125" style="64" customWidth="1"/>
    <col min="8209" max="8209" width="7" style="64" bestFit="1" customWidth="1"/>
    <col min="8210" max="8210" width="11.7109375" style="64" bestFit="1" customWidth="1"/>
    <col min="8211" max="8211" width="12.85546875" style="64" bestFit="1" customWidth="1"/>
    <col min="8212" max="8212" width="11.5703125" style="64" bestFit="1" customWidth="1"/>
    <col min="8213" max="8213" width="12.5703125" style="64" bestFit="1" customWidth="1"/>
    <col min="8214" max="8448" width="9.140625" style="64"/>
    <col min="8449" max="8449" width="2.7109375" style="64" bestFit="1" customWidth="1"/>
    <col min="8450" max="8451" width="9.140625" style="64"/>
    <col min="8452" max="8452" width="10" style="64" customWidth="1"/>
    <col min="8453" max="8453" width="13" style="64" customWidth="1"/>
    <col min="8454" max="8454" width="13.85546875" style="64" customWidth="1"/>
    <col min="8455" max="8455" width="13.28515625" style="64" bestFit="1" customWidth="1"/>
    <col min="8456" max="8456" width="15.140625" style="64" customWidth="1"/>
    <col min="8457" max="8457" width="14.7109375" style="64" customWidth="1"/>
    <col min="8458" max="8458" width="13.42578125" style="64" customWidth="1"/>
    <col min="8459" max="8459" width="12.85546875" style="64" bestFit="1" customWidth="1"/>
    <col min="8460" max="8460" width="9.28515625" style="64" bestFit="1" customWidth="1"/>
    <col min="8461" max="8461" width="11.85546875" style="64" bestFit="1" customWidth="1"/>
    <col min="8462" max="8462" width="2.7109375" style="64" bestFit="1" customWidth="1"/>
    <col min="8463" max="8463" width="40.7109375" style="64" bestFit="1" customWidth="1"/>
    <col min="8464" max="8464" width="12.5703125" style="64" customWidth="1"/>
    <col min="8465" max="8465" width="7" style="64" bestFit="1" customWidth="1"/>
    <col min="8466" max="8466" width="11.7109375" style="64" bestFit="1" customWidth="1"/>
    <col min="8467" max="8467" width="12.85546875" style="64" bestFit="1" customWidth="1"/>
    <col min="8468" max="8468" width="11.5703125" style="64" bestFit="1" customWidth="1"/>
    <col min="8469" max="8469" width="12.5703125" style="64" bestFit="1" customWidth="1"/>
    <col min="8470" max="8704" width="9.140625" style="64"/>
    <col min="8705" max="8705" width="2.7109375" style="64" bestFit="1" customWidth="1"/>
    <col min="8706" max="8707" width="9.140625" style="64"/>
    <col min="8708" max="8708" width="10" style="64" customWidth="1"/>
    <col min="8709" max="8709" width="13" style="64" customWidth="1"/>
    <col min="8710" max="8710" width="13.85546875" style="64" customWidth="1"/>
    <col min="8711" max="8711" width="13.28515625" style="64" bestFit="1" customWidth="1"/>
    <col min="8712" max="8712" width="15.140625" style="64" customWidth="1"/>
    <col min="8713" max="8713" width="14.7109375" style="64" customWidth="1"/>
    <col min="8714" max="8714" width="13.42578125" style="64" customWidth="1"/>
    <col min="8715" max="8715" width="12.85546875" style="64" bestFit="1" customWidth="1"/>
    <col min="8716" max="8716" width="9.28515625" style="64" bestFit="1" customWidth="1"/>
    <col min="8717" max="8717" width="11.85546875" style="64" bestFit="1" customWidth="1"/>
    <col min="8718" max="8718" width="2.7109375" style="64" bestFit="1" customWidth="1"/>
    <col min="8719" max="8719" width="40.7109375" style="64" bestFit="1" customWidth="1"/>
    <col min="8720" max="8720" width="12.5703125" style="64" customWidth="1"/>
    <col min="8721" max="8721" width="7" style="64" bestFit="1" customWidth="1"/>
    <col min="8722" max="8722" width="11.7109375" style="64" bestFit="1" customWidth="1"/>
    <col min="8723" max="8723" width="12.85546875" style="64" bestFit="1" customWidth="1"/>
    <col min="8724" max="8724" width="11.5703125" style="64" bestFit="1" customWidth="1"/>
    <col min="8725" max="8725" width="12.5703125" style="64" bestFit="1" customWidth="1"/>
    <col min="8726" max="8960" width="9.140625" style="64"/>
    <col min="8961" max="8961" width="2.7109375" style="64" bestFit="1" customWidth="1"/>
    <col min="8962" max="8963" width="9.140625" style="64"/>
    <col min="8964" max="8964" width="10" style="64" customWidth="1"/>
    <col min="8965" max="8965" width="13" style="64" customWidth="1"/>
    <col min="8966" max="8966" width="13.85546875" style="64" customWidth="1"/>
    <col min="8967" max="8967" width="13.28515625" style="64" bestFit="1" customWidth="1"/>
    <col min="8968" max="8968" width="15.140625" style="64" customWidth="1"/>
    <col min="8969" max="8969" width="14.7109375" style="64" customWidth="1"/>
    <col min="8970" max="8970" width="13.42578125" style="64" customWidth="1"/>
    <col min="8971" max="8971" width="12.85546875" style="64" bestFit="1" customWidth="1"/>
    <col min="8972" max="8972" width="9.28515625" style="64" bestFit="1" customWidth="1"/>
    <col min="8973" max="8973" width="11.85546875" style="64" bestFit="1" customWidth="1"/>
    <col min="8974" max="8974" width="2.7109375" style="64" bestFit="1" customWidth="1"/>
    <col min="8975" max="8975" width="40.7109375" style="64" bestFit="1" customWidth="1"/>
    <col min="8976" max="8976" width="12.5703125" style="64" customWidth="1"/>
    <col min="8977" max="8977" width="7" style="64" bestFit="1" customWidth="1"/>
    <col min="8978" max="8978" width="11.7109375" style="64" bestFit="1" customWidth="1"/>
    <col min="8979" max="8979" width="12.85546875" style="64" bestFit="1" customWidth="1"/>
    <col min="8980" max="8980" width="11.5703125" style="64" bestFit="1" customWidth="1"/>
    <col min="8981" max="8981" width="12.5703125" style="64" bestFit="1" customWidth="1"/>
    <col min="8982" max="9216" width="9.140625" style="64"/>
    <col min="9217" max="9217" width="2.7109375" style="64" bestFit="1" customWidth="1"/>
    <col min="9218" max="9219" width="9.140625" style="64"/>
    <col min="9220" max="9220" width="10" style="64" customWidth="1"/>
    <col min="9221" max="9221" width="13" style="64" customWidth="1"/>
    <col min="9222" max="9222" width="13.85546875" style="64" customWidth="1"/>
    <col min="9223" max="9223" width="13.28515625" style="64" bestFit="1" customWidth="1"/>
    <col min="9224" max="9224" width="15.140625" style="64" customWidth="1"/>
    <col min="9225" max="9225" width="14.7109375" style="64" customWidth="1"/>
    <col min="9226" max="9226" width="13.42578125" style="64" customWidth="1"/>
    <col min="9227" max="9227" width="12.85546875" style="64" bestFit="1" customWidth="1"/>
    <col min="9228" max="9228" width="9.28515625" style="64" bestFit="1" customWidth="1"/>
    <col min="9229" max="9229" width="11.85546875" style="64" bestFit="1" customWidth="1"/>
    <col min="9230" max="9230" width="2.7109375" style="64" bestFit="1" customWidth="1"/>
    <col min="9231" max="9231" width="40.7109375" style="64" bestFit="1" customWidth="1"/>
    <col min="9232" max="9232" width="12.5703125" style="64" customWidth="1"/>
    <col min="9233" max="9233" width="7" style="64" bestFit="1" customWidth="1"/>
    <col min="9234" max="9234" width="11.7109375" style="64" bestFit="1" customWidth="1"/>
    <col min="9235" max="9235" width="12.85546875" style="64" bestFit="1" customWidth="1"/>
    <col min="9236" max="9236" width="11.5703125" style="64" bestFit="1" customWidth="1"/>
    <col min="9237" max="9237" width="12.5703125" style="64" bestFit="1" customWidth="1"/>
    <col min="9238" max="9472" width="9.140625" style="64"/>
    <col min="9473" max="9473" width="2.7109375" style="64" bestFit="1" customWidth="1"/>
    <col min="9474" max="9475" width="9.140625" style="64"/>
    <col min="9476" max="9476" width="10" style="64" customWidth="1"/>
    <col min="9477" max="9477" width="13" style="64" customWidth="1"/>
    <col min="9478" max="9478" width="13.85546875" style="64" customWidth="1"/>
    <col min="9479" max="9479" width="13.28515625" style="64" bestFit="1" customWidth="1"/>
    <col min="9480" max="9480" width="15.140625" style="64" customWidth="1"/>
    <col min="9481" max="9481" width="14.7109375" style="64" customWidth="1"/>
    <col min="9482" max="9482" width="13.42578125" style="64" customWidth="1"/>
    <col min="9483" max="9483" width="12.85546875" style="64" bestFit="1" customWidth="1"/>
    <col min="9484" max="9484" width="9.28515625" style="64" bestFit="1" customWidth="1"/>
    <col min="9485" max="9485" width="11.85546875" style="64" bestFit="1" customWidth="1"/>
    <col min="9486" max="9486" width="2.7109375" style="64" bestFit="1" customWidth="1"/>
    <col min="9487" max="9487" width="40.7109375" style="64" bestFit="1" customWidth="1"/>
    <col min="9488" max="9488" width="12.5703125" style="64" customWidth="1"/>
    <col min="9489" max="9489" width="7" style="64" bestFit="1" customWidth="1"/>
    <col min="9490" max="9490" width="11.7109375" style="64" bestFit="1" customWidth="1"/>
    <col min="9491" max="9491" width="12.85546875" style="64" bestFit="1" customWidth="1"/>
    <col min="9492" max="9492" width="11.5703125" style="64" bestFit="1" customWidth="1"/>
    <col min="9493" max="9493" width="12.5703125" style="64" bestFit="1" customWidth="1"/>
    <col min="9494" max="9728" width="9.140625" style="64"/>
    <col min="9729" max="9729" width="2.7109375" style="64" bestFit="1" customWidth="1"/>
    <col min="9730" max="9731" width="9.140625" style="64"/>
    <col min="9732" max="9732" width="10" style="64" customWidth="1"/>
    <col min="9733" max="9733" width="13" style="64" customWidth="1"/>
    <col min="9734" max="9734" width="13.85546875" style="64" customWidth="1"/>
    <col min="9735" max="9735" width="13.28515625" style="64" bestFit="1" customWidth="1"/>
    <col min="9736" max="9736" width="15.140625" style="64" customWidth="1"/>
    <col min="9737" max="9737" width="14.7109375" style="64" customWidth="1"/>
    <col min="9738" max="9738" width="13.42578125" style="64" customWidth="1"/>
    <col min="9739" max="9739" width="12.85546875" style="64" bestFit="1" customWidth="1"/>
    <col min="9740" max="9740" width="9.28515625" style="64" bestFit="1" customWidth="1"/>
    <col min="9741" max="9741" width="11.85546875" style="64" bestFit="1" customWidth="1"/>
    <col min="9742" max="9742" width="2.7109375" style="64" bestFit="1" customWidth="1"/>
    <col min="9743" max="9743" width="40.7109375" style="64" bestFit="1" customWidth="1"/>
    <col min="9744" max="9744" width="12.5703125" style="64" customWidth="1"/>
    <col min="9745" max="9745" width="7" style="64" bestFit="1" customWidth="1"/>
    <col min="9746" max="9746" width="11.7109375" style="64" bestFit="1" customWidth="1"/>
    <col min="9747" max="9747" width="12.85546875" style="64" bestFit="1" customWidth="1"/>
    <col min="9748" max="9748" width="11.5703125" style="64" bestFit="1" customWidth="1"/>
    <col min="9749" max="9749" width="12.5703125" style="64" bestFit="1" customWidth="1"/>
    <col min="9750" max="9984" width="9.140625" style="64"/>
    <col min="9985" max="9985" width="2.7109375" style="64" bestFit="1" customWidth="1"/>
    <col min="9986" max="9987" width="9.140625" style="64"/>
    <col min="9988" max="9988" width="10" style="64" customWidth="1"/>
    <col min="9989" max="9989" width="13" style="64" customWidth="1"/>
    <col min="9990" max="9990" width="13.85546875" style="64" customWidth="1"/>
    <col min="9991" max="9991" width="13.28515625" style="64" bestFit="1" customWidth="1"/>
    <col min="9992" max="9992" width="15.140625" style="64" customWidth="1"/>
    <col min="9993" max="9993" width="14.7109375" style="64" customWidth="1"/>
    <col min="9994" max="9994" width="13.42578125" style="64" customWidth="1"/>
    <col min="9995" max="9995" width="12.85546875" style="64" bestFit="1" customWidth="1"/>
    <col min="9996" max="9996" width="9.28515625" style="64" bestFit="1" customWidth="1"/>
    <col min="9997" max="9997" width="11.85546875" style="64" bestFit="1" customWidth="1"/>
    <col min="9998" max="9998" width="2.7109375" style="64" bestFit="1" customWidth="1"/>
    <col min="9999" max="9999" width="40.7109375" style="64" bestFit="1" customWidth="1"/>
    <col min="10000" max="10000" width="12.5703125" style="64" customWidth="1"/>
    <col min="10001" max="10001" width="7" style="64" bestFit="1" customWidth="1"/>
    <col min="10002" max="10002" width="11.7109375" style="64" bestFit="1" customWidth="1"/>
    <col min="10003" max="10003" width="12.85546875" style="64" bestFit="1" customWidth="1"/>
    <col min="10004" max="10004" width="11.5703125" style="64" bestFit="1" customWidth="1"/>
    <col min="10005" max="10005" width="12.5703125" style="64" bestFit="1" customWidth="1"/>
    <col min="10006" max="10240" width="9.140625" style="64"/>
    <col min="10241" max="10241" width="2.7109375" style="64" bestFit="1" customWidth="1"/>
    <col min="10242" max="10243" width="9.140625" style="64"/>
    <col min="10244" max="10244" width="10" style="64" customWidth="1"/>
    <col min="10245" max="10245" width="13" style="64" customWidth="1"/>
    <col min="10246" max="10246" width="13.85546875" style="64" customWidth="1"/>
    <col min="10247" max="10247" width="13.28515625" style="64" bestFit="1" customWidth="1"/>
    <col min="10248" max="10248" width="15.140625" style="64" customWidth="1"/>
    <col min="10249" max="10249" width="14.7109375" style="64" customWidth="1"/>
    <col min="10250" max="10250" width="13.42578125" style="64" customWidth="1"/>
    <col min="10251" max="10251" width="12.85546875" style="64" bestFit="1" customWidth="1"/>
    <col min="10252" max="10252" width="9.28515625" style="64" bestFit="1" customWidth="1"/>
    <col min="10253" max="10253" width="11.85546875" style="64" bestFit="1" customWidth="1"/>
    <col min="10254" max="10254" width="2.7109375" style="64" bestFit="1" customWidth="1"/>
    <col min="10255" max="10255" width="40.7109375" style="64" bestFit="1" customWidth="1"/>
    <col min="10256" max="10256" width="12.5703125" style="64" customWidth="1"/>
    <col min="10257" max="10257" width="7" style="64" bestFit="1" customWidth="1"/>
    <col min="10258" max="10258" width="11.7109375" style="64" bestFit="1" customWidth="1"/>
    <col min="10259" max="10259" width="12.85546875" style="64" bestFit="1" customWidth="1"/>
    <col min="10260" max="10260" width="11.5703125" style="64" bestFit="1" customWidth="1"/>
    <col min="10261" max="10261" width="12.5703125" style="64" bestFit="1" customWidth="1"/>
    <col min="10262" max="10496" width="9.140625" style="64"/>
    <col min="10497" max="10497" width="2.7109375" style="64" bestFit="1" customWidth="1"/>
    <col min="10498" max="10499" width="9.140625" style="64"/>
    <col min="10500" max="10500" width="10" style="64" customWidth="1"/>
    <col min="10501" max="10501" width="13" style="64" customWidth="1"/>
    <col min="10502" max="10502" width="13.85546875" style="64" customWidth="1"/>
    <col min="10503" max="10503" width="13.28515625" style="64" bestFit="1" customWidth="1"/>
    <col min="10504" max="10504" width="15.140625" style="64" customWidth="1"/>
    <col min="10505" max="10505" width="14.7109375" style="64" customWidth="1"/>
    <col min="10506" max="10506" width="13.42578125" style="64" customWidth="1"/>
    <col min="10507" max="10507" width="12.85546875" style="64" bestFit="1" customWidth="1"/>
    <col min="10508" max="10508" width="9.28515625" style="64" bestFit="1" customWidth="1"/>
    <col min="10509" max="10509" width="11.85546875" style="64" bestFit="1" customWidth="1"/>
    <col min="10510" max="10510" width="2.7109375" style="64" bestFit="1" customWidth="1"/>
    <col min="10511" max="10511" width="40.7109375" style="64" bestFit="1" customWidth="1"/>
    <col min="10512" max="10512" width="12.5703125" style="64" customWidth="1"/>
    <col min="10513" max="10513" width="7" style="64" bestFit="1" customWidth="1"/>
    <col min="10514" max="10514" width="11.7109375" style="64" bestFit="1" customWidth="1"/>
    <col min="10515" max="10515" width="12.85546875" style="64" bestFit="1" customWidth="1"/>
    <col min="10516" max="10516" width="11.5703125" style="64" bestFit="1" customWidth="1"/>
    <col min="10517" max="10517" width="12.5703125" style="64" bestFit="1" customWidth="1"/>
    <col min="10518" max="10752" width="9.140625" style="64"/>
    <col min="10753" max="10753" width="2.7109375" style="64" bestFit="1" customWidth="1"/>
    <col min="10754" max="10755" width="9.140625" style="64"/>
    <col min="10756" max="10756" width="10" style="64" customWidth="1"/>
    <col min="10757" max="10757" width="13" style="64" customWidth="1"/>
    <col min="10758" max="10758" width="13.85546875" style="64" customWidth="1"/>
    <col min="10759" max="10759" width="13.28515625" style="64" bestFit="1" customWidth="1"/>
    <col min="10760" max="10760" width="15.140625" style="64" customWidth="1"/>
    <col min="10761" max="10761" width="14.7109375" style="64" customWidth="1"/>
    <col min="10762" max="10762" width="13.42578125" style="64" customWidth="1"/>
    <col min="10763" max="10763" width="12.85546875" style="64" bestFit="1" customWidth="1"/>
    <col min="10764" max="10764" width="9.28515625" style="64" bestFit="1" customWidth="1"/>
    <col min="10765" max="10765" width="11.85546875" style="64" bestFit="1" customWidth="1"/>
    <col min="10766" max="10766" width="2.7109375" style="64" bestFit="1" customWidth="1"/>
    <col min="10767" max="10767" width="40.7109375" style="64" bestFit="1" customWidth="1"/>
    <col min="10768" max="10768" width="12.5703125" style="64" customWidth="1"/>
    <col min="10769" max="10769" width="7" style="64" bestFit="1" customWidth="1"/>
    <col min="10770" max="10770" width="11.7109375" style="64" bestFit="1" customWidth="1"/>
    <col min="10771" max="10771" width="12.85546875" style="64" bestFit="1" customWidth="1"/>
    <col min="10772" max="10772" width="11.5703125" style="64" bestFit="1" customWidth="1"/>
    <col min="10773" max="10773" width="12.5703125" style="64" bestFit="1" customWidth="1"/>
    <col min="10774" max="11008" width="9.140625" style="64"/>
    <col min="11009" max="11009" width="2.7109375" style="64" bestFit="1" customWidth="1"/>
    <col min="11010" max="11011" width="9.140625" style="64"/>
    <col min="11012" max="11012" width="10" style="64" customWidth="1"/>
    <col min="11013" max="11013" width="13" style="64" customWidth="1"/>
    <col min="11014" max="11014" width="13.85546875" style="64" customWidth="1"/>
    <col min="11015" max="11015" width="13.28515625" style="64" bestFit="1" customWidth="1"/>
    <col min="11016" max="11016" width="15.140625" style="64" customWidth="1"/>
    <col min="11017" max="11017" width="14.7109375" style="64" customWidth="1"/>
    <col min="11018" max="11018" width="13.42578125" style="64" customWidth="1"/>
    <col min="11019" max="11019" width="12.85546875" style="64" bestFit="1" customWidth="1"/>
    <col min="11020" max="11020" width="9.28515625" style="64" bestFit="1" customWidth="1"/>
    <col min="11021" max="11021" width="11.85546875" style="64" bestFit="1" customWidth="1"/>
    <col min="11022" max="11022" width="2.7109375" style="64" bestFit="1" customWidth="1"/>
    <col min="11023" max="11023" width="40.7109375" style="64" bestFit="1" customWidth="1"/>
    <col min="11024" max="11024" width="12.5703125" style="64" customWidth="1"/>
    <col min="11025" max="11025" width="7" style="64" bestFit="1" customWidth="1"/>
    <col min="11026" max="11026" width="11.7109375" style="64" bestFit="1" customWidth="1"/>
    <col min="11027" max="11027" width="12.85546875" style="64" bestFit="1" customWidth="1"/>
    <col min="11028" max="11028" width="11.5703125" style="64" bestFit="1" customWidth="1"/>
    <col min="11029" max="11029" width="12.5703125" style="64" bestFit="1" customWidth="1"/>
    <col min="11030" max="11264" width="9.140625" style="64"/>
    <col min="11265" max="11265" width="2.7109375" style="64" bestFit="1" customWidth="1"/>
    <col min="11266" max="11267" width="9.140625" style="64"/>
    <col min="11268" max="11268" width="10" style="64" customWidth="1"/>
    <col min="11269" max="11269" width="13" style="64" customWidth="1"/>
    <col min="11270" max="11270" width="13.85546875" style="64" customWidth="1"/>
    <col min="11271" max="11271" width="13.28515625" style="64" bestFit="1" customWidth="1"/>
    <col min="11272" max="11272" width="15.140625" style="64" customWidth="1"/>
    <col min="11273" max="11273" width="14.7109375" style="64" customWidth="1"/>
    <col min="11274" max="11274" width="13.42578125" style="64" customWidth="1"/>
    <col min="11275" max="11275" width="12.85546875" style="64" bestFit="1" customWidth="1"/>
    <col min="11276" max="11276" width="9.28515625" style="64" bestFit="1" customWidth="1"/>
    <col min="11277" max="11277" width="11.85546875" style="64" bestFit="1" customWidth="1"/>
    <col min="11278" max="11278" width="2.7109375" style="64" bestFit="1" customWidth="1"/>
    <col min="11279" max="11279" width="40.7109375" style="64" bestFit="1" customWidth="1"/>
    <col min="11280" max="11280" width="12.5703125" style="64" customWidth="1"/>
    <col min="11281" max="11281" width="7" style="64" bestFit="1" customWidth="1"/>
    <col min="11282" max="11282" width="11.7109375" style="64" bestFit="1" customWidth="1"/>
    <col min="11283" max="11283" width="12.85546875" style="64" bestFit="1" customWidth="1"/>
    <col min="11284" max="11284" width="11.5703125" style="64" bestFit="1" customWidth="1"/>
    <col min="11285" max="11285" width="12.5703125" style="64" bestFit="1" customWidth="1"/>
    <col min="11286" max="11520" width="9.140625" style="64"/>
    <col min="11521" max="11521" width="2.7109375" style="64" bestFit="1" customWidth="1"/>
    <col min="11522" max="11523" width="9.140625" style="64"/>
    <col min="11524" max="11524" width="10" style="64" customWidth="1"/>
    <col min="11525" max="11525" width="13" style="64" customWidth="1"/>
    <col min="11526" max="11526" width="13.85546875" style="64" customWidth="1"/>
    <col min="11527" max="11527" width="13.28515625" style="64" bestFit="1" customWidth="1"/>
    <col min="11528" max="11528" width="15.140625" style="64" customWidth="1"/>
    <col min="11529" max="11529" width="14.7109375" style="64" customWidth="1"/>
    <col min="11530" max="11530" width="13.42578125" style="64" customWidth="1"/>
    <col min="11531" max="11531" width="12.85546875" style="64" bestFit="1" customWidth="1"/>
    <col min="11532" max="11532" width="9.28515625" style="64" bestFit="1" customWidth="1"/>
    <col min="11533" max="11533" width="11.85546875" style="64" bestFit="1" customWidth="1"/>
    <col min="11534" max="11534" width="2.7109375" style="64" bestFit="1" customWidth="1"/>
    <col min="11535" max="11535" width="40.7109375" style="64" bestFit="1" customWidth="1"/>
    <col min="11536" max="11536" width="12.5703125" style="64" customWidth="1"/>
    <col min="11537" max="11537" width="7" style="64" bestFit="1" customWidth="1"/>
    <col min="11538" max="11538" width="11.7109375" style="64" bestFit="1" customWidth="1"/>
    <col min="11539" max="11539" width="12.85546875" style="64" bestFit="1" customWidth="1"/>
    <col min="11540" max="11540" width="11.5703125" style="64" bestFit="1" customWidth="1"/>
    <col min="11541" max="11541" width="12.5703125" style="64" bestFit="1" customWidth="1"/>
    <col min="11542" max="11776" width="9.140625" style="64"/>
    <col min="11777" max="11777" width="2.7109375" style="64" bestFit="1" customWidth="1"/>
    <col min="11778" max="11779" width="9.140625" style="64"/>
    <col min="11780" max="11780" width="10" style="64" customWidth="1"/>
    <col min="11781" max="11781" width="13" style="64" customWidth="1"/>
    <col min="11782" max="11782" width="13.85546875" style="64" customWidth="1"/>
    <col min="11783" max="11783" width="13.28515625" style="64" bestFit="1" customWidth="1"/>
    <col min="11784" max="11784" width="15.140625" style="64" customWidth="1"/>
    <col min="11785" max="11785" width="14.7109375" style="64" customWidth="1"/>
    <col min="11786" max="11786" width="13.42578125" style="64" customWidth="1"/>
    <col min="11787" max="11787" width="12.85546875" style="64" bestFit="1" customWidth="1"/>
    <col min="11788" max="11788" width="9.28515625" style="64" bestFit="1" customWidth="1"/>
    <col min="11789" max="11789" width="11.85546875" style="64" bestFit="1" customWidth="1"/>
    <col min="11790" max="11790" width="2.7109375" style="64" bestFit="1" customWidth="1"/>
    <col min="11791" max="11791" width="40.7109375" style="64" bestFit="1" customWidth="1"/>
    <col min="11792" max="11792" width="12.5703125" style="64" customWidth="1"/>
    <col min="11793" max="11793" width="7" style="64" bestFit="1" customWidth="1"/>
    <col min="11794" max="11794" width="11.7109375" style="64" bestFit="1" customWidth="1"/>
    <col min="11795" max="11795" width="12.85546875" style="64" bestFit="1" customWidth="1"/>
    <col min="11796" max="11796" width="11.5703125" style="64" bestFit="1" customWidth="1"/>
    <col min="11797" max="11797" width="12.5703125" style="64" bestFit="1" customWidth="1"/>
    <col min="11798" max="12032" width="9.140625" style="64"/>
    <col min="12033" max="12033" width="2.7109375" style="64" bestFit="1" customWidth="1"/>
    <col min="12034" max="12035" width="9.140625" style="64"/>
    <col min="12036" max="12036" width="10" style="64" customWidth="1"/>
    <col min="12037" max="12037" width="13" style="64" customWidth="1"/>
    <col min="12038" max="12038" width="13.85546875" style="64" customWidth="1"/>
    <col min="12039" max="12039" width="13.28515625" style="64" bestFit="1" customWidth="1"/>
    <col min="12040" max="12040" width="15.140625" style="64" customWidth="1"/>
    <col min="12041" max="12041" width="14.7109375" style="64" customWidth="1"/>
    <col min="12042" max="12042" width="13.42578125" style="64" customWidth="1"/>
    <col min="12043" max="12043" width="12.85546875" style="64" bestFit="1" customWidth="1"/>
    <col min="12044" max="12044" width="9.28515625" style="64" bestFit="1" customWidth="1"/>
    <col min="12045" max="12045" width="11.85546875" style="64" bestFit="1" customWidth="1"/>
    <col min="12046" max="12046" width="2.7109375" style="64" bestFit="1" customWidth="1"/>
    <col min="12047" max="12047" width="40.7109375" style="64" bestFit="1" customWidth="1"/>
    <col min="12048" max="12048" width="12.5703125" style="64" customWidth="1"/>
    <col min="12049" max="12049" width="7" style="64" bestFit="1" customWidth="1"/>
    <col min="12050" max="12050" width="11.7109375" style="64" bestFit="1" customWidth="1"/>
    <col min="12051" max="12051" width="12.85546875" style="64" bestFit="1" customWidth="1"/>
    <col min="12052" max="12052" width="11.5703125" style="64" bestFit="1" customWidth="1"/>
    <col min="12053" max="12053" width="12.5703125" style="64" bestFit="1" customWidth="1"/>
    <col min="12054" max="12288" width="9.140625" style="64"/>
    <col min="12289" max="12289" width="2.7109375" style="64" bestFit="1" customWidth="1"/>
    <col min="12290" max="12291" width="9.140625" style="64"/>
    <col min="12292" max="12292" width="10" style="64" customWidth="1"/>
    <col min="12293" max="12293" width="13" style="64" customWidth="1"/>
    <col min="12294" max="12294" width="13.85546875" style="64" customWidth="1"/>
    <col min="12295" max="12295" width="13.28515625" style="64" bestFit="1" customWidth="1"/>
    <col min="12296" max="12296" width="15.140625" style="64" customWidth="1"/>
    <col min="12297" max="12297" width="14.7109375" style="64" customWidth="1"/>
    <col min="12298" max="12298" width="13.42578125" style="64" customWidth="1"/>
    <col min="12299" max="12299" width="12.85546875" style="64" bestFit="1" customWidth="1"/>
    <col min="12300" max="12300" width="9.28515625" style="64" bestFit="1" customWidth="1"/>
    <col min="12301" max="12301" width="11.85546875" style="64" bestFit="1" customWidth="1"/>
    <col min="12302" max="12302" width="2.7109375" style="64" bestFit="1" customWidth="1"/>
    <col min="12303" max="12303" width="40.7109375" style="64" bestFit="1" customWidth="1"/>
    <col min="12304" max="12304" width="12.5703125" style="64" customWidth="1"/>
    <col min="12305" max="12305" width="7" style="64" bestFit="1" customWidth="1"/>
    <col min="12306" max="12306" width="11.7109375" style="64" bestFit="1" customWidth="1"/>
    <col min="12307" max="12307" width="12.85546875" style="64" bestFit="1" customWidth="1"/>
    <col min="12308" max="12308" width="11.5703125" style="64" bestFit="1" customWidth="1"/>
    <col min="12309" max="12309" width="12.5703125" style="64" bestFit="1" customWidth="1"/>
    <col min="12310" max="12544" width="9.140625" style="64"/>
    <col min="12545" max="12545" width="2.7109375" style="64" bestFit="1" customWidth="1"/>
    <col min="12546" max="12547" width="9.140625" style="64"/>
    <col min="12548" max="12548" width="10" style="64" customWidth="1"/>
    <col min="12549" max="12549" width="13" style="64" customWidth="1"/>
    <col min="12550" max="12550" width="13.85546875" style="64" customWidth="1"/>
    <col min="12551" max="12551" width="13.28515625" style="64" bestFit="1" customWidth="1"/>
    <col min="12552" max="12552" width="15.140625" style="64" customWidth="1"/>
    <col min="12553" max="12553" width="14.7109375" style="64" customWidth="1"/>
    <col min="12554" max="12554" width="13.42578125" style="64" customWidth="1"/>
    <col min="12555" max="12555" width="12.85546875" style="64" bestFit="1" customWidth="1"/>
    <col min="12556" max="12556" width="9.28515625" style="64" bestFit="1" customWidth="1"/>
    <col min="12557" max="12557" width="11.85546875" style="64" bestFit="1" customWidth="1"/>
    <col min="12558" max="12558" width="2.7109375" style="64" bestFit="1" customWidth="1"/>
    <col min="12559" max="12559" width="40.7109375" style="64" bestFit="1" customWidth="1"/>
    <col min="12560" max="12560" width="12.5703125" style="64" customWidth="1"/>
    <col min="12561" max="12561" width="7" style="64" bestFit="1" customWidth="1"/>
    <col min="12562" max="12562" width="11.7109375" style="64" bestFit="1" customWidth="1"/>
    <col min="12563" max="12563" width="12.85546875" style="64" bestFit="1" customWidth="1"/>
    <col min="12564" max="12564" width="11.5703125" style="64" bestFit="1" customWidth="1"/>
    <col min="12565" max="12565" width="12.5703125" style="64" bestFit="1" customWidth="1"/>
    <col min="12566" max="12800" width="9.140625" style="64"/>
    <col min="12801" max="12801" width="2.7109375" style="64" bestFit="1" customWidth="1"/>
    <col min="12802" max="12803" width="9.140625" style="64"/>
    <col min="12804" max="12804" width="10" style="64" customWidth="1"/>
    <col min="12805" max="12805" width="13" style="64" customWidth="1"/>
    <col min="12806" max="12806" width="13.85546875" style="64" customWidth="1"/>
    <col min="12807" max="12807" width="13.28515625" style="64" bestFit="1" customWidth="1"/>
    <col min="12808" max="12808" width="15.140625" style="64" customWidth="1"/>
    <col min="12809" max="12809" width="14.7109375" style="64" customWidth="1"/>
    <col min="12810" max="12810" width="13.42578125" style="64" customWidth="1"/>
    <col min="12811" max="12811" width="12.85546875" style="64" bestFit="1" customWidth="1"/>
    <col min="12812" max="12812" width="9.28515625" style="64" bestFit="1" customWidth="1"/>
    <col min="12813" max="12813" width="11.85546875" style="64" bestFit="1" customWidth="1"/>
    <col min="12814" max="12814" width="2.7109375" style="64" bestFit="1" customWidth="1"/>
    <col min="12815" max="12815" width="40.7109375" style="64" bestFit="1" customWidth="1"/>
    <col min="12816" max="12816" width="12.5703125" style="64" customWidth="1"/>
    <col min="12817" max="12817" width="7" style="64" bestFit="1" customWidth="1"/>
    <col min="12818" max="12818" width="11.7109375" style="64" bestFit="1" customWidth="1"/>
    <col min="12819" max="12819" width="12.85546875" style="64" bestFit="1" customWidth="1"/>
    <col min="12820" max="12820" width="11.5703125" style="64" bestFit="1" customWidth="1"/>
    <col min="12821" max="12821" width="12.5703125" style="64" bestFit="1" customWidth="1"/>
    <col min="12822" max="13056" width="9.140625" style="64"/>
    <col min="13057" max="13057" width="2.7109375" style="64" bestFit="1" customWidth="1"/>
    <col min="13058" max="13059" width="9.140625" style="64"/>
    <col min="13060" max="13060" width="10" style="64" customWidth="1"/>
    <col min="13061" max="13061" width="13" style="64" customWidth="1"/>
    <col min="13062" max="13062" width="13.85546875" style="64" customWidth="1"/>
    <col min="13063" max="13063" width="13.28515625" style="64" bestFit="1" customWidth="1"/>
    <col min="13064" max="13064" width="15.140625" style="64" customWidth="1"/>
    <col min="13065" max="13065" width="14.7109375" style="64" customWidth="1"/>
    <col min="13066" max="13066" width="13.42578125" style="64" customWidth="1"/>
    <col min="13067" max="13067" width="12.85546875" style="64" bestFit="1" customWidth="1"/>
    <col min="13068" max="13068" width="9.28515625" style="64" bestFit="1" customWidth="1"/>
    <col min="13069" max="13069" width="11.85546875" style="64" bestFit="1" customWidth="1"/>
    <col min="13070" max="13070" width="2.7109375" style="64" bestFit="1" customWidth="1"/>
    <col min="13071" max="13071" width="40.7109375" style="64" bestFit="1" customWidth="1"/>
    <col min="13072" max="13072" width="12.5703125" style="64" customWidth="1"/>
    <col min="13073" max="13073" width="7" style="64" bestFit="1" customWidth="1"/>
    <col min="13074" max="13074" width="11.7109375" style="64" bestFit="1" customWidth="1"/>
    <col min="13075" max="13075" width="12.85546875" style="64" bestFit="1" customWidth="1"/>
    <col min="13076" max="13076" width="11.5703125" style="64" bestFit="1" customWidth="1"/>
    <col min="13077" max="13077" width="12.5703125" style="64" bestFit="1" customWidth="1"/>
    <col min="13078" max="13312" width="9.140625" style="64"/>
    <col min="13313" max="13313" width="2.7109375" style="64" bestFit="1" customWidth="1"/>
    <col min="13314" max="13315" width="9.140625" style="64"/>
    <col min="13316" max="13316" width="10" style="64" customWidth="1"/>
    <col min="13317" max="13317" width="13" style="64" customWidth="1"/>
    <col min="13318" max="13318" width="13.85546875" style="64" customWidth="1"/>
    <col min="13319" max="13319" width="13.28515625" style="64" bestFit="1" customWidth="1"/>
    <col min="13320" max="13320" width="15.140625" style="64" customWidth="1"/>
    <col min="13321" max="13321" width="14.7109375" style="64" customWidth="1"/>
    <col min="13322" max="13322" width="13.42578125" style="64" customWidth="1"/>
    <col min="13323" max="13323" width="12.85546875" style="64" bestFit="1" customWidth="1"/>
    <col min="13324" max="13324" width="9.28515625" style="64" bestFit="1" customWidth="1"/>
    <col min="13325" max="13325" width="11.85546875" style="64" bestFit="1" customWidth="1"/>
    <col min="13326" max="13326" width="2.7109375" style="64" bestFit="1" customWidth="1"/>
    <col min="13327" max="13327" width="40.7109375" style="64" bestFit="1" customWidth="1"/>
    <col min="13328" max="13328" width="12.5703125" style="64" customWidth="1"/>
    <col min="13329" max="13329" width="7" style="64" bestFit="1" customWidth="1"/>
    <col min="13330" max="13330" width="11.7109375" style="64" bestFit="1" customWidth="1"/>
    <col min="13331" max="13331" width="12.85546875" style="64" bestFit="1" customWidth="1"/>
    <col min="13332" max="13332" width="11.5703125" style="64" bestFit="1" customWidth="1"/>
    <col min="13333" max="13333" width="12.5703125" style="64" bestFit="1" customWidth="1"/>
    <col min="13334" max="13568" width="9.140625" style="64"/>
    <col min="13569" max="13569" width="2.7109375" style="64" bestFit="1" customWidth="1"/>
    <col min="13570" max="13571" width="9.140625" style="64"/>
    <col min="13572" max="13572" width="10" style="64" customWidth="1"/>
    <col min="13573" max="13573" width="13" style="64" customWidth="1"/>
    <col min="13574" max="13574" width="13.85546875" style="64" customWidth="1"/>
    <col min="13575" max="13575" width="13.28515625" style="64" bestFit="1" customWidth="1"/>
    <col min="13576" max="13576" width="15.140625" style="64" customWidth="1"/>
    <col min="13577" max="13577" width="14.7109375" style="64" customWidth="1"/>
    <col min="13578" max="13578" width="13.42578125" style="64" customWidth="1"/>
    <col min="13579" max="13579" width="12.85546875" style="64" bestFit="1" customWidth="1"/>
    <col min="13580" max="13580" width="9.28515625" style="64" bestFit="1" customWidth="1"/>
    <col min="13581" max="13581" width="11.85546875" style="64" bestFit="1" customWidth="1"/>
    <col min="13582" max="13582" width="2.7109375" style="64" bestFit="1" customWidth="1"/>
    <col min="13583" max="13583" width="40.7109375" style="64" bestFit="1" customWidth="1"/>
    <col min="13584" max="13584" width="12.5703125" style="64" customWidth="1"/>
    <col min="13585" max="13585" width="7" style="64" bestFit="1" customWidth="1"/>
    <col min="13586" max="13586" width="11.7109375" style="64" bestFit="1" customWidth="1"/>
    <col min="13587" max="13587" width="12.85546875" style="64" bestFit="1" customWidth="1"/>
    <col min="13588" max="13588" width="11.5703125" style="64" bestFit="1" customWidth="1"/>
    <col min="13589" max="13589" width="12.5703125" style="64" bestFit="1" customWidth="1"/>
    <col min="13590" max="13824" width="9.140625" style="64"/>
    <col min="13825" max="13825" width="2.7109375" style="64" bestFit="1" customWidth="1"/>
    <col min="13826" max="13827" width="9.140625" style="64"/>
    <col min="13828" max="13828" width="10" style="64" customWidth="1"/>
    <col min="13829" max="13829" width="13" style="64" customWidth="1"/>
    <col min="13830" max="13830" width="13.85546875" style="64" customWidth="1"/>
    <col min="13831" max="13831" width="13.28515625" style="64" bestFit="1" customWidth="1"/>
    <col min="13832" max="13832" width="15.140625" style="64" customWidth="1"/>
    <col min="13833" max="13833" width="14.7109375" style="64" customWidth="1"/>
    <col min="13834" max="13834" width="13.42578125" style="64" customWidth="1"/>
    <col min="13835" max="13835" width="12.85546875" style="64" bestFit="1" customWidth="1"/>
    <col min="13836" max="13836" width="9.28515625" style="64" bestFit="1" customWidth="1"/>
    <col min="13837" max="13837" width="11.85546875" style="64" bestFit="1" customWidth="1"/>
    <col min="13838" max="13838" width="2.7109375" style="64" bestFit="1" customWidth="1"/>
    <col min="13839" max="13839" width="40.7109375" style="64" bestFit="1" customWidth="1"/>
    <col min="13840" max="13840" width="12.5703125" style="64" customWidth="1"/>
    <col min="13841" max="13841" width="7" style="64" bestFit="1" customWidth="1"/>
    <col min="13842" max="13842" width="11.7109375" style="64" bestFit="1" customWidth="1"/>
    <col min="13843" max="13843" width="12.85546875" style="64" bestFit="1" customWidth="1"/>
    <col min="13844" max="13844" width="11.5703125" style="64" bestFit="1" customWidth="1"/>
    <col min="13845" max="13845" width="12.5703125" style="64" bestFit="1" customWidth="1"/>
    <col min="13846" max="14080" width="9.140625" style="64"/>
    <col min="14081" max="14081" width="2.7109375" style="64" bestFit="1" customWidth="1"/>
    <col min="14082" max="14083" width="9.140625" style="64"/>
    <col min="14084" max="14084" width="10" style="64" customWidth="1"/>
    <col min="14085" max="14085" width="13" style="64" customWidth="1"/>
    <col min="14086" max="14086" width="13.85546875" style="64" customWidth="1"/>
    <col min="14087" max="14087" width="13.28515625" style="64" bestFit="1" customWidth="1"/>
    <col min="14088" max="14088" width="15.140625" style="64" customWidth="1"/>
    <col min="14089" max="14089" width="14.7109375" style="64" customWidth="1"/>
    <col min="14090" max="14090" width="13.42578125" style="64" customWidth="1"/>
    <col min="14091" max="14091" width="12.85546875" style="64" bestFit="1" customWidth="1"/>
    <col min="14092" max="14092" width="9.28515625" style="64" bestFit="1" customWidth="1"/>
    <col min="14093" max="14093" width="11.85546875" style="64" bestFit="1" customWidth="1"/>
    <col min="14094" max="14094" width="2.7109375" style="64" bestFit="1" customWidth="1"/>
    <col min="14095" max="14095" width="40.7109375" style="64" bestFit="1" customWidth="1"/>
    <col min="14096" max="14096" width="12.5703125" style="64" customWidth="1"/>
    <col min="14097" max="14097" width="7" style="64" bestFit="1" customWidth="1"/>
    <col min="14098" max="14098" width="11.7109375" style="64" bestFit="1" customWidth="1"/>
    <col min="14099" max="14099" width="12.85546875" style="64" bestFit="1" customWidth="1"/>
    <col min="14100" max="14100" width="11.5703125" style="64" bestFit="1" customWidth="1"/>
    <col min="14101" max="14101" width="12.5703125" style="64" bestFit="1" customWidth="1"/>
    <col min="14102" max="14336" width="9.140625" style="64"/>
    <col min="14337" max="14337" width="2.7109375" style="64" bestFit="1" customWidth="1"/>
    <col min="14338" max="14339" width="9.140625" style="64"/>
    <col min="14340" max="14340" width="10" style="64" customWidth="1"/>
    <col min="14341" max="14341" width="13" style="64" customWidth="1"/>
    <col min="14342" max="14342" width="13.85546875" style="64" customWidth="1"/>
    <col min="14343" max="14343" width="13.28515625" style="64" bestFit="1" customWidth="1"/>
    <col min="14344" max="14344" width="15.140625" style="64" customWidth="1"/>
    <col min="14345" max="14345" width="14.7109375" style="64" customWidth="1"/>
    <col min="14346" max="14346" width="13.42578125" style="64" customWidth="1"/>
    <col min="14347" max="14347" width="12.85546875" style="64" bestFit="1" customWidth="1"/>
    <col min="14348" max="14348" width="9.28515625" style="64" bestFit="1" customWidth="1"/>
    <col min="14349" max="14349" width="11.85546875" style="64" bestFit="1" customWidth="1"/>
    <col min="14350" max="14350" width="2.7109375" style="64" bestFit="1" customWidth="1"/>
    <col min="14351" max="14351" width="40.7109375" style="64" bestFit="1" customWidth="1"/>
    <col min="14352" max="14352" width="12.5703125" style="64" customWidth="1"/>
    <col min="14353" max="14353" width="7" style="64" bestFit="1" customWidth="1"/>
    <col min="14354" max="14354" width="11.7109375" style="64" bestFit="1" customWidth="1"/>
    <col min="14355" max="14355" width="12.85546875" style="64" bestFit="1" customWidth="1"/>
    <col min="14356" max="14356" width="11.5703125" style="64" bestFit="1" customWidth="1"/>
    <col min="14357" max="14357" width="12.5703125" style="64" bestFit="1" customWidth="1"/>
    <col min="14358" max="14592" width="9.140625" style="64"/>
    <col min="14593" max="14593" width="2.7109375" style="64" bestFit="1" customWidth="1"/>
    <col min="14594" max="14595" width="9.140625" style="64"/>
    <col min="14596" max="14596" width="10" style="64" customWidth="1"/>
    <col min="14597" max="14597" width="13" style="64" customWidth="1"/>
    <col min="14598" max="14598" width="13.85546875" style="64" customWidth="1"/>
    <col min="14599" max="14599" width="13.28515625" style="64" bestFit="1" customWidth="1"/>
    <col min="14600" max="14600" width="15.140625" style="64" customWidth="1"/>
    <col min="14601" max="14601" width="14.7109375" style="64" customWidth="1"/>
    <col min="14602" max="14602" width="13.42578125" style="64" customWidth="1"/>
    <col min="14603" max="14603" width="12.85546875" style="64" bestFit="1" customWidth="1"/>
    <col min="14604" max="14604" width="9.28515625" style="64" bestFit="1" customWidth="1"/>
    <col min="14605" max="14605" width="11.85546875" style="64" bestFit="1" customWidth="1"/>
    <col min="14606" max="14606" width="2.7109375" style="64" bestFit="1" customWidth="1"/>
    <col min="14607" max="14607" width="40.7109375" style="64" bestFit="1" customWidth="1"/>
    <col min="14608" max="14608" width="12.5703125" style="64" customWidth="1"/>
    <col min="14609" max="14609" width="7" style="64" bestFit="1" customWidth="1"/>
    <col min="14610" max="14610" width="11.7109375" style="64" bestFit="1" customWidth="1"/>
    <col min="14611" max="14611" width="12.85546875" style="64" bestFit="1" customWidth="1"/>
    <col min="14612" max="14612" width="11.5703125" style="64" bestFit="1" customWidth="1"/>
    <col min="14613" max="14613" width="12.5703125" style="64" bestFit="1" customWidth="1"/>
    <col min="14614" max="14848" width="9.140625" style="64"/>
    <col min="14849" max="14849" width="2.7109375" style="64" bestFit="1" customWidth="1"/>
    <col min="14850" max="14851" width="9.140625" style="64"/>
    <col min="14852" max="14852" width="10" style="64" customWidth="1"/>
    <col min="14853" max="14853" width="13" style="64" customWidth="1"/>
    <col min="14854" max="14854" width="13.85546875" style="64" customWidth="1"/>
    <col min="14855" max="14855" width="13.28515625" style="64" bestFit="1" customWidth="1"/>
    <col min="14856" max="14856" width="15.140625" style="64" customWidth="1"/>
    <col min="14857" max="14857" width="14.7109375" style="64" customWidth="1"/>
    <col min="14858" max="14858" width="13.42578125" style="64" customWidth="1"/>
    <col min="14859" max="14859" width="12.85546875" style="64" bestFit="1" customWidth="1"/>
    <col min="14860" max="14860" width="9.28515625" style="64" bestFit="1" customWidth="1"/>
    <col min="14861" max="14861" width="11.85546875" style="64" bestFit="1" customWidth="1"/>
    <col min="14862" max="14862" width="2.7109375" style="64" bestFit="1" customWidth="1"/>
    <col min="14863" max="14863" width="40.7109375" style="64" bestFit="1" customWidth="1"/>
    <col min="14864" max="14864" width="12.5703125" style="64" customWidth="1"/>
    <col min="14865" max="14865" width="7" style="64" bestFit="1" customWidth="1"/>
    <col min="14866" max="14866" width="11.7109375" style="64" bestFit="1" customWidth="1"/>
    <col min="14867" max="14867" width="12.85546875" style="64" bestFit="1" customWidth="1"/>
    <col min="14868" max="14868" width="11.5703125" style="64" bestFit="1" customWidth="1"/>
    <col min="14869" max="14869" width="12.5703125" style="64" bestFit="1" customWidth="1"/>
    <col min="14870" max="15104" width="9.140625" style="64"/>
    <col min="15105" max="15105" width="2.7109375" style="64" bestFit="1" customWidth="1"/>
    <col min="15106" max="15107" width="9.140625" style="64"/>
    <col min="15108" max="15108" width="10" style="64" customWidth="1"/>
    <col min="15109" max="15109" width="13" style="64" customWidth="1"/>
    <col min="15110" max="15110" width="13.85546875" style="64" customWidth="1"/>
    <col min="15111" max="15111" width="13.28515625" style="64" bestFit="1" customWidth="1"/>
    <col min="15112" max="15112" width="15.140625" style="64" customWidth="1"/>
    <col min="15113" max="15113" width="14.7109375" style="64" customWidth="1"/>
    <col min="15114" max="15114" width="13.42578125" style="64" customWidth="1"/>
    <col min="15115" max="15115" width="12.85546875" style="64" bestFit="1" customWidth="1"/>
    <col min="15116" max="15116" width="9.28515625" style="64" bestFit="1" customWidth="1"/>
    <col min="15117" max="15117" width="11.85546875" style="64" bestFit="1" customWidth="1"/>
    <col min="15118" max="15118" width="2.7109375" style="64" bestFit="1" customWidth="1"/>
    <col min="15119" max="15119" width="40.7109375" style="64" bestFit="1" customWidth="1"/>
    <col min="15120" max="15120" width="12.5703125" style="64" customWidth="1"/>
    <col min="15121" max="15121" width="7" style="64" bestFit="1" customWidth="1"/>
    <col min="15122" max="15122" width="11.7109375" style="64" bestFit="1" customWidth="1"/>
    <col min="15123" max="15123" width="12.85546875" style="64" bestFit="1" customWidth="1"/>
    <col min="15124" max="15124" width="11.5703125" style="64" bestFit="1" customWidth="1"/>
    <col min="15125" max="15125" width="12.5703125" style="64" bestFit="1" customWidth="1"/>
    <col min="15126" max="15360" width="9.140625" style="64"/>
    <col min="15361" max="15361" width="2.7109375" style="64" bestFit="1" customWidth="1"/>
    <col min="15362" max="15363" width="9.140625" style="64"/>
    <col min="15364" max="15364" width="10" style="64" customWidth="1"/>
    <col min="15365" max="15365" width="13" style="64" customWidth="1"/>
    <col min="15366" max="15366" width="13.85546875" style="64" customWidth="1"/>
    <col min="15367" max="15367" width="13.28515625" style="64" bestFit="1" customWidth="1"/>
    <col min="15368" max="15368" width="15.140625" style="64" customWidth="1"/>
    <col min="15369" max="15369" width="14.7109375" style="64" customWidth="1"/>
    <col min="15370" max="15370" width="13.42578125" style="64" customWidth="1"/>
    <col min="15371" max="15371" width="12.85546875" style="64" bestFit="1" customWidth="1"/>
    <col min="15372" max="15372" width="9.28515625" style="64" bestFit="1" customWidth="1"/>
    <col min="15373" max="15373" width="11.85546875" style="64" bestFit="1" customWidth="1"/>
    <col min="15374" max="15374" width="2.7109375" style="64" bestFit="1" customWidth="1"/>
    <col min="15375" max="15375" width="40.7109375" style="64" bestFit="1" customWidth="1"/>
    <col min="15376" max="15376" width="12.5703125" style="64" customWidth="1"/>
    <col min="15377" max="15377" width="7" style="64" bestFit="1" customWidth="1"/>
    <col min="15378" max="15378" width="11.7109375" style="64" bestFit="1" customWidth="1"/>
    <col min="15379" max="15379" width="12.85546875" style="64" bestFit="1" customWidth="1"/>
    <col min="15380" max="15380" width="11.5703125" style="64" bestFit="1" customWidth="1"/>
    <col min="15381" max="15381" width="12.5703125" style="64" bestFit="1" customWidth="1"/>
    <col min="15382" max="15616" width="9.140625" style="64"/>
    <col min="15617" max="15617" width="2.7109375" style="64" bestFit="1" customWidth="1"/>
    <col min="15618" max="15619" width="9.140625" style="64"/>
    <col min="15620" max="15620" width="10" style="64" customWidth="1"/>
    <col min="15621" max="15621" width="13" style="64" customWidth="1"/>
    <col min="15622" max="15622" width="13.85546875" style="64" customWidth="1"/>
    <col min="15623" max="15623" width="13.28515625" style="64" bestFit="1" customWidth="1"/>
    <col min="15624" max="15624" width="15.140625" style="64" customWidth="1"/>
    <col min="15625" max="15625" width="14.7109375" style="64" customWidth="1"/>
    <col min="15626" max="15626" width="13.42578125" style="64" customWidth="1"/>
    <col min="15627" max="15627" width="12.85546875" style="64" bestFit="1" customWidth="1"/>
    <col min="15628" max="15628" width="9.28515625" style="64" bestFit="1" customWidth="1"/>
    <col min="15629" max="15629" width="11.85546875" style="64" bestFit="1" customWidth="1"/>
    <col min="15630" max="15630" width="2.7109375" style="64" bestFit="1" customWidth="1"/>
    <col min="15631" max="15631" width="40.7109375" style="64" bestFit="1" customWidth="1"/>
    <col min="15632" max="15632" width="12.5703125" style="64" customWidth="1"/>
    <col min="15633" max="15633" width="7" style="64" bestFit="1" customWidth="1"/>
    <col min="15634" max="15634" width="11.7109375" style="64" bestFit="1" customWidth="1"/>
    <col min="15635" max="15635" width="12.85546875" style="64" bestFit="1" customWidth="1"/>
    <col min="15636" max="15636" width="11.5703125" style="64" bestFit="1" customWidth="1"/>
    <col min="15637" max="15637" width="12.5703125" style="64" bestFit="1" customWidth="1"/>
    <col min="15638" max="15872" width="9.140625" style="64"/>
    <col min="15873" max="15873" width="2.7109375" style="64" bestFit="1" customWidth="1"/>
    <col min="15874" max="15875" width="9.140625" style="64"/>
    <col min="15876" max="15876" width="10" style="64" customWidth="1"/>
    <col min="15877" max="15877" width="13" style="64" customWidth="1"/>
    <col min="15878" max="15878" width="13.85546875" style="64" customWidth="1"/>
    <col min="15879" max="15879" width="13.28515625" style="64" bestFit="1" customWidth="1"/>
    <col min="15880" max="15880" width="15.140625" style="64" customWidth="1"/>
    <col min="15881" max="15881" width="14.7109375" style="64" customWidth="1"/>
    <col min="15882" max="15882" width="13.42578125" style="64" customWidth="1"/>
    <col min="15883" max="15883" width="12.85546875" style="64" bestFit="1" customWidth="1"/>
    <col min="15884" max="15884" width="9.28515625" style="64" bestFit="1" customWidth="1"/>
    <col min="15885" max="15885" width="11.85546875" style="64" bestFit="1" customWidth="1"/>
    <col min="15886" max="15886" width="2.7109375" style="64" bestFit="1" customWidth="1"/>
    <col min="15887" max="15887" width="40.7109375" style="64" bestFit="1" customWidth="1"/>
    <col min="15888" max="15888" width="12.5703125" style="64" customWidth="1"/>
    <col min="15889" max="15889" width="7" style="64" bestFit="1" customWidth="1"/>
    <col min="15890" max="15890" width="11.7109375" style="64" bestFit="1" customWidth="1"/>
    <col min="15891" max="15891" width="12.85546875" style="64" bestFit="1" customWidth="1"/>
    <col min="15892" max="15892" width="11.5703125" style="64" bestFit="1" customWidth="1"/>
    <col min="15893" max="15893" width="12.5703125" style="64" bestFit="1" customWidth="1"/>
    <col min="15894" max="16128" width="9.140625" style="64"/>
    <col min="16129" max="16129" width="2.7109375" style="64" bestFit="1" customWidth="1"/>
    <col min="16130" max="16131" width="9.140625" style="64"/>
    <col min="16132" max="16132" width="10" style="64" customWidth="1"/>
    <col min="16133" max="16133" width="13" style="64" customWidth="1"/>
    <col min="16134" max="16134" width="13.85546875" style="64" customWidth="1"/>
    <col min="16135" max="16135" width="13.28515625" style="64" bestFit="1" customWidth="1"/>
    <col min="16136" max="16136" width="15.140625" style="64" customWidth="1"/>
    <col min="16137" max="16137" width="14.7109375" style="64" customWidth="1"/>
    <col min="16138" max="16138" width="13.42578125" style="64" customWidth="1"/>
    <col min="16139" max="16139" width="12.85546875" style="64" bestFit="1" customWidth="1"/>
    <col min="16140" max="16140" width="9.28515625" style="64" bestFit="1" customWidth="1"/>
    <col min="16141" max="16141" width="11.85546875" style="64" bestFit="1" customWidth="1"/>
    <col min="16142" max="16142" width="2.7109375" style="64" bestFit="1" customWidth="1"/>
    <col min="16143" max="16143" width="40.7109375" style="64" bestFit="1" customWidth="1"/>
    <col min="16144" max="16144" width="12.5703125" style="64" customWidth="1"/>
    <col min="16145" max="16145" width="7" style="64" bestFit="1" customWidth="1"/>
    <col min="16146" max="16146" width="11.7109375" style="64" bestFit="1" customWidth="1"/>
    <col min="16147" max="16147" width="12.85546875" style="64" bestFit="1" customWidth="1"/>
    <col min="16148" max="16148" width="11.5703125" style="64" bestFit="1" customWidth="1"/>
    <col min="16149" max="16149" width="12.5703125" style="64" bestFit="1" customWidth="1"/>
    <col min="16150" max="16384" width="9.140625" style="64"/>
  </cols>
  <sheetData>
    <row r="1" spans="1:21">
      <c r="D1" s="64" t="s">
        <v>386</v>
      </c>
      <c r="F1" s="134"/>
      <c r="G1" s="259"/>
    </row>
    <row r="2" spans="1:21">
      <c r="B2" s="198" t="s">
        <v>387</v>
      </c>
      <c r="C2" s="259" t="s">
        <v>388</v>
      </c>
      <c r="D2" s="134"/>
      <c r="E2" s="134" t="s">
        <v>389</v>
      </c>
    </row>
    <row r="3" spans="1:21" s="107" customFormat="1" ht="8.25"/>
    <row r="4" spans="1:21">
      <c r="D4" s="64" t="s">
        <v>390</v>
      </c>
    </row>
    <row r="5" spans="1:21" s="107" customFormat="1" ht="8.25"/>
    <row r="6" spans="1:21">
      <c r="D6" s="64" t="s">
        <v>391</v>
      </c>
      <c r="R6" s="107"/>
      <c r="S6" s="107"/>
      <c r="T6" s="107"/>
      <c r="U6" s="107"/>
    </row>
    <row r="7" spans="1:21">
      <c r="F7" s="260" t="s">
        <v>392</v>
      </c>
      <c r="G7" s="260"/>
      <c r="H7" s="260"/>
      <c r="I7" s="260" t="s">
        <v>393</v>
      </c>
      <c r="R7" s="107"/>
      <c r="S7" s="107"/>
      <c r="T7" s="107"/>
      <c r="U7" s="107"/>
    </row>
    <row r="8" spans="1:21" s="179" customFormat="1" ht="12.75" customHeight="1">
      <c r="A8" s="687" t="s">
        <v>1219</v>
      </c>
      <c r="B8" s="688"/>
      <c r="C8" s="688"/>
      <c r="D8" s="261" t="s">
        <v>394</v>
      </c>
      <c r="E8" s="262"/>
      <c r="F8" s="263" t="s">
        <v>395</v>
      </c>
      <c r="G8" s="137" t="s">
        <v>396</v>
      </c>
      <c r="H8" s="263" t="s">
        <v>397</v>
      </c>
      <c r="I8" s="264" t="s">
        <v>398</v>
      </c>
      <c r="J8" s="263" t="s">
        <v>399</v>
      </c>
      <c r="K8" s="262" t="s">
        <v>400</v>
      </c>
      <c r="L8" s="265" t="s">
        <v>401</v>
      </c>
      <c r="R8" s="107"/>
      <c r="S8" s="107"/>
      <c r="T8" s="107"/>
      <c r="U8" s="107"/>
    </row>
    <row r="9" spans="1:21" s="179" customFormat="1" ht="12.75" customHeight="1">
      <c r="A9" s="689" t="s">
        <v>402</v>
      </c>
      <c r="B9" s="690"/>
      <c r="C9" s="690"/>
      <c r="E9" s="266" t="s">
        <v>1769</v>
      </c>
      <c r="F9" s="267" t="s">
        <v>403</v>
      </c>
      <c r="G9" s="268" t="s">
        <v>404</v>
      </c>
      <c r="H9" s="267" t="s">
        <v>405</v>
      </c>
      <c r="I9" s="268" t="s">
        <v>406</v>
      </c>
      <c r="J9" s="267" t="s">
        <v>301</v>
      </c>
      <c r="K9" s="269" t="s">
        <v>407</v>
      </c>
      <c r="L9" s="270" t="s">
        <v>408</v>
      </c>
      <c r="R9" s="107"/>
      <c r="S9" s="107"/>
      <c r="T9" s="107"/>
      <c r="U9" s="107"/>
    </row>
    <row r="10" spans="1:21" s="275" customFormat="1">
      <c r="A10" s="69" t="s">
        <v>409</v>
      </c>
      <c r="B10" s="271" t="s">
        <v>410</v>
      </c>
      <c r="C10" s="272"/>
      <c r="D10" s="272"/>
      <c r="E10" s="272"/>
      <c r="F10" s="271" t="s">
        <v>411</v>
      </c>
      <c r="G10" s="273" t="s">
        <v>412</v>
      </c>
      <c r="H10" s="272" t="s">
        <v>413</v>
      </c>
      <c r="I10" s="273" t="s">
        <v>414</v>
      </c>
      <c r="J10" s="274" t="s">
        <v>415</v>
      </c>
      <c r="K10" s="274" t="s">
        <v>416</v>
      </c>
      <c r="L10" s="274" t="s">
        <v>417</v>
      </c>
      <c r="R10" s="107"/>
      <c r="S10" s="107"/>
      <c r="T10" s="107"/>
      <c r="U10" s="107"/>
    </row>
    <row r="11" spans="1:21">
      <c r="A11" s="276">
        <v>1</v>
      </c>
      <c r="B11" s="277" t="s">
        <v>418</v>
      </c>
      <c r="C11" s="278"/>
      <c r="D11" s="278"/>
      <c r="E11" s="279"/>
      <c r="F11" s="280">
        <f>SUM(SUM(Cronogra!S4:V4))</f>
        <v>1580029.1666666667</v>
      </c>
      <c r="G11" s="281">
        <f>Cronogra!AE24</f>
        <v>1277674.18</v>
      </c>
      <c r="H11" s="282"/>
      <c r="I11" s="281">
        <v>4646959.3899999997</v>
      </c>
      <c r="J11" s="283">
        <f>F11-G11</f>
        <v>302354.98666666681</v>
      </c>
      <c r="K11" s="284">
        <f t="shared" ref="K11:K26" si="0">(J11/F11)*100</f>
        <v>19.136038311529067</v>
      </c>
      <c r="L11" s="284">
        <f>(G11/$G$27)*100</f>
        <v>2.660035546421287</v>
      </c>
      <c r="O11" s="285"/>
      <c r="R11" s="107"/>
      <c r="S11" s="107"/>
      <c r="T11" s="107"/>
      <c r="U11" s="107"/>
    </row>
    <row r="12" spans="1:21">
      <c r="A12" s="276">
        <v>2</v>
      </c>
      <c r="B12" s="286" t="s">
        <v>419</v>
      </c>
      <c r="C12" s="287"/>
      <c r="D12" s="287"/>
      <c r="E12" s="288"/>
      <c r="F12" s="280">
        <f>SUM(SUM(Cronogra!S5:V5))</f>
        <v>755522.92993678013</v>
      </c>
      <c r="G12" s="289">
        <f>Cronogra!AE25</f>
        <v>806484.80999999994</v>
      </c>
      <c r="H12" s="282"/>
      <c r="I12" s="289">
        <v>2478043.3199999998</v>
      </c>
      <c r="J12" s="283">
        <f t="shared" ref="J12:J26" si="1">F12-G12</f>
        <v>-50961.880063219811</v>
      </c>
      <c r="K12" s="284">
        <f t="shared" si="0"/>
        <v>-6.745245980487204</v>
      </c>
      <c r="L12" s="284">
        <f t="shared" ref="L12:L26" si="2">(G12/$G$27)*100</f>
        <v>1.6790495541271859</v>
      </c>
      <c r="O12" s="285"/>
      <c r="R12" s="107"/>
      <c r="S12" s="107"/>
      <c r="T12" s="107"/>
      <c r="U12" s="107"/>
    </row>
    <row r="13" spans="1:21">
      <c r="A13" s="276">
        <v>3</v>
      </c>
      <c r="B13" s="286" t="s">
        <v>420</v>
      </c>
      <c r="C13" s="287"/>
      <c r="D13" s="287"/>
      <c r="E13" s="288"/>
      <c r="F13" s="280">
        <f>SUM(SUM(Cronogra!S6:V6))</f>
        <v>379600.40265868907</v>
      </c>
      <c r="G13" s="289">
        <f>Cronogra!AE26</f>
        <v>289882.38</v>
      </c>
      <c r="H13" s="282"/>
      <c r="I13" s="289">
        <v>1857495.31</v>
      </c>
      <c r="J13" s="283">
        <f t="shared" si="1"/>
        <v>89718.022658689064</v>
      </c>
      <c r="K13" s="284">
        <f t="shared" si="0"/>
        <v>23.634859718354257</v>
      </c>
      <c r="L13" s="284">
        <f t="shared" si="2"/>
        <v>0.6035164889073702</v>
      </c>
      <c r="O13" s="285"/>
      <c r="R13" s="107"/>
      <c r="S13" s="107"/>
      <c r="T13" s="107"/>
      <c r="U13" s="107"/>
    </row>
    <row r="14" spans="1:21">
      <c r="A14" s="276">
        <v>4</v>
      </c>
      <c r="B14" s="286" t="s">
        <v>421</v>
      </c>
      <c r="C14" s="287"/>
      <c r="D14" s="287"/>
      <c r="E14" s="288"/>
      <c r="F14" s="280">
        <f>SUM(SUM(Cronogra!S7:V7))</f>
        <v>665663.54391576769</v>
      </c>
      <c r="G14" s="289">
        <f>Cronogra!AE27</f>
        <v>668993.39</v>
      </c>
      <c r="H14" s="282"/>
      <c r="I14" s="289">
        <v>2267014.1</v>
      </c>
      <c r="J14" s="283">
        <f t="shared" si="1"/>
        <v>-3329.8460842323257</v>
      </c>
      <c r="K14" s="284">
        <f t="shared" si="0"/>
        <v>-0.50022960017375995</v>
      </c>
      <c r="L14" s="284">
        <f t="shared" si="2"/>
        <v>1.3928012521321198</v>
      </c>
      <c r="R14" s="107"/>
      <c r="S14" s="107"/>
      <c r="T14" s="107"/>
      <c r="U14" s="107"/>
    </row>
    <row r="15" spans="1:21">
      <c r="A15" s="276">
        <v>5</v>
      </c>
      <c r="B15" s="286" t="s">
        <v>422</v>
      </c>
      <c r="C15" s="287"/>
      <c r="D15" s="287"/>
      <c r="E15" s="288"/>
      <c r="F15" s="280">
        <f>SUM(SUM(Cronogra!S8:V8))</f>
        <v>3110587.1646581758</v>
      </c>
      <c r="G15" s="289">
        <f>Cronogra!AE28</f>
        <v>3440304.9</v>
      </c>
      <c r="H15" s="282"/>
      <c r="I15" s="289">
        <v>10593557.4</v>
      </c>
      <c r="J15" s="283">
        <f t="shared" si="1"/>
        <v>-329717.73534182413</v>
      </c>
      <c r="K15" s="284">
        <f t="shared" si="0"/>
        <v>-10.59985520058741</v>
      </c>
      <c r="L15" s="284">
        <f t="shared" si="2"/>
        <v>7.1624937466665664</v>
      </c>
    </row>
    <row r="16" spans="1:21">
      <c r="A16" s="276">
        <v>6</v>
      </c>
      <c r="B16" s="286" t="s">
        <v>423</v>
      </c>
      <c r="C16" s="287"/>
      <c r="D16" s="287"/>
      <c r="E16" s="288"/>
      <c r="F16" s="280">
        <f>SUM(SUM(Cronogra!S9:V9))</f>
        <v>1064131.5764154366</v>
      </c>
      <c r="G16" s="289">
        <f>Cronogra!AE29</f>
        <v>1186500.5699999998</v>
      </c>
      <c r="H16" s="282">
        <f>41645237.34</f>
        <v>41645237.340000004</v>
      </c>
      <c r="I16" s="289">
        <v>3644754.99</v>
      </c>
      <c r="J16" s="283">
        <f t="shared" si="1"/>
        <v>-122368.99358456326</v>
      </c>
      <c r="K16" s="284">
        <f t="shared" si="0"/>
        <v>-11.499423219520219</v>
      </c>
      <c r="L16" s="284">
        <f t="shared" si="2"/>
        <v>2.4702179487176603</v>
      </c>
      <c r="O16" s="285"/>
      <c r="S16" s="285"/>
      <c r="T16" s="199"/>
      <c r="U16" s="285"/>
    </row>
    <row r="17" spans="1:18">
      <c r="A17" s="276">
        <v>7</v>
      </c>
      <c r="B17" s="286" t="s">
        <v>424</v>
      </c>
      <c r="C17" s="287"/>
      <c r="D17" s="287"/>
      <c r="E17" s="288"/>
      <c r="F17" s="280">
        <f>SUM(SUM(Cronogra!S10:V10))</f>
        <v>412914.81475481798</v>
      </c>
      <c r="G17" s="289">
        <f>Cronogra!AE30</f>
        <v>277990.65000000002</v>
      </c>
      <c r="H17" s="282"/>
      <c r="I17" s="289">
        <v>1407964.61</v>
      </c>
      <c r="J17" s="283">
        <f t="shared" si="1"/>
        <v>134924.16475481796</v>
      </c>
      <c r="K17" s="284">
        <f t="shared" si="0"/>
        <v>32.676029033962784</v>
      </c>
      <c r="L17" s="284">
        <f t="shared" si="2"/>
        <v>0.57875867114475055</v>
      </c>
      <c r="O17" s="285"/>
    </row>
    <row r="18" spans="1:18">
      <c r="A18" s="276">
        <v>8</v>
      </c>
      <c r="B18" s="286" t="s">
        <v>425</v>
      </c>
      <c r="C18" s="287"/>
      <c r="D18" s="287"/>
      <c r="E18" s="288"/>
      <c r="F18" s="280">
        <f>SUM(SUM(Cronogra!S11:V11))</f>
        <v>6348056.496298464</v>
      </c>
      <c r="G18" s="289">
        <f>Cronogra!AE31</f>
        <v>3668275.9</v>
      </c>
      <c r="H18" s="282"/>
      <c r="I18" s="289">
        <v>21624301.149999999</v>
      </c>
      <c r="J18" s="283">
        <f t="shared" si="1"/>
        <v>2679780.5962984641</v>
      </c>
      <c r="K18" s="284">
        <f t="shared" si="0"/>
        <v>42.214189458790067</v>
      </c>
      <c r="L18" s="284">
        <f t="shared" si="2"/>
        <v>7.6371147204998229</v>
      </c>
      <c r="O18" s="285"/>
      <c r="P18" s="290"/>
    </row>
    <row r="19" spans="1:18">
      <c r="A19" s="276">
        <v>9</v>
      </c>
      <c r="B19" s="286" t="s">
        <v>426</v>
      </c>
      <c r="C19" s="287"/>
      <c r="D19" s="287"/>
      <c r="E19" s="288"/>
      <c r="F19" s="280">
        <f>SUM(SUM(Cronogra!S12:V12))</f>
        <v>13605374.41032131</v>
      </c>
      <c r="G19" s="289">
        <f>Cronogra!AE32</f>
        <v>13904042.760000002</v>
      </c>
      <c r="H19" s="282"/>
      <c r="I19" s="289">
        <v>48288482.170000002</v>
      </c>
      <c r="J19" s="283">
        <f t="shared" si="1"/>
        <v>-298668.34967869148</v>
      </c>
      <c r="K19" s="284">
        <f t="shared" si="0"/>
        <v>-2.1952233041974623</v>
      </c>
      <c r="L19" s="284">
        <f>(G19/$G$27)*100</f>
        <v>28.947323628752947</v>
      </c>
      <c r="O19" s="285"/>
    </row>
    <row r="20" spans="1:18">
      <c r="A20" s="276">
        <v>10</v>
      </c>
      <c r="B20" s="286" t="s">
        <v>427</v>
      </c>
      <c r="C20" s="287"/>
      <c r="D20" s="287"/>
      <c r="E20" s="288"/>
      <c r="F20" s="280">
        <f>SUM(SUM(Cronogra!S13:V13))</f>
        <v>8669327.3084201217</v>
      </c>
      <c r="G20" s="289">
        <f>Cronogra!AE33</f>
        <v>9857243.6799999997</v>
      </c>
      <c r="H20" s="282"/>
      <c r="I20" s="289">
        <v>30351081.420000002</v>
      </c>
      <c r="J20" s="283">
        <f t="shared" si="1"/>
        <v>-1187916.371579878</v>
      </c>
      <c r="K20" s="284">
        <f t="shared" si="0"/>
        <v>-13.702520729908411</v>
      </c>
      <c r="L20" s="284">
        <f>(G20/$G$27)*100</f>
        <v>20.52214796931764</v>
      </c>
    </row>
    <row r="21" spans="1:18">
      <c r="A21" s="276">
        <v>11</v>
      </c>
      <c r="B21" s="286" t="s">
        <v>428</v>
      </c>
      <c r="C21" s="287"/>
      <c r="D21" s="287"/>
      <c r="E21" s="288"/>
      <c r="F21" s="280">
        <f>SUM(SUM(Cronogra!S14:V14))</f>
        <v>1413098.6034540776</v>
      </c>
      <c r="G21" s="289">
        <f>Cronogra!AE34</f>
        <v>1255014.28</v>
      </c>
      <c r="H21" s="282"/>
      <c r="I21" s="289">
        <v>4840182.17</v>
      </c>
      <c r="J21" s="283">
        <f t="shared" si="1"/>
        <v>158084.32345407759</v>
      </c>
      <c r="K21" s="284">
        <f t="shared" si="0"/>
        <v>11.187069541196031</v>
      </c>
      <c r="L21" s="284">
        <f t="shared" si="2"/>
        <v>2.612859090622242</v>
      </c>
    </row>
    <row r="22" spans="1:18">
      <c r="A22" s="276">
        <v>12</v>
      </c>
      <c r="B22" s="286" t="s">
        <v>429</v>
      </c>
      <c r="C22" s="287"/>
      <c r="D22" s="287"/>
      <c r="E22" s="288"/>
      <c r="F22" s="280">
        <f>SUM(SUM(Cronogra!S15:V15))</f>
        <v>669721.25917491328</v>
      </c>
      <c r="G22" s="289">
        <f>Cronogra!AE35</f>
        <v>482833.30999999994</v>
      </c>
      <c r="H22" s="282"/>
      <c r="I22" s="289">
        <v>2524358.2400000002</v>
      </c>
      <c r="J22" s="283">
        <f t="shared" si="1"/>
        <v>186887.94917491334</v>
      </c>
      <c r="K22" s="284">
        <f t="shared" si="0"/>
        <v>27.905333243438701</v>
      </c>
      <c r="L22" s="284">
        <f t="shared" si="2"/>
        <v>1.0052279271983477</v>
      </c>
      <c r="O22" s="285"/>
    </row>
    <row r="23" spans="1:18">
      <c r="A23" s="276">
        <v>13</v>
      </c>
      <c r="B23" s="286" t="s">
        <v>430</v>
      </c>
      <c r="C23" s="287"/>
      <c r="D23" s="287"/>
      <c r="E23" s="288"/>
      <c r="F23" s="280">
        <f>SUM(SUM(Cronogra!S16:V16))</f>
        <v>951966.31668558787</v>
      </c>
      <c r="G23" s="289">
        <f>Cronogra!AE36</f>
        <v>1200091.98</v>
      </c>
      <c r="H23" s="291"/>
      <c r="I23" s="289">
        <v>3314487.98</v>
      </c>
      <c r="J23" s="283">
        <f t="shared" si="1"/>
        <v>-248125.66331441212</v>
      </c>
      <c r="K23" s="284">
        <f t="shared" si="0"/>
        <v>-26.064542302116156</v>
      </c>
      <c r="L23" s="284">
        <f t="shared" si="2"/>
        <v>2.4985143910281606</v>
      </c>
      <c r="O23" s="292"/>
      <c r="P23" s="285"/>
    </row>
    <row r="24" spans="1:18">
      <c r="A24" s="276">
        <v>14</v>
      </c>
      <c r="B24" s="286" t="s">
        <v>431</v>
      </c>
      <c r="C24" s="287"/>
      <c r="D24" s="291"/>
      <c r="E24" s="288"/>
      <c r="F24" s="280">
        <f>SUM(SUM(Cronogra!S17:V17))</f>
        <v>208.13968607636446</v>
      </c>
      <c r="G24" s="289">
        <f>Cronogra!AE37</f>
        <v>0</v>
      </c>
      <c r="H24" s="291"/>
      <c r="I24" s="289">
        <v>708.85</v>
      </c>
      <c r="J24" s="283">
        <f t="shared" si="1"/>
        <v>208.13968607636446</v>
      </c>
      <c r="K24" s="284">
        <f t="shared" si="0"/>
        <v>100</v>
      </c>
      <c r="L24" s="284">
        <f t="shared" si="2"/>
        <v>0</v>
      </c>
      <c r="O24" s="292"/>
      <c r="P24" s="285"/>
      <c r="R24" s="285"/>
    </row>
    <row r="25" spans="1:18">
      <c r="A25" s="276">
        <v>15</v>
      </c>
      <c r="B25" s="286" t="s">
        <v>432</v>
      </c>
      <c r="C25" s="287"/>
      <c r="D25" s="291"/>
      <c r="E25" s="288"/>
      <c r="F25" s="280">
        <f>SUM(SUM(Cronogra!S18:V18))</f>
        <v>12200927.13871819</v>
      </c>
      <c r="G25" s="289">
        <f>Cronogra!AE38</f>
        <v>8789012.8900000006</v>
      </c>
      <c r="H25" s="196">
        <f>12449529.82</f>
        <v>12449529.82</v>
      </c>
      <c r="I25" s="289">
        <v>41552033.469999999</v>
      </c>
      <c r="J25" s="283">
        <f t="shared" si="1"/>
        <v>3411914.2487181891</v>
      </c>
      <c r="K25" s="284">
        <f t="shared" si="0"/>
        <v>27.964385082596593</v>
      </c>
      <c r="L25" s="284">
        <f>(G25/$G$27)*100</f>
        <v>18.298160103192263</v>
      </c>
      <c r="O25" s="285"/>
      <c r="P25" s="285"/>
      <c r="R25" s="285"/>
    </row>
    <row r="26" spans="1:18">
      <c r="A26" s="293">
        <v>16</v>
      </c>
      <c r="B26" s="294" t="s">
        <v>433</v>
      </c>
      <c r="C26" s="295"/>
      <c r="D26" s="295"/>
      <c r="E26" s="296"/>
      <c r="F26" s="280">
        <f>SUM(SUM(Cronogra!S19:V19))</f>
        <v>1275412.6551521625</v>
      </c>
      <c r="G26" s="297">
        <f>Cronogra!AE39</f>
        <v>927876.3600000001</v>
      </c>
      <c r="H26" s="196">
        <f>1698498.54</f>
        <v>1698498.54</v>
      </c>
      <c r="I26" s="297">
        <v>4343603.46</v>
      </c>
      <c r="J26" s="283">
        <f t="shared" si="1"/>
        <v>347536.29515216243</v>
      </c>
      <c r="K26" s="284">
        <f t="shared" si="0"/>
        <v>27.24892949338814</v>
      </c>
      <c r="L26" s="284">
        <f t="shared" si="2"/>
        <v>1.9317789612716407</v>
      </c>
      <c r="O26" s="285"/>
    </row>
    <row r="27" spans="1:18">
      <c r="A27" s="691" t="s">
        <v>434</v>
      </c>
      <c r="B27" s="692"/>
      <c r="C27" s="298"/>
      <c r="D27" s="298"/>
      <c r="E27" s="299"/>
      <c r="F27" s="300">
        <f>SUM(F11:F26)</f>
        <v>53102541.926917233</v>
      </c>
      <c r="G27" s="301">
        <f>SUM(G11:G26)</f>
        <v>48032222.039999999</v>
      </c>
      <c r="H27" s="162">
        <f>SUM(H11:H26)</f>
        <v>55793265.700000003</v>
      </c>
      <c r="I27" s="76">
        <f>SUM(I11:I26)</f>
        <v>183735028.03</v>
      </c>
      <c r="J27" s="162">
        <f>SUM(J11:J26)</f>
        <v>5070319.8869172353</v>
      </c>
      <c r="K27" s="162"/>
      <c r="L27" s="82">
        <f>SUM(L11:L26)</f>
        <v>100.00000000000001</v>
      </c>
      <c r="O27" s="285"/>
    </row>
    <row r="28" spans="1:18">
      <c r="B28" s="134" t="s">
        <v>435</v>
      </c>
      <c r="C28" s="134" t="s">
        <v>436</v>
      </c>
      <c r="I28" s="302">
        <f>183735028.03-I27</f>
        <v>0</v>
      </c>
      <c r="R28" s="285"/>
    </row>
    <row r="29" spans="1:18" s="107" customFormat="1" ht="8.25">
      <c r="F29" s="91"/>
      <c r="G29" s="302">
        <f>G27-Cronogra!AE40</f>
        <v>0</v>
      </c>
      <c r="H29" s="302">
        <f>H27-Cronogra!D53</f>
        <v>0</v>
      </c>
      <c r="J29" s="60"/>
    </row>
    <row r="30" spans="1:18">
      <c r="B30" s="79" t="s">
        <v>437</v>
      </c>
      <c r="C30" s="57" t="s">
        <v>438</v>
      </c>
      <c r="F30" s="196"/>
      <c r="G30" s="303"/>
    </row>
    <row r="31" spans="1:18" ht="14.25">
      <c r="B31" s="304" t="s">
        <v>692</v>
      </c>
      <c r="C31" s="134"/>
      <c r="F31" s="196"/>
      <c r="G31" s="305"/>
    </row>
    <row r="32" spans="1:18">
      <c r="B32" s="306" t="s">
        <v>439</v>
      </c>
      <c r="C32" s="57" t="s">
        <v>440</v>
      </c>
    </row>
    <row r="33" spans="2:15">
      <c r="B33" s="57" t="s">
        <v>441</v>
      </c>
      <c r="M33" s="292"/>
    </row>
    <row r="34" spans="2:15">
      <c r="B34" s="306" t="s">
        <v>442</v>
      </c>
      <c r="C34" s="64" t="str">
        <f>IF(H34&gt;0,"Superávit Orçamentário Consolidado apurado do período","Déficit Orçamentário Consolidado apurado do período")</f>
        <v>Superávit Orçamentário Consolidado apurado do período</v>
      </c>
      <c r="H34" s="307">
        <f>H27-G27</f>
        <v>7761043.6600000039</v>
      </c>
      <c r="I34" s="285" t="s">
        <v>443</v>
      </c>
      <c r="M34" s="292"/>
    </row>
    <row r="35" spans="2:15">
      <c r="B35" s="306" t="s">
        <v>444</v>
      </c>
      <c r="C35" s="308" t="str">
        <f>IF(H35&gt;0,"Superávit Orçamentário da Pref. Municipal apurado do período","Déficit Orçamentário da Pref. Municipal apurado do período")</f>
        <v>Superávit Orçamentário da Pref. Municipal apurado do período</v>
      </c>
      <c r="H35" s="290">
        <f>H16-SUM(G11:G24)</f>
        <v>3329904.5500000045</v>
      </c>
      <c r="I35" s="419"/>
      <c r="J35" s="310"/>
      <c r="K35" s="309"/>
      <c r="O35" s="285"/>
    </row>
    <row r="36" spans="2:15">
      <c r="B36" s="306" t="s">
        <v>445</v>
      </c>
      <c r="C36" s="311" t="s">
        <v>1771</v>
      </c>
      <c r="D36" s="291"/>
      <c r="E36" s="291"/>
      <c r="F36" s="291"/>
      <c r="G36" s="291"/>
      <c r="H36" s="290"/>
      <c r="J36" s="312">
        <f>Exec_Orç!K19</f>
        <v>6520001.169999999</v>
      </c>
      <c r="K36" s="313"/>
    </row>
    <row r="37" spans="2:15" s="134" customFormat="1" ht="11.25">
      <c r="B37" s="306"/>
      <c r="C37" s="140"/>
      <c r="E37" s="199"/>
      <c r="G37" s="199"/>
      <c r="H37" s="199"/>
      <c r="J37" s="259"/>
    </row>
    <row r="38" spans="2:15" s="134" customFormat="1" ht="11.25">
      <c r="B38" s="57"/>
      <c r="G38" s="153"/>
      <c r="H38" s="353"/>
      <c r="I38" s="199"/>
      <c r="J38" s="199"/>
    </row>
    <row r="39" spans="2:15" s="134" customFormat="1" ht="11.25">
      <c r="B39" s="54"/>
      <c r="C39" s="55" t="s">
        <v>99</v>
      </c>
      <c r="D39" s="54"/>
      <c r="E39" s="54"/>
      <c r="F39" s="56" t="s">
        <v>100</v>
      </c>
      <c r="G39" s="56"/>
      <c r="H39" s="153"/>
      <c r="I39" s="55"/>
      <c r="J39" s="58" t="s">
        <v>101</v>
      </c>
      <c r="K39" s="57"/>
    </row>
    <row r="40" spans="2:15" s="134" customFormat="1" ht="11.25">
      <c r="B40" s="54"/>
      <c r="C40" s="55" t="s">
        <v>102</v>
      </c>
      <c r="D40" s="54"/>
      <c r="E40" s="54"/>
      <c r="F40" s="56" t="s">
        <v>103</v>
      </c>
      <c r="G40" s="56"/>
      <c r="H40" s="57"/>
      <c r="I40" s="55"/>
      <c r="J40" s="58" t="s">
        <v>104</v>
      </c>
      <c r="K40" s="57"/>
    </row>
    <row r="41" spans="2:15">
      <c r="B41" s="59"/>
      <c r="C41" s="59"/>
      <c r="D41" s="59"/>
      <c r="E41" s="59"/>
      <c r="F41" s="59"/>
      <c r="G41" s="59"/>
      <c r="H41" s="60"/>
      <c r="I41" s="59"/>
      <c r="J41" s="59"/>
      <c r="K41" s="59"/>
    </row>
    <row r="42" spans="2:15" s="134" customFormat="1" ht="11.25"/>
    <row r="43" spans="2:15" s="134" customFormat="1" ht="11.25"/>
    <row r="44" spans="2:15" s="134" customFormat="1" ht="11.25"/>
    <row r="45" spans="2:15" s="134" customFormat="1" ht="11.25"/>
    <row r="46" spans="2:15" s="134" customFormat="1" ht="11.25"/>
    <row r="47" spans="2:15" s="134" customFormat="1" ht="11.25"/>
    <row r="48" spans="2:15" s="134" customFormat="1" ht="11.25"/>
    <row r="49" s="134" customFormat="1" ht="11.25"/>
    <row r="50" s="134" customFormat="1" ht="11.25"/>
    <row r="51" s="134" customFormat="1" ht="11.25"/>
    <row r="52" s="134" customFormat="1" ht="11.25"/>
    <row r="53" s="134" customFormat="1" ht="11.25"/>
    <row r="54" s="134" customFormat="1" ht="11.25"/>
    <row r="55" s="134" customFormat="1" ht="11.25"/>
    <row r="56" s="134" customFormat="1" ht="11.25"/>
    <row r="57" s="134" customFormat="1" ht="11.25"/>
    <row r="58" s="134" customFormat="1" ht="11.25"/>
    <row r="59" s="134" customFormat="1" ht="11.25"/>
    <row r="60" s="134" customFormat="1" ht="11.25"/>
    <row r="61" s="134" customFormat="1" ht="11.25"/>
    <row r="62" s="134" customFormat="1" ht="11.25"/>
    <row r="63" s="134" customFormat="1" ht="11.25"/>
    <row r="64" s="134" customFormat="1" ht="11.25"/>
    <row r="65" spans="1:9" s="134" customFormat="1" ht="11.25"/>
    <row r="66" spans="1:9" s="134" customFormat="1" ht="11.25"/>
    <row r="67" spans="1:9" s="134" customFormat="1" ht="11.25"/>
    <row r="68" spans="1:9" s="134" customFormat="1" ht="11.25"/>
    <row r="69" spans="1:9" s="134" customFormat="1" ht="11.25"/>
    <row r="70" spans="1:9" s="134" customFormat="1" ht="11.25"/>
    <row r="71" spans="1:9" s="134" customFormat="1" ht="11.25"/>
    <row r="72" spans="1:9" s="134" customFormat="1" ht="11.25"/>
    <row r="73" spans="1:9" s="134" customFormat="1" ht="11.25"/>
    <row r="74" spans="1:9">
      <c r="B74" s="64" t="s">
        <v>446</v>
      </c>
    </row>
    <row r="75" spans="1:9" s="134" customFormat="1" ht="11.25">
      <c r="B75" s="57" t="s">
        <v>447</v>
      </c>
    </row>
    <row r="76" spans="1:9" s="134" customFormat="1" ht="11.25">
      <c r="B76" s="57" t="s">
        <v>448</v>
      </c>
    </row>
    <row r="77" spans="1:9" s="134" customFormat="1" ht="11.25">
      <c r="B77" s="57" t="s">
        <v>1220</v>
      </c>
    </row>
    <row r="78" spans="1:9">
      <c r="A78" s="291"/>
      <c r="B78" s="134" t="s">
        <v>680</v>
      </c>
      <c r="I78" s="420">
        <f>Cronogra!AE56/RCL!C5</f>
        <v>0.35952237401632692</v>
      </c>
    </row>
    <row r="82" spans="2:11">
      <c r="B82" s="54"/>
      <c r="C82" s="55" t="s">
        <v>99</v>
      </c>
      <c r="D82" s="54"/>
      <c r="E82" s="54"/>
      <c r="F82" s="56" t="s">
        <v>100</v>
      </c>
      <c r="G82" s="56"/>
      <c r="H82" s="57"/>
      <c r="I82" s="55"/>
      <c r="J82" s="58" t="s">
        <v>101</v>
      </c>
      <c r="K82" s="57"/>
    </row>
    <row r="83" spans="2:11">
      <c r="B83" s="54"/>
      <c r="C83" s="55" t="s">
        <v>102</v>
      </c>
      <c r="D83" s="54"/>
      <c r="E83" s="54"/>
      <c r="F83" s="56" t="s">
        <v>103</v>
      </c>
      <c r="G83" s="56"/>
      <c r="H83" s="57"/>
      <c r="I83" s="55"/>
      <c r="J83" s="58" t="s">
        <v>104</v>
      </c>
      <c r="K83" s="59"/>
    </row>
    <row r="84" spans="2:11">
      <c r="B84" s="59"/>
      <c r="C84" s="59"/>
      <c r="D84" s="59"/>
      <c r="E84" s="59"/>
      <c r="F84" s="59"/>
      <c r="G84" s="59"/>
      <c r="H84" s="60"/>
      <c r="I84" s="59"/>
      <c r="J84" s="59"/>
      <c r="K84" s="59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J61"/>
  <sheetViews>
    <sheetView topLeftCell="B16" workbookViewId="0">
      <selection activeCell="L37" sqref="L37"/>
    </sheetView>
  </sheetViews>
  <sheetFormatPr defaultRowHeight="15"/>
  <cols>
    <col min="1" max="1" width="3.5703125" customWidth="1"/>
    <col min="2" max="2" width="7.5703125" customWidth="1"/>
    <col min="3" max="3" width="12" bestFit="1" customWidth="1"/>
    <col min="4" max="4" width="12.140625" bestFit="1" customWidth="1"/>
    <col min="5" max="5" width="13.140625" style="65" customWidth="1"/>
    <col min="6" max="6" width="12" customWidth="1"/>
    <col min="7" max="7" width="11" customWidth="1"/>
    <col min="8" max="8" width="11.28515625" customWidth="1"/>
    <col min="9" max="9" width="12" customWidth="1"/>
    <col min="10" max="10" width="10.42578125" customWidth="1"/>
    <col min="11" max="11" width="9.5703125" customWidth="1"/>
    <col min="12" max="12" width="10.85546875" customWidth="1"/>
    <col min="13" max="13" width="10.42578125" style="1" customWidth="1"/>
    <col min="14" max="14" width="6.7109375" style="1" customWidth="1"/>
    <col min="15" max="15" width="10.5703125" style="1" bestFit="1" customWidth="1"/>
    <col min="16" max="17" width="12.28515625" style="1" bestFit="1" customWidth="1"/>
    <col min="18" max="20" width="11.42578125" bestFit="1" customWidth="1"/>
    <col min="21" max="21" width="11.5703125" bestFit="1" customWidth="1"/>
    <col min="22" max="22" width="11" bestFit="1" customWidth="1"/>
    <col min="23" max="23" width="10.5703125" bestFit="1" customWidth="1"/>
    <col min="24" max="25" width="12.855468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25">
      <c r="B1" s="64" t="s">
        <v>1770</v>
      </c>
      <c r="P1" s="64" t="s">
        <v>1770</v>
      </c>
      <c r="R1" s="1"/>
      <c r="S1" s="1"/>
      <c r="T1" s="1"/>
      <c r="U1" s="1"/>
      <c r="V1" s="1"/>
      <c r="W1" s="1"/>
      <c r="X1" s="1"/>
    </row>
    <row r="2" spans="1:25" s="67" customFormat="1" ht="11.25">
      <c r="H2" s="693" t="s">
        <v>581</v>
      </c>
      <c r="I2" s="693"/>
      <c r="J2" s="693"/>
      <c r="K2" s="693"/>
      <c r="O2" s="494"/>
      <c r="P2" s="497" t="s">
        <v>1221</v>
      </c>
      <c r="Q2" s="495"/>
      <c r="R2" s="434"/>
      <c r="S2" s="434"/>
      <c r="T2" s="434"/>
      <c r="U2" s="496"/>
      <c r="V2" s="498" t="s">
        <v>1201</v>
      </c>
      <c r="W2" s="434"/>
      <c r="X2" s="434"/>
      <c r="Y2" s="499"/>
    </row>
    <row r="3" spans="1:25" s="1" customFormat="1" ht="12.75">
      <c r="A3" s="68" t="s">
        <v>129</v>
      </c>
      <c r="B3" s="69" t="s">
        <v>130</v>
      </c>
      <c r="C3" s="70" t="s">
        <v>582</v>
      </c>
      <c r="D3" s="70" t="s">
        <v>605</v>
      </c>
      <c r="E3" s="71" t="s">
        <v>606</v>
      </c>
      <c r="F3" s="70" t="s">
        <v>607</v>
      </c>
      <c r="G3" s="70" t="s">
        <v>608</v>
      </c>
      <c r="H3" s="70" t="s">
        <v>609</v>
      </c>
      <c r="I3" s="70" t="s">
        <v>610</v>
      </c>
      <c r="J3" s="70" t="s">
        <v>611</v>
      </c>
      <c r="K3" s="70" t="s">
        <v>612</v>
      </c>
      <c r="L3" s="70" t="s">
        <v>690</v>
      </c>
      <c r="M3" s="67"/>
      <c r="N3" s="67"/>
      <c r="O3" s="70" t="s">
        <v>582</v>
      </c>
      <c r="P3" s="5" t="s">
        <v>1198</v>
      </c>
      <c r="Q3" s="70" t="s">
        <v>605</v>
      </c>
      <c r="R3" s="71" t="s">
        <v>606</v>
      </c>
      <c r="S3" s="70" t="s">
        <v>607</v>
      </c>
      <c r="T3" s="70" t="s">
        <v>608</v>
      </c>
      <c r="U3" s="70" t="s">
        <v>1200</v>
      </c>
      <c r="V3" s="70" t="s">
        <v>605</v>
      </c>
      <c r="W3" s="71" t="s">
        <v>606</v>
      </c>
      <c r="X3" s="70" t="s">
        <v>607</v>
      </c>
      <c r="Y3" s="70" t="s">
        <v>608</v>
      </c>
    </row>
    <row r="4" spans="1:25" s="1" customFormat="1" ht="11.25">
      <c r="A4" s="68">
        <v>1</v>
      </c>
      <c r="B4" s="72" t="s">
        <v>133</v>
      </c>
      <c r="C4" s="281">
        <f>Cruz!I11</f>
        <v>4646959.3899999997</v>
      </c>
      <c r="D4" s="281">
        <v>1529192.4</v>
      </c>
      <c r="E4" s="74">
        <f>Cruz!G11</f>
        <v>1277674.18</v>
      </c>
      <c r="F4" s="75">
        <v>1227151.42</v>
      </c>
      <c r="G4" s="18">
        <f>E4-F4</f>
        <v>50522.760000000009</v>
      </c>
      <c r="H4" s="13">
        <f>2422.58</f>
        <v>2422.58</v>
      </c>
      <c r="I4" s="13">
        <v>2422.58</v>
      </c>
      <c r="J4" s="13"/>
      <c r="K4" s="13">
        <v>2422.58</v>
      </c>
      <c r="L4" s="13">
        <f>I4-K4</f>
        <v>0</v>
      </c>
      <c r="M4" s="354">
        <f>I4-(K4+L4)</f>
        <v>0</v>
      </c>
      <c r="N4" s="354"/>
      <c r="O4" s="51">
        <v>4038528.52</v>
      </c>
      <c r="P4" s="51">
        <v>4038528.52</v>
      </c>
      <c r="Q4" s="13">
        <v>1459990.68</v>
      </c>
      <c r="R4" s="13">
        <v>1208472.46</v>
      </c>
      <c r="S4" s="13">
        <v>1175625.18</v>
      </c>
      <c r="T4" s="13">
        <f>R4-S4</f>
        <v>32847.280000000028</v>
      </c>
      <c r="U4" s="18">
        <f>Q4-R4</f>
        <v>251518.21999999997</v>
      </c>
      <c r="V4" s="18">
        <f>D4-Q4</f>
        <v>69201.719999999972</v>
      </c>
      <c r="W4" s="18">
        <f t="shared" ref="W4:X18" si="0">E4-R4</f>
        <v>69201.719999999972</v>
      </c>
      <c r="X4" s="18">
        <f>F4-S4</f>
        <v>51526.239999999991</v>
      </c>
      <c r="Y4" s="13">
        <f>W4-X4</f>
        <v>17675.479999999981</v>
      </c>
    </row>
    <row r="5" spans="1:25" s="1" customFormat="1" ht="11.25">
      <c r="A5" s="68">
        <v>2</v>
      </c>
      <c r="B5" s="72" t="s">
        <v>134</v>
      </c>
      <c r="C5" s="281">
        <f>Cruz!I12</f>
        <v>2478043.3199999998</v>
      </c>
      <c r="D5" s="281">
        <v>821478.45</v>
      </c>
      <c r="E5" s="74">
        <f>Cruz!G12</f>
        <v>806484.80999999994</v>
      </c>
      <c r="F5" s="75">
        <v>741255.2</v>
      </c>
      <c r="G5" s="18">
        <f t="shared" ref="G5:G17" si="1">E5-F5</f>
        <v>65229.609999999986</v>
      </c>
      <c r="H5" s="13">
        <f>357675.77</f>
        <v>357675.77</v>
      </c>
      <c r="I5" s="13">
        <f>357675.77</f>
        <v>357675.77</v>
      </c>
      <c r="J5" s="13"/>
      <c r="K5" s="13">
        <v>68993.86</v>
      </c>
      <c r="L5" s="13">
        <f>I5-K5</f>
        <v>288681.91000000003</v>
      </c>
      <c r="M5" s="354">
        <f>I5-(K5+L5)</f>
        <v>0</v>
      </c>
      <c r="N5" s="354">
        <f>288681.91-L5</f>
        <v>0</v>
      </c>
      <c r="O5" s="51">
        <v>2154661.41</v>
      </c>
      <c r="P5" s="51">
        <v>2059661.41</v>
      </c>
      <c r="Q5" s="13">
        <v>693610.57</v>
      </c>
      <c r="R5" s="13">
        <v>678616.93</v>
      </c>
      <c r="S5" s="13">
        <v>647498.80000000005</v>
      </c>
      <c r="T5" s="13">
        <f t="shared" ref="T5:T18" si="2">R5-S5</f>
        <v>31118.130000000005</v>
      </c>
      <c r="U5" s="18">
        <f t="shared" ref="U5:U18" si="3">Q5-R5</f>
        <v>14993.639999999898</v>
      </c>
      <c r="V5" s="18">
        <f>D5-Q5</f>
        <v>127867.88</v>
      </c>
      <c r="W5" s="18">
        <f t="shared" si="0"/>
        <v>127867.87999999989</v>
      </c>
      <c r="X5" s="18">
        <f t="shared" si="0"/>
        <v>93756.399999999907</v>
      </c>
      <c r="Y5" s="13">
        <f t="shared" ref="Y5:Y18" si="4">W5-X5</f>
        <v>34111.479999999981</v>
      </c>
    </row>
    <row r="6" spans="1:25" s="1" customFormat="1" ht="11.25">
      <c r="A6" s="68">
        <v>3</v>
      </c>
      <c r="B6" s="72" t="s">
        <v>135</v>
      </c>
      <c r="C6" s="281">
        <f>Cruz!I13</f>
        <v>1857495.31</v>
      </c>
      <c r="D6" s="281">
        <v>330232.78000000003</v>
      </c>
      <c r="E6" s="74">
        <f>Cruz!G13</f>
        <v>289882.38</v>
      </c>
      <c r="F6" s="75">
        <v>254318.42</v>
      </c>
      <c r="G6" s="18">
        <f t="shared" si="1"/>
        <v>35563.959999999992</v>
      </c>
      <c r="H6" s="13">
        <f>264666.67</f>
        <v>264666.67</v>
      </c>
      <c r="I6" s="13">
        <f>230219.8</f>
        <v>230219.8</v>
      </c>
      <c r="J6" s="13"/>
      <c r="K6" s="13">
        <v>62262.87</v>
      </c>
      <c r="L6" s="13">
        <f t="shared" ref="L6:L14" si="5">I6-K6</f>
        <v>167956.93</v>
      </c>
      <c r="M6" s="354">
        <f t="shared" ref="M6:M19" si="6">I6-(K6+L6)</f>
        <v>0</v>
      </c>
      <c r="N6" s="354">
        <f>167956.93-L6</f>
        <v>0</v>
      </c>
      <c r="O6" s="51">
        <v>1109144.55</v>
      </c>
      <c r="P6" s="51">
        <v>1673855.43</v>
      </c>
      <c r="Q6" s="13">
        <v>271983.03000000003</v>
      </c>
      <c r="R6" s="13">
        <v>231632.63</v>
      </c>
      <c r="S6" s="13">
        <v>211188.82</v>
      </c>
      <c r="T6" s="13">
        <f t="shared" si="2"/>
        <v>20443.809999999998</v>
      </c>
      <c r="U6" s="18">
        <f t="shared" si="3"/>
        <v>40350.400000000023</v>
      </c>
      <c r="V6" s="18">
        <f>D6-Q6</f>
        <v>58249.75</v>
      </c>
      <c r="W6" s="18">
        <f t="shared" si="0"/>
        <v>58249.75</v>
      </c>
      <c r="X6" s="18">
        <f t="shared" si="0"/>
        <v>43129.600000000006</v>
      </c>
      <c r="Y6" s="13">
        <f t="shared" si="4"/>
        <v>15120.149999999994</v>
      </c>
    </row>
    <row r="7" spans="1:25" s="1" customFormat="1" ht="11.25">
      <c r="A7" s="68">
        <v>4</v>
      </c>
      <c r="B7" s="72" t="s">
        <v>136</v>
      </c>
      <c r="C7" s="281">
        <f>Cruz!I14</f>
        <v>2267014.1</v>
      </c>
      <c r="D7" s="281">
        <v>701889.73</v>
      </c>
      <c r="E7" s="74">
        <f>Cruz!G14</f>
        <v>668993.39</v>
      </c>
      <c r="F7" s="75">
        <v>604833.75</v>
      </c>
      <c r="G7" s="18">
        <f t="shared" si="1"/>
        <v>64159.640000000014</v>
      </c>
      <c r="H7" s="13">
        <f>446850.73</f>
        <v>446850.73</v>
      </c>
      <c r="I7" s="13">
        <f>446850.73</f>
        <v>446850.73</v>
      </c>
      <c r="J7" s="13"/>
      <c r="K7" s="13">
        <f>71262.49</f>
        <v>71262.490000000005</v>
      </c>
      <c r="L7" s="13">
        <f t="shared" si="5"/>
        <v>375588.24</v>
      </c>
      <c r="M7" s="354">
        <f t="shared" si="6"/>
        <v>0</v>
      </c>
      <c r="N7" s="354">
        <f>375588.24-L7</f>
        <v>0</v>
      </c>
      <c r="O7" s="51">
        <v>1659144.37</v>
      </c>
      <c r="P7" s="51">
        <v>1659144.37</v>
      </c>
      <c r="Q7" s="13">
        <v>509519.02</v>
      </c>
      <c r="R7" s="13">
        <v>476622.68</v>
      </c>
      <c r="S7" s="13">
        <v>464273.23</v>
      </c>
      <c r="T7" s="13">
        <f t="shared" si="2"/>
        <v>12349.450000000012</v>
      </c>
      <c r="U7" s="18">
        <f t="shared" si="3"/>
        <v>32896.340000000026</v>
      </c>
      <c r="V7" s="18">
        <f t="shared" ref="V7:V18" si="7">D7-Q7</f>
        <v>192370.70999999996</v>
      </c>
      <c r="W7" s="18">
        <f t="shared" si="0"/>
        <v>192370.71000000002</v>
      </c>
      <c r="X7" s="18">
        <f t="shared" si="0"/>
        <v>140560.52000000002</v>
      </c>
      <c r="Y7" s="13">
        <f t="shared" si="4"/>
        <v>51810.19</v>
      </c>
    </row>
    <row r="8" spans="1:25" s="1" customFormat="1" ht="11.25">
      <c r="A8" s="68">
        <v>5</v>
      </c>
      <c r="B8" s="72" t="s">
        <v>137</v>
      </c>
      <c r="C8" s="281">
        <f>Cruz!I15</f>
        <v>10593557.4</v>
      </c>
      <c r="D8" s="281">
        <v>3457768.37</v>
      </c>
      <c r="E8" s="74">
        <f>Cruz!G15</f>
        <v>3440304.9</v>
      </c>
      <c r="F8" s="75">
        <v>2713376.92</v>
      </c>
      <c r="G8" s="18">
        <f t="shared" si="1"/>
        <v>726927.98</v>
      </c>
      <c r="H8" s="13">
        <f>5533668.74</f>
        <v>5533668.7400000002</v>
      </c>
      <c r="I8" s="13">
        <f>5489981.14+8000</f>
        <v>5497981.1399999997</v>
      </c>
      <c r="J8" s="13"/>
      <c r="K8" s="13">
        <f>668682.74</f>
        <v>668682.74</v>
      </c>
      <c r="L8" s="13">
        <f>I8-K8</f>
        <v>4829298.3999999994</v>
      </c>
      <c r="M8" s="354">
        <f t="shared" si="6"/>
        <v>0</v>
      </c>
      <c r="N8" s="354">
        <f>4829298.4-L8</f>
        <v>0</v>
      </c>
      <c r="O8" s="51">
        <v>1734005.56</v>
      </c>
      <c r="P8" s="51">
        <v>1734005.56</v>
      </c>
      <c r="Q8" s="13">
        <v>564785.74</v>
      </c>
      <c r="R8" s="13">
        <v>547322.27</v>
      </c>
      <c r="S8" s="13">
        <v>527166.31999999995</v>
      </c>
      <c r="T8" s="13">
        <f t="shared" si="2"/>
        <v>20155.95000000007</v>
      </c>
      <c r="U8" s="18">
        <f t="shared" si="3"/>
        <v>17463.469999999972</v>
      </c>
      <c r="V8" s="18">
        <f t="shared" si="7"/>
        <v>2892982.63</v>
      </c>
      <c r="W8" s="18">
        <f t="shared" si="0"/>
        <v>2892982.63</v>
      </c>
      <c r="X8" s="18">
        <f t="shared" si="0"/>
        <v>2186210.6</v>
      </c>
      <c r="Y8" s="13">
        <f t="shared" si="4"/>
        <v>706772.0299999998</v>
      </c>
    </row>
    <row r="9" spans="1:25" s="1" customFormat="1" ht="11.25">
      <c r="A9" s="68">
        <v>6</v>
      </c>
      <c r="B9" s="72" t="s">
        <v>138</v>
      </c>
      <c r="C9" s="281">
        <f>Cruz!I16</f>
        <v>3644754.99</v>
      </c>
      <c r="D9" s="281">
        <v>1323404.53</v>
      </c>
      <c r="E9" s="74">
        <f>Cruz!G16</f>
        <v>1186500.5699999998</v>
      </c>
      <c r="F9" s="75">
        <v>1024874.02</v>
      </c>
      <c r="G9" s="18">
        <f t="shared" si="1"/>
        <v>161626.54999999981</v>
      </c>
      <c r="H9" s="13">
        <f>1059173.79</f>
        <v>1059173.79</v>
      </c>
      <c r="I9" s="13">
        <f>1059173.79</f>
        <v>1059173.79</v>
      </c>
      <c r="J9" s="13"/>
      <c r="K9" s="13">
        <f>220065.37</f>
        <v>220065.37</v>
      </c>
      <c r="L9" s="13">
        <f t="shared" si="5"/>
        <v>839108.42</v>
      </c>
      <c r="M9" s="354">
        <f t="shared" si="6"/>
        <v>0</v>
      </c>
      <c r="N9" s="354">
        <f>839108.42-L9</f>
        <v>0</v>
      </c>
      <c r="O9" s="51">
        <v>2632683.64</v>
      </c>
      <c r="P9" s="51">
        <v>2653383.64</v>
      </c>
      <c r="Q9" s="13">
        <v>1023362.88</v>
      </c>
      <c r="R9" s="13">
        <v>886458.92</v>
      </c>
      <c r="S9" s="13">
        <v>802120.33</v>
      </c>
      <c r="T9" s="13">
        <f t="shared" si="2"/>
        <v>84338.590000000084</v>
      </c>
      <c r="U9" s="18">
        <f t="shared" si="3"/>
        <v>136903.95999999996</v>
      </c>
      <c r="V9" s="18">
        <f t="shared" si="7"/>
        <v>300041.65000000002</v>
      </c>
      <c r="W9" s="18">
        <f t="shared" si="0"/>
        <v>300041.64999999979</v>
      </c>
      <c r="X9" s="18">
        <f t="shared" si="0"/>
        <v>222753.69000000006</v>
      </c>
      <c r="Y9" s="13">
        <f t="shared" si="4"/>
        <v>77287.95999999973</v>
      </c>
    </row>
    <row r="10" spans="1:25" s="1" customFormat="1" ht="11.25">
      <c r="A10" s="68">
        <v>7</v>
      </c>
      <c r="B10" s="72" t="s">
        <v>139</v>
      </c>
      <c r="C10" s="281">
        <f>Cruz!I17</f>
        <v>1407964.61</v>
      </c>
      <c r="D10" s="281">
        <v>318453.05</v>
      </c>
      <c r="E10" s="74">
        <f>Cruz!G17</f>
        <v>277990.65000000002</v>
      </c>
      <c r="F10" s="75">
        <v>243170.27</v>
      </c>
      <c r="G10" s="18">
        <f t="shared" si="1"/>
        <v>34820.380000000034</v>
      </c>
      <c r="H10" s="13">
        <f>230723.23</f>
        <v>230723.23</v>
      </c>
      <c r="I10" s="13">
        <v>230723.23</v>
      </c>
      <c r="J10" s="13"/>
      <c r="K10" s="13">
        <v>81826.399999999994</v>
      </c>
      <c r="L10" s="13">
        <f t="shared" si="5"/>
        <v>148896.83000000002</v>
      </c>
      <c r="M10" s="354">
        <f t="shared" si="6"/>
        <v>0</v>
      </c>
      <c r="N10" s="354">
        <f>148896.83-L10</f>
        <v>0</v>
      </c>
      <c r="O10" s="51">
        <v>1306791.76</v>
      </c>
      <c r="P10" s="51">
        <v>1308514.8600000001</v>
      </c>
      <c r="Q10" s="13">
        <v>283572.75</v>
      </c>
      <c r="R10" s="13">
        <v>243110.35</v>
      </c>
      <c r="S10" s="13">
        <v>217276.57</v>
      </c>
      <c r="T10" s="13">
        <f t="shared" si="2"/>
        <v>25833.78</v>
      </c>
      <c r="U10" s="18">
        <f t="shared" si="3"/>
        <v>40462.399999999994</v>
      </c>
      <c r="V10" s="18">
        <f t="shared" si="7"/>
        <v>34880.299999999988</v>
      </c>
      <c r="W10" s="18">
        <f t="shared" si="0"/>
        <v>34880.300000000017</v>
      </c>
      <c r="X10" s="18">
        <f t="shared" si="0"/>
        <v>25893.699999999983</v>
      </c>
      <c r="Y10" s="13">
        <f t="shared" si="4"/>
        <v>8986.6000000000349</v>
      </c>
    </row>
    <row r="11" spans="1:25" s="1" customFormat="1" ht="11.25">
      <c r="A11" s="68">
        <v>8</v>
      </c>
      <c r="B11" s="72" t="s">
        <v>140</v>
      </c>
      <c r="C11" s="281">
        <f>Cruz!I18</f>
        <v>21624301.149999999</v>
      </c>
      <c r="D11" s="281">
        <v>5781597.4800000004</v>
      </c>
      <c r="E11" s="74">
        <f>Cruz!G18</f>
        <v>3668275.9</v>
      </c>
      <c r="F11" s="75">
        <v>3232189.91</v>
      </c>
      <c r="G11" s="18">
        <f t="shared" si="1"/>
        <v>436085.98999999976</v>
      </c>
      <c r="H11" s="13">
        <f>4821602.64</f>
        <v>4821602.6399999997</v>
      </c>
      <c r="I11" s="385">
        <f>3494854.19+102810.24</f>
        <v>3597664.43</v>
      </c>
      <c r="J11" s="13">
        <f>163.93</f>
        <v>163.93</v>
      </c>
      <c r="K11" s="429">
        <f>1221196.82</f>
        <v>1221196.82</v>
      </c>
      <c r="L11" s="13">
        <f>I11-K11</f>
        <v>2376467.6100000003</v>
      </c>
      <c r="M11" s="354">
        <f t="shared" si="6"/>
        <v>0</v>
      </c>
      <c r="N11" s="354">
        <f>2376467.61-L11</f>
        <v>0</v>
      </c>
      <c r="O11" s="51">
        <v>19652574.84</v>
      </c>
      <c r="P11" s="51">
        <v>19657645.5</v>
      </c>
      <c r="Q11" s="13">
        <v>5213107.0199999996</v>
      </c>
      <c r="R11" s="13">
        <v>3099785.44</v>
      </c>
      <c r="S11" s="13">
        <v>2811895.64</v>
      </c>
      <c r="T11" s="13">
        <f t="shared" si="2"/>
        <v>287889.79999999981</v>
      </c>
      <c r="U11" s="18">
        <f t="shared" si="3"/>
        <v>2113321.5799999996</v>
      </c>
      <c r="V11" s="18">
        <f t="shared" si="7"/>
        <v>568490.46000000089</v>
      </c>
      <c r="W11" s="18">
        <f t="shared" si="0"/>
        <v>568490.46</v>
      </c>
      <c r="X11" s="18">
        <f t="shared" si="0"/>
        <v>420294.27</v>
      </c>
      <c r="Y11" s="13">
        <f t="shared" si="4"/>
        <v>148196.18999999994</v>
      </c>
    </row>
    <row r="12" spans="1:25" s="1" customFormat="1" ht="11.25">
      <c r="A12" s="68">
        <v>9</v>
      </c>
      <c r="B12" s="72" t="s">
        <v>141</v>
      </c>
      <c r="C12" s="281">
        <f>Cruz!I19</f>
        <v>48288482.170000002</v>
      </c>
      <c r="D12" s="281">
        <v>14656486.57</v>
      </c>
      <c r="E12" s="74">
        <f>Cruz!G19</f>
        <v>13904042.760000002</v>
      </c>
      <c r="F12" s="75">
        <v>12368787.24</v>
      </c>
      <c r="G12" s="18">
        <f t="shared" si="1"/>
        <v>1535255.5200000014</v>
      </c>
      <c r="H12" s="13">
        <f>7281022.38</f>
        <v>7281022.3799999999</v>
      </c>
      <c r="I12" s="385">
        <f>5825229.62+375200.57</f>
        <v>6200430.1900000004</v>
      </c>
      <c r="J12" s="13">
        <f>15251.34</f>
        <v>15251.34</v>
      </c>
      <c r="K12" s="429">
        <f>2064186.96</f>
        <v>2064186.96</v>
      </c>
      <c r="L12" s="13">
        <f>I12-K12</f>
        <v>4136243.2300000004</v>
      </c>
      <c r="M12" s="354">
        <f t="shared" si="6"/>
        <v>0</v>
      </c>
      <c r="N12" s="354">
        <f>4136243.23-L12</f>
        <v>0</v>
      </c>
      <c r="O12" s="51">
        <v>35134639.18</v>
      </c>
      <c r="P12" s="51">
        <v>36925324.100000001</v>
      </c>
      <c r="Q12" s="13">
        <v>10687656.67</v>
      </c>
      <c r="R12" s="13">
        <v>9935212.8599999994</v>
      </c>
      <c r="S12" s="13">
        <v>9449885.3699999992</v>
      </c>
      <c r="T12" s="13">
        <f t="shared" si="2"/>
        <v>485327.49000000022</v>
      </c>
      <c r="U12" s="18">
        <f t="shared" si="3"/>
        <v>752443.81000000052</v>
      </c>
      <c r="V12" s="18">
        <f t="shared" si="7"/>
        <v>3968829.9000000004</v>
      </c>
      <c r="W12" s="18">
        <f t="shared" si="0"/>
        <v>3968829.9000000022</v>
      </c>
      <c r="X12" s="18">
        <f t="shared" si="0"/>
        <v>2918901.870000001</v>
      </c>
      <c r="Y12" s="13">
        <f t="shared" si="4"/>
        <v>1049928.0300000012</v>
      </c>
    </row>
    <row r="13" spans="1:25" s="1" customFormat="1" ht="11.25">
      <c r="A13" s="68">
        <v>10</v>
      </c>
      <c r="B13" s="72" t="s">
        <v>142</v>
      </c>
      <c r="C13" s="281">
        <f>Cruz!I20</f>
        <v>30351081.420000002</v>
      </c>
      <c r="D13" s="281">
        <v>11268617.970000001</v>
      </c>
      <c r="E13" s="74">
        <f>Cruz!G20</f>
        <v>9857243.6799999997</v>
      </c>
      <c r="F13" s="75">
        <v>8468160.1500000004</v>
      </c>
      <c r="G13" s="18">
        <f t="shared" si="1"/>
        <v>1389083.5299999993</v>
      </c>
      <c r="H13" s="13">
        <f>6685202.81</f>
        <v>6685202.8099999996</v>
      </c>
      <c r="I13" s="13">
        <f>6583635.16+57445.64</f>
        <v>6641080.7999999998</v>
      </c>
      <c r="J13" s="385">
        <v>2975.25</v>
      </c>
      <c r="K13" s="429">
        <f>1642345.2</f>
        <v>1642345.2</v>
      </c>
      <c r="L13" s="13">
        <f t="shared" si="5"/>
        <v>4998735.5999999996</v>
      </c>
      <c r="M13" s="354">
        <f t="shared" si="6"/>
        <v>0</v>
      </c>
      <c r="N13" s="354">
        <f>4998735.6-L13</f>
        <v>0</v>
      </c>
      <c r="O13" s="51">
        <v>23931166.809999999</v>
      </c>
      <c r="P13" s="51">
        <v>24772592.079999998</v>
      </c>
      <c r="Q13" s="13">
        <v>9521813.2599999998</v>
      </c>
      <c r="R13" s="13">
        <v>8110438.9699999997</v>
      </c>
      <c r="S13" s="13">
        <v>7175601.1299999999</v>
      </c>
      <c r="T13" s="13">
        <f t="shared" si="2"/>
        <v>934837.83999999985</v>
      </c>
      <c r="U13" s="18">
        <f t="shared" si="3"/>
        <v>1411374.29</v>
      </c>
      <c r="V13" s="18">
        <f t="shared" si="7"/>
        <v>1746804.7100000009</v>
      </c>
      <c r="W13" s="18">
        <f t="shared" si="0"/>
        <v>1746804.71</v>
      </c>
      <c r="X13" s="18">
        <f t="shared" si="0"/>
        <v>1292559.0200000005</v>
      </c>
      <c r="Y13" s="13">
        <f t="shared" si="4"/>
        <v>454245.68999999948</v>
      </c>
    </row>
    <row r="14" spans="1:25" s="1" customFormat="1" ht="11.25">
      <c r="A14" s="68">
        <v>11</v>
      </c>
      <c r="B14" s="72" t="s">
        <v>143</v>
      </c>
      <c r="C14" s="281">
        <f>Cruz!I21</f>
        <v>4840182.17</v>
      </c>
      <c r="D14" s="281">
        <v>1485623.98</v>
      </c>
      <c r="E14" s="74">
        <f>Cruz!G21</f>
        <v>1255014.28</v>
      </c>
      <c r="F14" s="75">
        <v>1129521.44</v>
      </c>
      <c r="G14" s="18">
        <f t="shared" si="1"/>
        <v>125492.84000000008</v>
      </c>
      <c r="H14" s="13">
        <f>902825.86</f>
        <v>902825.86</v>
      </c>
      <c r="I14" s="13">
        <f>902141.83</f>
        <v>902141.83</v>
      </c>
      <c r="J14" s="13"/>
      <c r="K14" s="13">
        <f>190046.89</f>
        <v>190046.89</v>
      </c>
      <c r="L14" s="13">
        <f t="shared" si="5"/>
        <v>712094.94</v>
      </c>
      <c r="M14" s="354">
        <f t="shared" si="6"/>
        <v>0</v>
      </c>
      <c r="N14" s="354">
        <f>712094.94-L14</f>
        <v>0</v>
      </c>
      <c r="O14" s="51">
        <v>4133525.81</v>
      </c>
      <c r="P14" s="51">
        <v>4161194.98</v>
      </c>
      <c r="Q14" s="13">
        <v>1263799</v>
      </c>
      <c r="R14" s="13">
        <v>1033189.3</v>
      </c>
      <c r="S14" s="13">
        <v>967160.37</v>
      </c>
      <c r="T14" s="13">
        <f t="shared" si="2"/>
        <v>66028.930000000051</v>
      </c>
      <c r="U14" s="18">
        <f t="shared" si="3"/>
        <v>230609.69999999995</v>
      </c>
      <c r="V14" s="18">
        <f t="shared" si="7"/>
        <v>221824.97999999998</v>
      </c>
      <c r="W14" s="18">
        <f t="shared" si="0"/>
        <v>221824.97999999998</v>
      </c>
      <c r="X14" s="18">
        <f t="shared" si="0"/>
        <v>162361.06999999995</v>
      </c>
      <c r="Y14" s="13">
        <f t="shared" si="4"/>
        <v>59463.910000000033</v>
      </c>
    </row>
    <row r="15" spans="1:25" s="1" customFormat="1" ht="11.25">
      <c r="A15" s="68">
        <v>12</v>
      </c>
      <c r="B15" s="72" t="s">
        <v>144</v>
      </c>
      <c r="C15" s="281">
        <f>Cruz!I22</f>
        <v>2524358.2400000002</v>
      </c>
      <c r="D15" s="281">
        <v>542033.44999999995</v>
      </c>
      <c r="E15" s="74">
        <f>Cruz!G22</f>
        <v>482833.30999999994</v>
      </c>
      <c r="F15" s="75">
        <v>408499.07</v>
      </c>
      <c r="G15" s="18">
        <f t="shared" si="1"/>
        <v>74334.239999999932</v>
      </c>
      <c r="H15" s="13">
        <f>556940.07</f>
        <v>556940.06999999995</v>
      </c>
      <c r="I15" s="13">
        <f>551699.57</f>
        <v>551699.56999999995</v>
      </c>
      <c r="J15" s="13"/>
      <c r="K15" s="13">
        <f>142421.43</f>
        <v>142421.43</v>
      </c>
      <c r="L15" s="13">
        <f>I15-K15</f>
        <v>409278.13999999996</v>
      </c>
      <c r="M15" s="354">
        <f t="shared" si="6"/>
        <v>0</v>
      </c>
      <c r="N15" s="354">
        <f>409278.14-L15</f>
        <v>0</v>
      </c>
      <c r="O15" s="51">
        <v>1963731</v>
      </c>
      <c r="P15" s="51">
        <v>2207256</v>
      </c>
      <c r="Q15" s="13">
        <v>434599.82</v>
      </c>
      <c r="R15" s="13">
        <v>375399.67999999999</v>
      </c>
      <c r="S15" s="13">
        <v>333650.12</v>
      </c>
      <c r="T15" s="13">
        <f t="shared" si="2"/>
        <v>41749.56</v>
      </c>
      <c r="U15" s="18">
        <f t="shared" si="3"/>
        <v>59200.140000000014</v>
      </c>
      <c r="V15" s="18">
        <f t="shared" si="7"/>
        <v>107433.62999999995</v>
      </c>
      <c r="W15" s="18">
        <f>E15-R15</f>
        <v>107433.62999999995</v>
      </c>
      <c r="X15" s="18">
        <f t="shared" si="0"/>
        <v>74848.950000000012</v>
      </c>
      <c r="Y15" s="13">
        <f t="shared" si="4"/>
        <v>32584.679999999935</v>
      </c>
    </row>
    <row r="16" spans="1:25" s="1" customFormat="1" ht="11.25">
      <c r="A16" s="68">
        <v>13</v>
      </c>
      <c r="B16" s="72" t="s">
        <v>145</v>
      </c>
      <c r="C16" s="281">
        <f>Cruz!I23</f>
        <v>3314487.98</v>
      </c>
      <c r="D16" s="281">
        <v>1998157.94</v>
      </c>
      <c r="E16" s="74">
        <f>Cruz!G23</f>
        <v>1200091.98</v>
      </c>
      <c r="F16" s="75">
        <v>951188.88</v>
      </c>
      <c r="G16" s="18">
        <f t="shared" si="1"/>
        <v>248903.09999999998</v>
      </c>
      <c r="H16" s="13">
        <f>258186.02</f>
        <v>258186.02</v>
      </c>
      <c r="I16" s="13">
        <f>257216.5</f>
        <v>257216.5</v>
      </c>
      <c r="J16" s="13"/>
      <c r="K16" s="13">
        <f>46908.18</f>
        <v>46908.18</v>
      </c>
      <c r="L16" s="385">
        <f>I16-K16</f>
        <v>210308.32</v>
      </c>
      <c r="M16" s="354">
        <f t="shared" si="6"/>
        <v>0</v>
      </c>
      <c r="N16" s="354">
        <f>210308.32-L16</f>
        <v>0</v>
      </c>
      <c r="O16" s="51">
        <v>2948144.89</v>
      </c>
      <c r="P16" s="51">
        <v>2928044.89</v>
      </c>
      <c r="Q16" s="13">
        <v>1873093.22</v>
      </c>
      <c r="R16" s="316">
        <v>1075027.26</v>
      </c>
      <c r="S16" s="13">
        <v>858060.77</v>
      </c>
      <c r="T16" s="13">
        <f t="shared" si="2"/>
        <v>216966.49</v>
      </c>
      <c r="U16" s="18">
        <f t="shared" si="3"/>
        <v>798065.96</v>
      </c>
      <c r="V16" s="18">
        <f t="shared" si="7"/>
        <v>125064.71999999997</v>
      </c>
      <c r="W16" s="18">
        <f t="shared" si="0"/>
        <v>125064.71999999997</v>
      </c>
      <c r="X16" s="18">
        <f t="shared" si="0"/>
        <v>93128.109999999986</v>
      </c>
      <c r="Y16" s="13">
        <f t="shared" si="4"/>
        <v>31936.609999999986</v>
      </c>
    </row>
    <row r="17" spans="1:25" s="1" customFormat="1" ht="11.25">
      <c r="A17" s="68">
        <v>15</v>
      </c>
      <c r="B17" s="72" t="s">
        <v>146</v>
      </c>
      <c r="C17" s="73">
        <f>Cruz!I25</f>
        <v>41552033.469999999</v>
      </c>
      <c r="D17" s="73">
        <v>8796740.0099999998</v>
      </c>
      <c r="E17" s="74">
        <f>Cruz!G25</f>
        <v>8789012.8900000006</v>
      </c>
      <c r="F17" s="75">
        <v>8783251.1199999992</v>
      </c>
      <c r="G17" s="18">
        <f t="shared" si="1"/>
        <v>5761.7700000014156</v>
      </c>
      <c r="H17" s="13">
        <f>44620.01</f>
        <v>44620.01</v>
      </c>
      <c r="I17" s="13">
        <v>44620.01</v>
      </c>
      <c r="J17" s="13"/>
      <c r="K17" s="13">
        <v>1096.22</v>
      </c>
      <c r="L17" s="13">
        <f>I17-K17</f>
        <v>43523.79</v>
      </c>
      <c r="M17" s="354">
        <f t="shared" si="6"/>
        <v>0</v>
      </c>
      <c r="N17" s="354">
        <f>43523.79-L17</f>
        <v>0</v>
      </c>
      <c r="O17" s="51">
        <v>41552033.469999999</v>
      </c>
      <c r="P17" s="51">
        <v>41552033.469999999</v>
      </c>
      <c r="Q17" s="13">
        <v>8796740.0099999998</v>
      </c>
      <c r="R17" s="13">
        <v>8789012.8900000006</v>
      </c>
      <c r="S17" s="13">
        <v>8783251.1199999992</v>
      </c>
      <c r="T17" s="13">
        <f t="shared" si="2"/>
        <v>5761.7700000014156</v>
      </c>
      <c r="U17" s="18">
        <f t="shared" si="3"/>
        <v>7727.1199999991804</v>
      </c>
      <c r="V17" s="18">
        <f t="shared" si="7"/>
        <v>0</v>
      </c>
      <c r="W17" s="18">
        <f t="shared" si="0"/>
        <v>0</v>
      </c>
      <c r="X17" s="18">
        <f t="shared" si="0"/>
        <v>0</v>
      </c>
      <c r="Y17" s="13">
        <f t="shared" si="4"/>
        <v>0</v>
      </c>
    </row>
    <row r="18" spans="1:25" s="1" customFormat="1" ht="11.25">
      <c r="A18" s="68">
        <v>16</v>
      </c>
      <c r="B18" s="72" t="s">
        <v>147</v>
      </c>
      <c r="C18" s="73">
        <f>Cruz!I26</f>
        <v>4343603.46</v>
      </c>
      <c r="D18" s="73">
        <v>2299174.75</v>
      </c>
      <c r="E18" s="74">
        <f>Cruz!G26</f>
        <v>927876.3600000001</v>
      </c>
      <c r="F18" s="75">
        <v>897892.81</v>
      </c>
      <c r="G18" s="18">
        <f>E18-F18</f>
        <v>29983.550000000047</v>
      </c>
      <c r="H18" s="13">
        <f>36283.16</f>
        <v>36283.160000000003</v>
      </c>
      <c r="I18" s="13">
        <v>36283.160000000003</v>
      </c>
      <c r="J18" s="13"/>
      <c r="K18" s="13">
        <f>36283.16</f>
        <v>36283.160000000003</v>
      </c>
      <c r="L18" s="13">
        <f>I18-K18</f>
        <v>0</v>
      </c>
      <c r="M18" s="354">
        <f t="shared" si="6"/>
        <v>0</v>
      </c>
      <c r="N18" s="354"/>
      <c r="O18" s="51">
        <v>4343603.46</v>
      </c>
      <c r="P18" s="51">
        <v>4343603.46</v>
      </c>
      <c r="Q18" s="13">
        <v>2299174.75</v>
      </c>
      <c r="R18" s="13">
        <v>927876.36</v>
      </c>
      <c r="S18" s="13">
        <v>897892.81</v>
      </c>
      <c r="T18" s="13">
        <f t="shared" si="2"/>
        <v>29983.54999999993</v>
      </c>
      <c r="U18" s="18">
        <f t="shared" si="3"/>
        <v>1371298.3900000001</v>
      </c>
      <c r="V18" s="18">
        <f t="shared" si="7"/>
        <v>0</v>
      </c>
      <c r="W18" s="18">
        <f t="shared" si="0"/>
        <v>0</v>
      </c>
      <c r="X18" s="18">
        <f t="shared" si="0"/>
        <v>0</v>
      </c>
      <c r="Y18" s="13">
        <f t="shared" si="4"/>
        <v>0</v>
      </c>
    </row>
    <row r="19" spans="1:25" s="1" customFormat="1" ht="11.25">
      <c r="C19" s="372">
        <f t="shared" ref="C19:G19" si="8">SUM(C4:C18)</f>
        <v>183734319.18000001</v>
      </c>
      <c r="D19" s="372">
        <f t="shared" si="8"/>
        <v>55310851.459999993</v>
      </c>
      <c r="E19" s="378">
        <f>SUM(E4:E18)</f>
        <v>48032222.039999999</v>
      </c>
      <c r="F19" s="378">
        <f t="shared" si="8"/>
        <v>43048470.619999997</v>
      </c>
      <c r="G19" s="378">
        <f t="shared" si="8"/>
        <v>4983751.4200000009</v>
      </c>
      <c r="H19" s="417">
        <f>SUM(H4:H18)</f>
        <v>28481864.460000001</v>
      </c>
      <c r="I19" s="13">
        <f>SUM(I4:I18)</f>
        <v>26056183.530000001</v>
      </c>
      <c r="J19" s="13">
        <f>SUM(J4:J18)</f>
        <v>18390.52</v>
      </c>
      <c r="K19" s="432">
        <f>SUM(K4:K18)</f>
        <v>6520001.169999999</v>
      </c>
      <c r="L19" s="429">
        <f>SUM(L4:L18)</f>
        <v>19536182.360000003</v>
      </c>
      <c r="M19" s="354">
        <f t="shared" si="6"/>
        <v>0</v>
      </c>
      <c r="N19" s="354"/>
      <c r="O19" s="339">
        <f>SUM(O4:O18)</f>
        <v>148294379.27000001</v>
      </c>
      <c r="P19" s="339">
        <f t="shared" ref="P19:U19" si="9">SUM(P4:P18)</f>
        <v>151674788.27000001</v>
      </c>
      <c r="Q19" s="339">
        <f t="shared" si="9"/>
        <v>44896808.419999994</v>
      </c>
      <c r="R19" s="339">
        <f t="shared" si="9"/>
        <v>37618179</v>
      </c>
      <c r="S19" s="339">
        <f t="shared" si="9"/>
        <v>35322546.580000006</v>
      </c>
      <c r="T19" s="339">
        <f t="shared" si="9"/>
        <v>2295632.4200000018</v>
      </c>
      <c r="U19" s="339">
        <f t="shared" si="9"/>
        <v>7278629.4199999981</v>
      </c>
      <c r="V19" s="339">
        <f>SUM(V4:V18)</f>
        <v>10414043.040000003</v>
      </c>
      <c r="W19" s="339">
        <f>SUM(W4:W18)</f>
        <v>10414043.040000003</v>
      </c>
      <c r="X19" s="339">
        <f>SUM(X4:X18)</f>
        <v>7725924.0400000019</v>
      </c>
      <c r="Y19" s="339">
        <f>SUM(Y4:Y18)</f>
        <v>2688118.9999999995</v>
      </c>
    </row>
    <row r="20" spans="1:25" s="1" customFormat="1" ht="11.25">
      <c r="A20" s="5"/>
      <c r="B20" s="375" t="s">
        <v>229</v>
      </c>
      <c r="C20" s="13">
        <f>C19+Cruz!I24-Cruz!I27</f>
        <v>0</v>
      </c>
      <c r="D20" s="13">
        <f>55310851.46-D19</f>
        <v>0</v>
      </c>
      <c r="E20" s="75">
        <f>48032222.04-E19</f>
        <v>0</v>
      </c>
      <c r="F20" s="75">
        <f>43048470.62-F19</f>
        <v>0</v>
      </c>
      <c r="G20" s="75">
        <f>4983751.42-G19</f>
        <v>0</v>
      </c>
      <c r="H20" s="13">
        <f>28481864.46-H19</f>
        <v>0</v>
      </c>
      <c r="I20" s="13">
        <f>26056183.53-I19</f>
        <v>0</v>
      </c>
      <c r="J20" s="13">
        <f>18390.52-J19</f>
        <v>0</v>
      </c>
      <c r="K20" s="13">
        <f>6520001.17-K19</f>
        <v>0</v>
      </c>
      <c r="L20" s="13">
        <f>19517827.84+J19-L19</f>
        <v>35.99999999627471</v>
      </c>
      <c r="M20" s="354"/>
      <c r="N20" s="354"/>
      <c r="O20" s="3" t="s">
        <v>1199</v>
      </c>
      <c r="P20" s="354">
        <f>151675497.12-P19</f>
        <v>708.84999999403954</v>
      </c>
      <c r="Q20" s="354">
        <f>44896808.42-Q19</f>
        <v>0</v>
      </c>
      <c r="R20" s="371">
        <f>37618179-R19</f>
        <v>0</v>
      </c>
      <c r="S20" s="371">
        <f>35322546.58-S19</f>
        <v>0</v>
      </c>
      <c r="T20" s="371">
        <f>2295632.42-T19</f>
        <v>0</v>
      </c>
      <c r="U20" s="354">
        <f>(9574261.84-T19)-U19</f>
        <v>0</v>
      </c>
      <c r="W20" s="474"/>
      <c r="Y20" s="371">
        <f>T19+Y19</f>
        <v>4983751.4200000018</v>
      </c>
    </row>
    <row r="21" spans="1:25" s="1" customFormat="1" ht="11.25">
      <c r="B21" s="77" t="s">
        <v>1772</v>
      </c>
      <c r="E21" s="78"/>
      <c r="F21" s="78"/>
      <c r="G21" s="78"/>
      <c r="H21" s="367"/>
      <c r="I21" s="379"/>
      <c r="J21" s="371"/>
      <c r="K21" s="376"/>
      <c r="L21" s="371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</row>
    <row r="22" spans="1:25" s="1" customFormat="1" ht="11.25">
      <c r="B22" s="367"/>
      <c r="E22" s="78"/>
      <c r="F22" s="78"/>
      <c r="G22" s="78"/>
      <c r="H22" s="367"/>
      <c r="I22" s="379"/>
      <c r="J22" s="367"/>
      <c r="K22" s="376"/>
      <c r="L22" s="371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</row>
    <row r="23" spans="1:25" s="1" customFormat="1" ht="11.25">
      <c r="B23" s="79"/>
      <c r="E23" s="78"/>
      <c r="F23" s="80" t="s">
        <v>599</v>
      </c>
      <c r="G23" s="78"/>
      <c r="H23" s="367"/>
      <c r="I23" s="379"/>
      <c r="J23" s="367"/>
      <c r="K23" s="376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4"/>
    </row>
    <row r="24" spans="1:25" s="1" customFormat="1" ht="11.25">
      <c r="B24" s="79"/>
      <c r="E24" s="78"/>
      <c r="G24" s="78"/>
      <c r="H24" s="354">
        <f>28481864.46-H19</f>
        <v>0</v>
      </c>
      <c r="I24" s="367" t="s">
        <v>697</v>
      </c>
      <c r="M24" s="354"/>
      <c r="N24" s="354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</row>
    <row r="25" spans="1:25" s="1" customFormat="1" ht="11.25">
      <c r="B25" s="79"/>
      <c r="E25" s="78"/>
      <c r="F25" s="78"/>
      <c r="G25" s="387" t="s">
        <v>1773</v>
      </c>
      <c r="H25" s="383">
        <f>(19483404.2-L19)</f>
        <v>-52778.160000003874</v>
      </c>
      <c r="I25" s="1" t="s">
        <v>588</v>
      </c>
      <c r="J25" s="367"/>
      <c r="K25" s="367"/>
      <c r="L25" s="354">
        <f>H25+18354.52</f>
        <v>-34423.64000000387</v>
      </c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4"/>
    </row>
    <row r="26" spans="1:25" s="1" customFormat="1" ht="11.25">
      <c r="B26" s="79"/>
      <c r="C26" s="452"/>
      <c r="D26" s="367"/>
      <c r="E26" s="78"/>
      <c r="F26" s="78"/>
      <c r="G26" s="377" t="s">
        <v>1222</v>
      </c>
      <c r="H26" s="354">
        <f>(5828739.82)-K19</f>
        <v>-691261.3499999987</v>
      </c>
      <c r="I26" s="367" t="s">
        <v>587</v>
      </c>
      <c r="J26" s="367"/>
      <c r="K26" s="367"/>
      <c r="L26" s="371">
        <f>K19+H26</f>
        <v>5828739.8200000003</v>
      </c>
      <c r="M26" s="354">
        <f>691261.35+H26</f>
        <v>1.280568540096283E-9</v>
      </c>
      <c r="N26" s="354"/>
      <c r="O26" s="354"/>
      <c r="P26" s="354"/>
      <c r="Q26" s="354"/>
      <c r="R26" s="354"/>
      <c r="S26" s="354"/>
      <c r="T26" s="354"/>
      <c r="U26" s="354"/>
      <c r="V26" s="354"/>
      <c r="W26" s="354"/>
      <c r="X26" s="354"/>
      <c r="Y26" s="354"/>
    </row>
    <row r="27" spans="1:25" s="1" customFormat="1" ht="12.75">
      <c r="B27" s="79"/>
      <c r="D27" s="371"/>
      <c r="E27" s="369"/>
      <c r="F27" s="369"/>
      <c r="G27" s="380" t="s">
        <v>590</v>
      </c>
      <c r="H27" s="381">
        <f>(18190.59+163.93)-J19</f>
        <v>-36</v>
      </c>
      <c r="I27" s="370" t="s">
        <v>589</v>
      </c>
      <c r="J27" s="370"/>
      <c r="K27" s="370"/>
      <c r="L27" s="382">
        <f>J19+H27</f>
        <v>18354.52</v>
      </c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</row>
    <row r="28" spans="1:25" s="1" customFormat="1" ht="11.25">
      <c r="B28" s="79"/>
      <c r="E28" s="78"/>
      <c r="F28" s="78"/>
      <c r="G28" s="78"/>
      <c r="H28" s="354"/>
      <c r="I28" s="367"/>
      <c r="J28" s="367"/>
      <c r="K28" s="367"/>
      <c r="L28" s="371"/>
      <c r="M28" s="354"/>
      <c r="N28" s="354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</row>
    <row r="29" spans="1:25" s="1" customFormat="1" ht="11.25">
      <c r="B29" s="433"/>
      <c r="C29" s="434"/>
      <c r="D29" s="434" t="s">
        <v>693</v>
      </c>
      <c r="E29" s="369"/>
      <c r="F29" s="369"/>
      <c r="G29" s="435"/>
      <c r="H29" s="317"/>
      <c r="I29" s="434" t="s">
        <v>694</v>
      </c>
      <c r="J29" s="434"/>
      <c r="K29" s="370"/>
      <c r="L29" s="436"/>
      <c r="M29" s="437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</row>
    <row r="30" spans="1:25">
      <c r="B30" s="425" t="s">
        <v>481</v>
      </c>
      <c r="C30" s="426"/>
      <c r="D30" s="424" t="s">
        <v>602</v>
      </c>
      <c r="E30" s="71" t="s">
        <v>600</v>
      </c>
      <c r="F30" s="423" t="s">
        <v>601</v>
      </c>
      <c r="G30" s="71" t="s">
        <v>603</v>
      </c>
      <c r="H30" s="70" t="s">
        <v>604</v>
      </c>
      <c r="I30" s="70" t="s">
        <v>688</v>
      </c>
      <c r="J30" s="70" t="s">
        <v>689</v>
      </c>
      <c r="K30" s="70" t="s">
        <v>612</v>
      </c>
      <c r="L30" s="430" t="s">
        <v>695</v>
      </c>
      <c r="M30" s="70" t="s">
        <v>696</v>
      </c>
      <c r="R30" s="1"/>
      <c r="S30" s="1"/>
      <c r="T30" s="1"/>
      <c r="U30" s="1"/>
      <c r="V30" s="1"/>
      <c r="W30" s="1"/>
      <c r="X30" s="1"/>
      <c r="Y30" s="1"/>
    </row>
    <row r="31" spans="1:25">
      <c r="B31" s="5" t="s">
        <v>149</v>
      </c>
      <c r="C31" s="81">
        <f>Cruz!H16</f>
        <v>41645237.340000004</v>
      </c>
      <c r="D31" s="339">
        <f>SUM(D4:D16)</f>
        <v>44214936.699999996</v>
      </c>
      <c r="E31" s="18">
        <f>SUM(E4:E16)</f>
        <v>38315332.789999999</v>
      </c>
      <c r="F31" s="18">
        <f>SUM(F4:F16)</f>
        <v>33367326.689999998</v>
      </c>
      <c r="G31" s="428">
        <f>C31-F31</f>
        <v>8277910.650000006</v>
      </c>
      <c r="H31" s="18">
        <f>E31-F31</f>
        <v>4948006.1000000015</v>
      </c>
      <c r="I31" s="18">
        <f>SUM(H4:H16)</f>
        <v>28400961.289999999</v>
      </c>
      <c r="J31" s="339">
        <f>SUM(I4:I16)</f>
        <v>25975280.359999999</v>
      </c>
      <c r="K31" s="428">
        <f>SUM(K4:K16)</f>
        <v>6482621.7899999991</v>
      </c>
      <c r="L31" s="428">
        <f>SUM(L4:L16)</f>
        <v>19492658.570000004</v>
      </c>
      <c r="M31" s="13">
        <f>C31-(F31+K31)</f>
        <v>1795288.8600000069</v>
      </c>
      <c r="R31" s="1"/>
      <c r="S31" s="1"/>
      <c r="T31" s="1"/>
      <c r="U31" s="1"/>
      <c r="V31" s="1"/>
      <c r="W31" s="1"/>
      <c r="X31" s="1"/>
      <c r="Y31" s="1"/>
    </row>
    <row r="32" spans="1:25">
      <c r="B32" s="5" t="s">
        <v>146</v>
      </c>
      <c r="C32" s="82">
        <f>Cruz!H25</f>
        <v>12449529.82</v>
      </c>
      <c r="D32" s="18">
        <f t="shared" ref="D32:F33" si="10">D17</f>
        <v>8796740.0099999998</v>
      </c>
      <c r="E32" s="18">
        <f t="shared" si="10"/>
        <v>8789012.8900000006</v>
      </c>
      <c r="F32" s="18">
        <f t="shared" si="10"/>
        <v>8783251.1199999992</v>
      </c>
      <c r="G32" s="18">
        <f>C32-F32</f>
        <v>3666278.7000000011</v>
      </c>
      <c r="H32" s="18">
        <f>E32-F32</f>
        <v>5761.7700000014156</v>
      </c>
      <c r="I32" s="18">
        <f>H17</f>
        <v>44620.01</v>
      </c>
      <c r="J32" s="18">
        <f t="shared" ref="J32" si="11">I17</f>
        <v>44620.01</v>
      </c>
      <c r="K32" s="18">
        <f>K17</f>
        <v>1096.22</v>
      </c>
      <c r="L32" s="18">
        <f>L17</f>
        <v>43523.79</v>
      </c>
      <c r="M32" s="439">
        <f>C32-(F32+K32)</f>
        <v>3665182.4800000004</v>
      </c>
      <c r="R32" s="1"/>
      <c r="S32" s="1"/>
      <c r="T32" s="1"/>
      <c r="U32" s="1"/>
      <c r="V32" s="1"/>
      <c r="W32" s="1"/>
      <c r="X32" s="1"/>
      <c r="Y32" s="1"/>
    </row>
    <row r="33" spans="1:26">
      <c r="B33" s="5" t="s">
        <v>147</v>
      </c>
      <c r="C33" s="196">
        <f>Cruz!H26</f>
        <v>1698498.54</v>
      </c>
      <c r="D33" s="18">
        <f t="shared" si="10"/>
        <v>2299174.75</v>
      </c>
      <c r="E33" s="18">
        <f t="shared" si="10"/>
        <v>927876.3600000001</v>
      </c>
      <c r="F33" s="18">
        <f t="shared" si="10"/>
        <v>897892.81</v>
      </c>
      <c r="G33" s="18">
        <f>C33-F33</f>
        <v>800605.73</v>
      </c>
      <c r="H33" s="18">
        <f>E33-F33</f>
        <v>29983.550000000047</v>
      </c>
      <c r="I33" s="18">
        <f>H18</f>
        <v>36283.160000000003</v>
      </c>
      <c r="J33" s="18">
        <f t="shared" ref="J33" si="12">I18</f>
        <v>36283.160000000003</v>
      </c>
      <c r="K33" s="18">
        <f>K18</f>
        <v>36283.160000000003</v>
      </c>
      <c r="L33" s="18">
        <f>L18</f>
        <v>0</v>
      </c>
      <c r="M33" s="13">
        <f>C33-(F33+K33)</f>
        <v>764322.57</v>
      </c>
      <c r="R33" s="1"/>
      <c r="S33" s="1"/>
      <c r="T33" s="1"/>
      <c r="U33" s="1"/>
      <c r="V33" s="1"/>
      <c r="W33" s="1"/>
      <c r="X33" s="1"/>
      <c r="Y33" s="1"/>
    </row>
    <row r="34" spans="1:26">
      <c r="B34" s="5" t="s">
        <v>150</v>
      </c>
      <c r="C34" s="83">
        <f t="shared" ref="C34:J34" si="13">SUM(C31:C33)</f>
        <v>55793265.700000003</v>
      </c>
      <c r="D34" s="83">
        <f t="shared" si="13"/>
        <v>55310851.459999993</v>
      </c>
      <c r="E34" s="83">
        <f t="shared" si="13"/>
        <v>48032222.039999999</v>
      </c>
      <c r="F34" s="83">
        <f t="shared" si="13"/>
        <v>43048470.619999997</v>
      </c>
      <c r="G34" s="446">
        <f>SUM(G31:G33)</f>
        <v>12744795.080000008</v>
      </c>
      <c r="H34" s="83">
        <f t="shared" si="13"/>
        <v>4983751.4200000027</v>
      </c>
      <c r="I34" s="83">
        <f t="shared" si="13"/>
        <v>28481864.460000001</v>
      </c>
      <c r="J34" s="121">
        <f t="shared" si="13"/>
        <v>26056183.530000001</v>
      </c>
      <c r="K34" s="438">
        <f>SUM(K31:K33)</f>
        <v>6520001.169999999</v>
      </c>
      <c r="L34" s="431">
        <f>SUM(L31:L33)</f>
        <v>19536182.360000003</v>
      </c>
      <c r="M34" s="445">
        <f>SUM(M31:M33)</f>
        <v>6224793.9100000076</v>
      </c>
      <c r="R34" s="1"/>
      <c r="S34" s="1"/>
      <c r="T34" s="1"/>
      <c r="U34" s="1"/>
      <c r="V34" s="1"/>
      <c r="W34" s="1"/>
      <c r="X34" s="1"/>
      <c r="Y34" s="1"/>
    </row>
    <row r="35" spans="1:26" s="1" customFormat="1" ht="11.25">
      <c r="B35" s="336" t="s">
        <v>763</v>
      </c>
      <c r="C35" s="336"/>
      <c r="D35" s="336"/>
      <c r="E35" s="450"/>
      <c r="F35" s="336"/>
      <c r="G35" s="336"/>
      <c r="H35" s="451">
        <f>C34-E34</f>
        <v>7761043.6600000039</v>
      </c>
      <c r="I35" s="336" t="s">
        <v>1776</v>
      </c>
      <c r="J35" s="336"/>
      <c r="K35" s="336"/>
      <c r="L35" s="451">
        <f>(D19-F19)+(L19)</f>
        <v>31798563.199999999</v>
      </c>
    </row>
    <row r="36" spans="1:26" s="1" customFormat="1" ht="11.25">
      <c r="M36" s="367"/>
    </row>
    <row r="37" spans="1:26" s="384" customFormat="1">
      <c r="M37" s="454"/>
      <c r="Z37" s="1"/>
    </row>
    <row r="38" spans="1:26" s="384" customFormat="1">
      <c r="A38"/>
      <c r="B38"/>
      <c r="C38"/>
      <c r="D38"/>
      <c r="E38"/>
      <c r="M38" s="454"/>
      <c r="R38" s="55" t="s">
        <v>99</v>
      </c>
      <c r="S38" s="1"/>
      <c r="T38" s="55" t="s">
        <v>100</v>
      </c>
      <c r="U38" s="1"/>
      <c r="V38" s="1"/>
      <c r="W38" s="389" t="s">
        <v>101</v>
      </c>
      <c r="Z38" s="1"/>
    </row>
    <row r="39" spans="1:26" s="1" customFormat="1">
      <c r="G39" s="55" t="s">
        <v>99</v>
      </c>
      <c r="I39" s="55" t="s">
        <v>100</v>
      </c>
      <c r="L39" s="389" t="s">
        <v>101</v>
      </c>
      <c r="R39" s="55" t="s">
        <v>102</v>
      </c>
      <c r="T39" s="55" t="s">
        <v>103</v>
      </c>
      <c r="W39" s="475" t="s">
        <v>104</v>
      </c>
      <c r="Z39" s="384"/>
    </row>
    <row r="40" spans="1:26" s="1" customFormat="1" ht="11.25">
      <c r="G40" s="55" t="s">
        <v>102</v>
      </c>
      <c r="I40" s="55" t="s">
        <v>103</v>
      </c>
      <c r="L40" s="58" t="s">
        <v>104</v>
      </c>
      <c r="T40" s="373"/>
      <c r="U40" s="373"/>
      <c r="V40" s="373"/>
      <c r="W40" s="373"/>
    </row>
    <row r="43" spans="1:26">
      <c r="R43" s="1"/>
      <c r="S43" s="1"/>
      <c r="T43" s="1"/>
      <c r="U43" s="1"/>
      <c r="V43" s="1"/>
      <c r="W43" s="1"/>
      <c r="X43" s="1"/>
      <c r="Y43" s="1"/>
    </row>
    <row r="44" spans="1:26">
      <c r="R44" s="1"/>
      <c r="S44" s="1"/>
      <c r="T44" s="1"/>
      <c r="U44" s="1"/>
      <c r="V44" s="1"/>
      <c r="W44" s="1"/>
      <c r="X44" s="1"/>
      <c r="Y44" s="1"/>
    </row>
    <row r="45" spans="1:26">
      <c r="R45" s="1"/>
      <c r="S45" s="1"/>
      <c r="T45" s="1"/>
      <c r="U45" s="1"/>
      <c r="V45" s="1"/>
      <c r="W45" s="1"/>
      <c r="X45" s="1"/>
      <c r="Y45" s="1"/>
    </row>
    <row r="46" spans="1:26">
      <c r="R46" s="1"/>
      <c r="S46" s="1"/>
      <c r="T46" s="1"/>
      <c r="U46" s="1"/>
      <c r="V46" s="1"/>
      <c r="W46" s="1"/>
      <c r="X46" s="1"/>
      <c r="Y46" s="1"/>
    </row>
    <row r="47" spans="1:26">
      <c r="R47" s="1"/>
      <c r="S47" s="1"/>
      <c r="T47" s="1"/>
      <c r="U47" s="1"/>
      <c r="V47" s="1"/>
      <c r="W47" s="1"/>
      <c r="X47" s="1"/>
      <c r="Y47" s="1"/>
    </row>
    <row r="48" spans="1:26">
      <c r="R48" s="1"/>
      <c r="S48" s="1"/>
      <c r="T48" s="1"/>
      <c r="U48" s="1"/>
      <c r="V48" s="1"/>
      <c r="W48" s="1"/>
      <c r="X48" s="1"/>
      <c r="Y48" s="1"/>
    </row>
    <row r="49" spans="18:36">
      <c r="R49" s="1"/>
      <c r="S49" s="1"/>
      <c r="T49" s="1"/>
      <c r="U49" s="1"/>
      <c r="V49" s="1"/>
      <c r="W49" s="1"/>
      <c r="X49" s="1"/>
      <c r="Y49" s="1"/>
    </row>
    <row r="50" spans="18:36">
      <c r="R50" s="1"/>
      <c r="S50" s="1"/>
      <c r="T50" s="1"/>
      <c r="U50" s="1"/>
      <c r="V50" s="1"/>
      <c r="W50" s="1"/>
      <c r="X50" s="1"/>
      <c r="Y50" s="1"/>
    </row>
    <row r="51" spans="18:36">
      <c r="R51" s="1"/>
      <c r="S51" s="1"/>
      <c r="T51" s="1"/>
      <c r="U51" s="1"/>
      <c r="V51" s="1"/>
      <c r="W51" s="1"/>
      <c r="X51" s="1"/>
      <c r="Y51" s="1"/>
    </row>
    <row r="52" spans="18:36">
      <c r="R52" s="1"/>
      <c r="S52" s="1"/>
      <c r="T52" s="1"/>
      <c r="U52" s="1"/>
      <c r="V52" s="1"/>
      <c r="W52" s="1"/>
      <c r="X52" s="1"/>
      <c r="Y52" s="1"/>
    </row>
    <row r="53" spans="18:36">
      <c r="R53" s="1"/>
      <c r="S53" s="1"/>
      <c r="T53" s="1"/>
      <c r="U53" s="1"/>
      <c r="V53" s="1"/>
      <c r="W53" s="1"/>
      <c r="X53" s="1"/>
      <c r="Y53" s="1"/>
    </row>
    <row r="54" spans="18:36">
      <c r="R54" s="1"/>
      <c r="S54" s="1"/>
      <c r="T54" s="1"/>
      <c r="U54" s="1"/>
      <c r="V54" s="1"/>
      <c r="W54" s="1"/>
      <c r="X54" s="1"/>
      <c r="Y54" s="1"/>
    </row>
    <row r="55" spans="18:36">
      <c r="R55" s="1"/>
      <c r="S55" s="1"/>
      <c r="T55" s="1"/>
      <c r="U55" s="1"/>
      <c r="V55" s="1"/>
      <c r="W55" s="1"/>
      <c r="X55" s="1"/>
      <c r="Y55" s="1"/>
    </row>
    <row r="56" spans="18:36">
      <c r="R56" s="1"/>
      <c r="S56" s="1"/>
      <c r="T56" s="1"/>
      <c r="U56" s="1"/>
      <c r="V56" s="1"/>
      <c r="W56" s="1"/>
      <c r="X56" s="1"/>
      <c r="Y56" s="1"/>
    </row>
    <row r="57" spans="18:36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8:36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8:36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8:36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8:36">
      <c r="U61" s="1"/>
      <c r="V61" s="1"/>
      <c r="W61" s="1"/>
      <c r="X61" s="1"/>
      <c r="Y61" s="1"/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87"/>
  <sheetViews>
    <sheetView workbookViewId="0">
      <selection activeCell="J30" sqref="J30"/>
    </sheetView>
  </sheetViews>
  <sheetFormatPr defaultRowHeight="11.25"/>
  <cols>
    <col min="1" max="1" width="10.28515625" style="57" customWidth="1"/>
    <col min="2" max="2" width="10.42578125" style="57" customWidth="1"/>
    <col min="3" max="3" width="12.7109375" style="57" customWidth="1"/>
    <col min="4" max="4" width="11.85546875" style="57" customWidth="1"/>
    <col min="5" max="5" width="11" style="57" customWidth="1"/>
    <col min="6" max="6" width="11.7109375" style="57" customWidth="1"/>
    <col min="7" max="7" width="10.140625" style="57" customWidth="1"/>
    <col min="8" max="8" width="11.5703125" style="57" customWidth="1"/>
    <col min="9" max="9" width="11.42578125" style="57" customWidth="1"/>
    <col min="10" max="10" width="11.85546875" style="57" customWidth="1"/>
    <col min="11" max="11" width="11" style="57" customWidth="1"/>
    <col min="12" max="12" width="12" style="57" customWidth="1"/>
    <col min="13" max="13" width="10" style="57" bestFit="1" customWidth="1"/>
    <col min="14" max="14" width="13.85546875" style="57" customWidth="1"/>
    <col min="15" max="15" width="11.140625" style="57" bestFit="1" customWidth="1"/>
    <col min="16" max="16" width="12" style="57" bestFit="1" customWidth="1"/>
    <col min="17" max="17" width="10.85546875" style="57" customWidth="1"/>
    <col min="18" max="18" width="12.140625" style="57" customWidth="1"/>
    <col min="19" max="19" width="10.85546875" style="57" bestFit="1" customWidth="1"/>
    <col min="20" max="20" width="10.5703125" style="57" bestFit="1" customWidth="1"/>
    <col min="21" max="21" width="11.85546875" style="57" customWidth="1"/>
    <col min="22" max="22" width="10.85546875" style="57" bestFit="1" customWidth="1"/>
    <col min="23" max="23" width="11.140625" style="57" bestFit="1" customWidth="1"/>
    <col min="24" max="256" width="9.140625" style="57"/>
    <col min="257" max="257" width="10.28515625" style="57" customWidth="1"/>
    <col min="258" max="258" width="10.42578125" style="57" customWidth="1"/>
    <col min="259" max="259" width="12.7109375" style="57" customWidth="1"/>
    <col min="260" max="260" width="11.28515625" style="57" customWidth="1"/>
    <col min="261" max="261" width="11.85546875" style="57" customWidth="1"/>
    <col min="262" max="262" width="11.7109375" style="57" customWidth="1"/>
    <col min="263" max="263" width="10.7109375" style="57" customWidth="1"/>
    <col min="264" max="264" width="11.85546875" style="57" customWidth="1"/>
    <col min="265" max="265" width="11.42578125" style="57" customWidth="1"/>
    <col min="266" max="266" width="12.28515625" style="57" customWidth="1"/>
    <col min="267" max="267" width="11" style="57" customWidth="1"/>
    <col min="268" max="268" width="12" style="57" customWidth="1"/>
    <col min="269" max="269" width="12.85546875" style="57" bestFit="1" customWidth="1"/>
    <col min="270" max="270" width="13.85546875" style="57" customWidth="1"/>
    <col min="271" max="271" width="4.85546875" style="57" bestFit="1" customWidth="1"/>
    <col min="272" max="272" width="12" style="57" bestFit="1" customWidth="1"/>
    <col min="273" max="273" width="10.28515625" style="57" bestFit="1" customWidth="1"/>
    <col min="274" max="274" width="12" style="57" bestFit="1" customWidth="1"/>
    <col min="275" max="275" width="12.5703125" style="57" bestFit="1" customWidth="1"/>
    <col min="276" max="276" width="12" style="57" bestFit="1" customWidth="1"/>
    <col min="277" max="278" width="11.7109375" style="57" bestFit="1" customWidth="1"/>
    <col min="279" max="279" width="11.140625" style="57" bestFit="1" customWidth="1"/>
    <col min="280" max="512" width="9.140625" style="57"/>
    <col min="513" max="513" width="10.28515625" style="57" customWidth="1"/>
    <col min="514" max="514" width="10.42578125" style="57" customWidth="1"/>
    <col min="515" max="515" width="12.7109375" style="57" customWidth="1"/>
    <col min="516" max="516" width="11.28515625" style="57" customWidth="1"/>
    <col min="517" max="517" width="11.85546875" style="57" customWidth="1"/>
    <col min="518" max="518" width="11.7109375" style="57" customWidth="1"/>
    <col min="519" max="519" width="10.7109375" style="57" customWidth="1"/>
    <col min="520" max="520" width="11.85546875" style="57" customWidth="1"/>
    <col min="521" max="521" width="11.42578125" style="57" customWidth="1"/>
    <col min="522" max="522" width="12.28515625" style="57" customWidth="1"/>
    <col min="523" max="523" width="11" style="57" customWidth="1"/>
    <col min="524" max="524" width="12" style="57" customWidth="1"/>
    <col min="525" max="525" width="12.85546875" style="57" bestFit="1" customWidth="1"/>
    <col min="526" max="526" width="13.85546875" style="57" customWidth="1"/>
    <col min="527" max="527" width="4.85546875" style="57" bestFit="1" customWidth="1"/>
    <col min="528" max="528" width="12" style="57" bestFit="1" customWidth="1"/>
    <col min="529" max="529" width="10.28515625" style="57" bestFit="1" customWidth="1"/>
    <col min="530" max="530" width="12" style="57" bestFit="1" customWidth="1"/>
    <col min="531" max="531" width="12.5703125" style="57" bestFit="1" customWidth="1"/>
    <col min="532" max="532" width="12" style="57" bestFit="1" customWidth="1"/>
    <col min="533" max="534" width="11.7109375" style="57" bestFit="1" customWidth="1"/>
    <col min="535" max="535" width="11.140625" style="57" bestFit="1" customWidth="1"/>
    <col min="536" max="768" width="9.140625" style="57"/>
    <col min="769" max="769" width="10.28515625" style="57" customWidth="1"/>
    <col min="770" max="770" width="10.42578125" style="57" customWidth="1"/>
    <col min="771" max="771" width="12.7109375" style="57" customWidth="1"/>
    <col min="772" max="772" width="11.28515625" style="57" customWidth="1"/>
    <col min="773" max="773" width="11.85546875" style="57" customWidth="1"/>
    <col min="774" max="774" width="11.7109375" style="57" customWidth="1"/>
    <col min="775" max="775" width="10.7109375" style="57" customWidth="1"/>
    <col min="776" max="776" width="11.85546875" style="57" customWidth="1"/>
    <col min="777" max="777" width="11.42578125" style="57" customWidth="1"/>
    <col min="778" max="778" width="12.28515625" style="57" customWidth="1"/>
    <col min="779" max="779" width="11" style="57" customWidth="1"/>
    <col min="780" max="780" width="12" style="57" customWidth="1"/>
    <col min="781" max="781" width="12.85546875" style="57" bestFit="1" customWidth="1"/>
    <col min="782" max="782" width="13.85546875" style="57" customWidth="1"/>
    <col min="783" max="783" width="4.85546875" style="57" bestFit="1" customWidth="1"/>
    <col min="784" max="784" width="12" style="57" bestFit="1" customWidth="1"/>
    <col min="785" max="785" width="10.28515625" style="57" bestFit="1" customWidth="1"/>
    <col min="786" max="786" width="12" style="57" bestFit="1" customWidth="1"/>
    <col min="787" max="787" width="12.5703125" style="57" bestFit="1" customWidth="1"/>
    <col min="788" max="788" width="12" style="57" bestFit="1" customWidth="1"/>
    <col min="789" max="790" width="11.7109375" style="57" bestFit="1" customWidth="1"/>
    <col min="791" max="791" width="11.140625" style="57" bestFit="1" customWidth="1"/>
    <col min="792" max="1024" width="9.140625" style="57"/>
    <col min="1025" max="1025" width="10.28515625" style="57" customWidth="1"/>
    <col min="1026" max="1026" width="10.42578125" style="57" customWidth="1"/>
    <col min="1027" max="1027" width="12.7109375" style="57" customWidth="1"/>
    <col min="1028" max="1028" width="11.28515625" style="57" customWidth="1"/>
    <col min="1029" max="1029" width="11.85546875" style="57" customWidth="1"/>
    <col min="1030" max="1030" width="11.7109375" style="57" customWidth="1"/>
    <col min="1031" max="1031" width="10.7109375" style="57" customWidth="1"/>
    <col min="1032" max="1032" width="11.85546875" style="57" customWidth="1"/>
    <col min="1033" max="1033" width="11.42578125" style="57" customWidth="1"/>
    <col min="1034" max="1034" width="12.28515625" style="57" customWidth="1"/>
    <col min="1035" max="1035" width="11" style="57" customWidth="1"/>
    <col min="1036" max="1036" width="12" style="57" customWidth="1"/>
    <col min="1037" max="1037" width="12.85546875" style="57" bestFit="1" customWidth="1"/>
    <col min="1038" max="1038" width="13.85546875" style="57" customWidth="1"/>
    <col min="1039" max="1039" width="4.85546875" style="57" bestFit="1" customWidth="1"/>
    <col min="1040" max="1040" width="12" style="57" bestFit="1" customWidth="1"/>
    <col min="1041" max="1041" width="10.28515625" style="57" bestFit="1" customWidth="1"/>
    <col min="1042" max="1042" width="12" style="57" bestFit="1" customWidth="1"/>
    <col min="1043" max="1043" width="12.5703125" style="57" bestFit="1" customWidth="1"/>
    <col min="1044" max="1044" width="12" style="57" bestFit="1" customWidth="1"/>
    <col min="1045" max="1046" width="11.7109375" style="57" bestFit="1" customWidth="1"/>
    <col min="1047" max="1047" width="11.140625" style="57" bestFit="1" customWidth="1"/>
    <col min="1048" max="1280" width="9.140625" style="57"/>
    <col min="1281" max="1281" width="10.28515625" style="57" customWidth="1"/>
    <col min="1282" max="1282" width="10.42578125" style="57" customWidth="1"/>
    <col min="1283" max="1283" width="12.7109375" style="57" customWidth="1"/>
    <col min="1284" max="1284" width="11.28515625" style="57" customWidth="1"/>
    <col min="1285" max="1285" width="11.85546875" style="57" customWidth="1"/>
    <col min="1286" max="1286" width="11.7109375" style="57" customWidth="1"/>
    <col min="1287" max="1287" width="10.7109375" style="57" customWidth="1"/>
    <col min="1288" max="1288" width="11.85546875" style="57" customWidth="1"/>
    <col min="1289" max="1289" width="11.42578125" style="57" customWidth="1"/>
    <col min="1290" max="1290" width="12.28515625" style="57" customWidth="1"/>
    <col min="1291" max="1291" width="11" style="57" customWidth="1"/>
    <col min="1292" max="1292" width="12" style="57" customWidth="1"/>
    <col min="1293" max="1293" width="12.85546875" style="57" bestFit="1" customWidth="1"/>
    <col min="1294" max="1294" width="13.85546875" style="57" customWidth="1"/>
    <col min="1295" max="1295" width="4.85546875" style="57" bestFit="1" customWidth="1"/>
    <col min="1296" max="1296" width="12" style="57" bestFit="1" customWidth="1"/>
    <col min="1297" max="1297" width="10.28515625" style="57" bestFit="1" customWidth="1"/>
    <col min="1298" max="1298" width="12" style="57" bestFit="1" customWidth="1"/>
    <col min="1299" max="1299" width="12.5703125" style="57" bestFit="1" customWidth="1"/>
    <col min="1300" max="1300" width="12" style="57" bestFit="1" customWidth="1"/>
    <col min="1301" max="1302" width="11.7109375" style="57" bestFit="1" customWidth="1"/>
    <col min="1303" max="1303" width="11.140625" style="57" bestFit="1" customWidth="1"/>
    <col min="1304" max="1536" width="9.140625" style="57"/>
    <col min="1537" max="1537" width="10.28515625" style="57" customWidth="1"/>
    <col min="1538" max="1538" width="10.42578125" style="57" customWidth="1"/>
    <col min="1539" max="1539" width="12.7109375" style="57" customWidth="1"/>
    <col min="1540" max="1540" width="11.28515625" style="57" customWidth="1"/>
    <col min="1541" max="1541" width="11.85546875" style="57" customWidth="1"/>
    <col min="1542" max="1542" width="11.7109375" style="57" customWidth="1"/>
    <col min="1543" max="1543" width="10.7109375" style="57" customWidth="1"/>
    <col min="1544" max="1544" width="11.85546875" style="57" customWidth="1"/>
    <col min="1545" max="1545" width="11.42578125" style="57" customWidth="1"/>
    <col min="1546" max="1546" width="12.28515625" style="57" customWidth="1"/>
    <col min="1547" max="1547" width="11" style="57" customWidth="1"/>
    <col min="1548" max="1548" width="12" style="57" customWidth="1"/>
    <col min="1549" max="1549" width="12.85546875" style="57" bestFit="1" customWidth="1"/>
    <col min="1550" max="1550" width="13.85546875" style="57" customWidth="1"/>
    <col min="1551" max="1551" width="4.85546875" style="57" bestFit="1" customWidth="1"/>
    <col min="1552" max="1552" width="12" style="57" bestFit="1" customWidth="1"/>
    <col min="1553" max="1553" width="10.28515625" style="57" bestFit="1" customWidth="1"/>
    <col min="1554" max="1554" width="12" style="57" bestFit="1" customWidth="1"/>
    <col min="1555" max="1555" width="12.5703125" style="57" bestFit="1" customWidth="1"/>
    <col min="1556" max="1556" width="12" style="57" bestFit="1" customWidth="1"/>
    <col min="1557" max="1558" width="11.7109375" style="57" bestFit="1" customWidth="1"/>
    <col min="1559" max="1559" width="11.140625" style="57" bestFit="1" customWidth="1"/>
    <col min="1560" max="1792" width="9.140625" style="57"/>
    <col min="1793" max="1793" width="10.28515625" style="57" customWidth="1"/>
    <col min="1794" max="1794" width="10.42578125" style="57" customWidth="1"/>
    <col min="1795" max="1795" width="12.7109375" style="57" customWidth="1"/>
    <col min="1796" max="1796" width="11.28515625" style="57" customWidth="1"/>
    <col min="1797" max="1797" width="11.85546875" style="57" customWidth="1"/>
    <col min="1798" max="1798" width="11.7109375" style="57" customWidth="1"/>
    <col min="1799" max="1799" width="10.7109375" style="57" customWidth="1"/>
    <col min="1800" max="1800" width="11.85546875" style="57" customWidth="1"/>
    <col min="1801" max="1801" width="11.42578125" style="57" customWidth="1"/>
    <col min="1802" max="1802" width="12.28515625" style="57" customWidth="1"/>
    <col min="1803" max="1803" width="11" style="57" customWidth="1"/>
    <col min="1804" max="1804" width="12" style="57" customWidth="1"/>
    <col min="1805" max="1805" width="12.85546875" style="57" bestFit="1" customWidth="1"/>
    <col min="1806" max="1806" width="13.85546875" style="57" customWidth="1"/>
    <col min="1807" max="1807" width="4.85546875" style="57" bestFit="1" customWidth="1"/>
    <col min="1808" max="1808" width="12" style="57" bestFit="1" customWidth="1"/>
    <col min="1809" max="1809" width="10.28515625" style="57" bestFit="1" customWidth="1"/>
    <col min="1810" max="1810" width="12" style="57" bestFit="1" customWidth="1"/>
    <col min="1811" max="1811" width="12.5703125" style="57" bestFit="1" customWidth="1"/>
    <col min="1812" max="1812" width="12" style="57" bestFit="1" customWidth="1"/>
    <col min="1813" max="1814" width="11.7109375" style="57" bestFit="1" customWidth="1"/>
    <col min="1815" max="1815" width="11.140625" style="57" bestFit="1" customWidth="1"/>
    <col min="1816" max="2048" width="9.140625" style="57"/>
    <col min="2049" max="2049" width="10.28515625" style="57" customWidth="1"/>
    <col min="2050" max="2050" width="10.42578125" style="57" customWidth="1"/>
    <col min="2051" max="2051" width="12.7109375" style="57" customWidth="1"/>
    <col min="2052" max="2052" width="11.28515625" style="57" customWidth="1"/>
    <col min="2053" max="2053" width="11.85546875" style="57" customWidth="1"/>
    <col min="2054" max="2054" width="11.7109375" style="57" customWidth="1"/>
    <col min="2055" max="2055" width="10.7109375" style="57" customWidth="1"/>
    <col min="2056" max="2056" width="11.85546875" style="57" customWidth="1"/>
    <col min="2057" max="2057" width="11.42578125" style="57" customWidth="1"/>
    <col min="2058" max="2058" width="12.28515625" style="57" customWidth="1"/>
    <col min="2059" max="2059" width="11" style="57" customWidth="1"/>
    <col min="2060" max="2060" width="12" style="57" customWidth="1"/>
    <col min="2061" max="2061" width="12.85546875" style="57" bestFit="1" customWidth="1"/>
    <col min="2062" max="2062" width="13.85546875" style="57" customWidth="1"/>
    <col min="2063" max="2063" width="4.85546875" style="57" bestFit="1" customWidth="1"/>
    <col min="2064" max="2064" width="12" style="57" bestFit="1" customWidth="1"/>
    <col min="2065" max="2065" width="10.28515625" style="57" bestFit="1" customWidth="1"/>
    <col min="2066" max="2066" width="12" style="57" bestFit="1" customWidth="1"/>
    <col min="2067" max="2067" width="12.5703125" style="57" bestFit="1" customWidth="1"/>
    <col min="2068" max="2068" width="12" style="57" bestFit="1" customWidth="1"/>
    <col min="2069" max="2070" width="11.7109375" style="57" bestFit="1" customWidth="1"/>
    <col min="2071" max="2071" width="11.140625" style="57" bestFit="1" customWidth="1"/>
    <col min="2072" max="2304" width="9.140625" style="57"/>
    <col min="2305" max="2305" width="10.28515625" style="57" customWidth="1"/>
    <col min="2306" max="2306" width="10.42578125" style="57" customWidth="1"/>
    <col min="2307" max="2307" width="12.7109375" style="57" customWidth="1"/>
    <col min="2308" max="2308" width="11.28515625" style="57" customWidth="1"/>
    <col min="2309" max="2309" width="11.85546875" style="57" customWidth="1"/>
    <col min="2310" max="2310" width="11.7109375" style="57" customWidth="1"/>
    <col min="2311" max="2311" width="10.7109375" style="57" customWidth="1"/>
    <col min="2312" max="2312" width="11.85546875" style="57" customWidth="1"/>
    <col min="2313" max="2313" width="11.42578125" style="57" customWidth="1"/>
    <col min="2314" max="2314" width="12.28515625" style="57" customWidth="1"/>
    <col min="2315" max="2315" width="11" style="57" customWidth="1"/>
    <col min="2316" max="2316" width="12" style="57" customWidth="1"/>
    <col min="2317" max="2317" width="12.85546875" style="57" bestFit="1" customWidth="1"/>
    <col min="2318" max="2318" width="13.85546875" style="57" customWidth="1"/>
    <col min="2319" max="2319" width="4.85546875" style="57" bestFit="1" customWidth="1"/>
    <col min="2320" max="2320" width="12" style="57" bestFit="1" customWidth="1"/>
    <col min="2321" max="2321" width="10.28515625" style="57" bestFit="1" customWidth="1"/>
    <col min="2322" max="2322" width="12" style="57" bestFit="1" customWidth="1"/>
    <col min="2323" max="2323" width="12.5703125" style="57" bestFit="1" customWidth="1"/>
    <col min="2324" max="2324" width="12" style="57" bestFit="1" customWidth="1"/>
    <col min="2325" max="2326" width="11.7109375" style="57" bestFit="1" customWidth="1"/>
    <col min="2327" max="2327" width="11.140625" style="57" bestFit="1" customWidth="1"/>
    <col min="2328" max="2560" width="9.140625" style="57"/>
    <col min="2561" max="2561" width="10.28515625" style="57" customWidth="1"/>
    <col min="2562" max="2562" width="10.42578125" style="57" customWidth="1"/>
    <col min="2563" max="2563" width="12.7109375" style="57" customWidth="1"/>
    <col min="2564" max="2564" width="11.28515625" style="57" customWidth="1"/>
    <col min="2565" max="2565" width="11.85546875" style="57" customWidth="1"/>
    <col min="2566" max="2566" width="11.7109375" style="57" customWidth="1"/>
    <col min="2567" max="2567" width="10.7109375" style="57" customWidth="1"/>
    <col min="2568" max="2568" width="11.85546875" style="57" customWidth="1"/>
    <col min="2569" max="2569" width="11.42578125" style="57" customWidth="1"/>
    <col min="2570" max="2570" width="12.28515625" style="57" customWidth="1"/>
    <col min="2571" max="2571" width="11" style="57" customWidth="1"/>
    <col min="2572" max="2572" width="12" style="57" customWidth="1"/>
    <col min="2573" max="2573" width="12.85546875" style="57" bestFit="1" customWidth="1"/>
    <col min="2574" max="2574" width="13.85546875" style="57" customWidth="1"/>
    <col min="2575" max="2575" width="4.85546875" style="57" bestFit="1" customWidth="1"/>
    <col min="2576" max="2576" width="12" style="57" bestFit="1" customWidth="1"/>
    <col min="2577" max="2577" width="10.28515625" style="57" bestFit="1" customWidth="1"/>
    <col min="2578" max="2578" width="12" style="57" bestFit="1" customWidth="1"/>
    <col min="2579" max="2579" width="12.5703125" style="57" bestFit="1" customWidth="1"/>
    <col min="2580" max="2580" width="12" style="57" bestFit="1" customWidth="1"/>
    <col min="2581" max="2582" width="11.7109375" style="57" bestFit="1" customWidth="1"/>
    <col min="2583" max="2583" width="11.140625" style="57" bestFit="1" customWidth="1"/>
    <col min="2584" max="2816" width="9.140625" style="57"/>
    <col min="2817" max="2817" width="10.28515625" style="57" customWidth="1"/>
    <col min="2818" max="2818" width="10.42578125" style="57" customWidth="1"/>
    <col min="2819" max="2819" width="12.7109375" style="57" customWidth="1"/>
    <col min="2820" max="2820" width="11.28515625" style="57" customWidth="1"/>
    <col min="2821" max="2821" width="11.85546875" style="57" customWidth="1"/>
    <col min="2822" max="2822" width="11.7109375" style="57" customWidth="1"/>
    <col min="2823" max="2823" width="10.7109375" style="57" customWidth="1"/>
    <col min="2824" max="2824" width="11.85546875" style="57" customWidth="1"/>
    <col min="2825" max="2825" width="11.42578125" style="57" customWidth="1"/>
    <col min="2826" max="2826" width="12.28515625" style="57" customWidth="1"/>
    <col min="2827" max="2827" width="11" style="57" customWidth="1"/>
    <col min="2828" max="2828" width="12" style="57" customWidth="1"/>
    <col min="2829" max="2829" width="12.85546875" style="57" bestFit="1" customWidth="1"/>
    <col min="2830" max="2830" width="13.85546875" style="57" customWidth="1"/>
    <col min="2831" max="2831" width="4.85546875" style="57" bestFit="1" customWidth="1"/>
    <col min="2832" max="2832" width="12" style="57" bestFit="1" customWidth="1"/>
    <col min="2833" max="2833" width="10.28515625" style="57" bestFit="1" customWidth="1"/>
    <col min="2834" max="2834" width="12" style="57" bestFit="1" customWidth="1"/>
    <col min="2835" max="2835" width="12.5703125" style="57" bestFit="1" customWidth="1"/>
    <col min="2836" max="2836" width="12" style="57" bestFit="1" customWidth="1"/>
    <col min="2837" max="2838" width="11.7109375" style="57" bestFit="1" customWidth="1"/>
    <col min="2839" max="2839" width="11.140625" style="57" bestFit="1" customWidth="1"/>
    <col min="2840" max="3072" width="9.140625" style="57"/>
    <col min="3073" max="3073" width="10.28515625" style="57" customWidth="1"/>
    <col min="3074" max="3074" width="10.42578125" style="57" customWidth="1"/>
    <col min="3075" max="3075" width="12.7109375" style="57" customWidth="1"/>
    <col min="3076" max="3076" width="11.28515625" style="57" customWidth="1"/>
    <col min="3077" max="3077" width="11.85546875" style="57" customWidth="1"/>
    <col min="3078" max="3078" width="11.7109375" style="57" customWidth="1"/>
    <col min="3079" max="3079" width="10.7109375" style="57" customWidth="1"/>
    <col min="3080" max="3080" width="11.85546875" style="57" customWidth="1"/>
    <col min="3081" max="3081" width="11.42578125" style="57" customWidth="1"/>
    <col min="3082" max="3082" width="12.28515625" style="57" customWidth="1"/>
    <col min="3083" max="3083" width="11" style="57" customWidth="1"/>
    <col min="3084" max="3084" width="12" style="57" customWidth="1"/>
    <col min="3085" max="3085" width="12.85546875" style="57" bestFit="1" customWidth="1"/>
    <col min="3086" max="3086" width="13.85546875" style="57" customWidth="1"/>
    <col min="3087" max="3087" width="4.85546875" style="57" bestFit="1" customWidth="1"/>
    <col min="3088" max="3088" width="12" style="57" bestFit="1" customWidth="1"/>
    <col min="3089" max="3089" width="10.28515625" style="57" bestFit="1" customWidth="1"/>
    <col min="3090" max="3090" width="12" style="57" bestFit="1" customWidth="1"/>
    <col min="3091" max="3091" width="12.5703125" style="57" bestFit="1" customWidth="1"/>
    <col min="3092" max="3092" width="12" style="57" bestFit="1" customWidth="1"/>
    <col min="3093" max="3094" width="11.7109375" style="57" bestFit="1" customWidth="1"/>
    <col min="3095" max="3095" width="11.140625" style="57" bestFit="1" customWidth="1"/>
    <col min="3096" max="3328" width="9.140625" style="57"/>
    <col min="3329" max="3329" width="10.28515625" style="57" customWidth="1"/>
    <col min="3330" max="3330" width="10.42578125" style="57" customWidth="1"/>
    <col min="3331" max="3331" width="12.7109375" style="57" customWidth="1"/>
    <col min="3332" max="3332" width="11.28515625" style="57" customWidth="1"/>
    <col min="3333" max="3333" width="11.85546875" style="57" customWidth="1"/>
    <col min="3334" max="3334" width="11.7109375" style="57" customWidth="1"/>
    <col min="3335" max="3335" width="10.7109375" style="57" customWidth="1"/>
    <col min="3336" max="3336" width="11.85546875" style="57" customWidth="1"/>
    <col min="3337" max="3337" width="11.42578125" style="57" customWidth="1"/>
    <col min="3338" max="3338" width="12.28515625" style="57" customWidth="1"/>
    <col min="3339" max="3339" width="11" style="57" customWidth="1"/>
    <col min="3340" max="3340" width="12" style="57" customWidth="1"/>
    <col min="3341" max="3341" width="12.85546875" style="57" bestFit="1" customWidth="1"/>
    <col min="3342" max="3342" width="13.85546875" style="57" customWidth="1"/>
    <col min="3343" max="3343" width="4.85546875" style="57" bestFit="1" customWidth="1"/>
    <col min="3344" max="3344" width="12" style="57" bestFit="1" customWidth="1"/>
    <col min="3345" max="3345" width="10.28515625" style="57" bestFit="1" customWidth="1"/>
    <col min="3346" max="3346" width="12" style="57" bestFit="1" customWidth="1"/>
    <col min="3347" max="3347" width="12.5703125" style="57" bestFit="1" customWidth="1"/>
    <col min="3348" max="3348" width="12" style="57" bestFit="1" customWidth="1"/>
    <col min="3349" max="3350" width="11.7109375" style="57" bestFit="1" customWidth="1"/>
    <col min="3351" max="3351" width="11.140625" style="57" bestFit="1" customWidth="1"/>
    <col min="3352" max="3584" width="9.140625" style="57"/>
    <col min="3585" max="3585" width="10.28515625" style="57" customWidth="1"/>
    <col min="3586" max="3586" width="10.42578125" style="57" customWidth="1"/>
    <col min="3587" max="3587" width="12.7109375" style="57" customWidth="1"/>
    <col min="3588" max="3588" width="11.28515625" style="57" customWidth="1"/>
    <col min="3589" max="3589" width="11.85546875" style="57" customWidth="1"/>
    <col min="3590" max="3590" width="11.7109375" style="57" customWidth="1"/>
    <col min="3591" max="3591" width="10.7109375" style="57" customWidth="1"/>
    <col min="3592" max="3592" width="11.85546875" style="57" customWidth="1"/>
    <col min="3593" max="3593" width="11.42578125" style="57" customWidth="1"/>
    <col min="3594" max="3594" width="12.28515625" style="57" customWidth="1"/>
    <col min="3595" max="3595" width="11" style="57" customWidth="1"/>
    <col min="3596" max="3596" width="12" style="57" customWidth="1"/>
    <col min="3597" max="3597" width="12.85546875" style="57" bestFit="1" customWidth="1"/>
    <col min="3598" max="3598" width="13.85546875" style="57" customWidth="1"/>
    <col min="3599" max="3599" width="4.85546875" style="57" bestFit="1" customWidth="1"/>
    <col min="3600" max="3600" width="12" style="57" bestFit="1" customWidth="1"/>
    <col min="3601" max="3601" width="10.28515625" style="57" bestFit="1" customWidth="1"/>
    <col min="3602" max="3602" width="12" style="57" bestFit="1" customWidth="1"/>
    <col min="3603" max="3603" width="12.5703125" style="57" bestFit="1" customWidth="1"/>
    <col min="3604" max="3604" width="12" style="57" bestFit="1" customWidth="1"/>
    <col min="3605" max="3606" width="11.7109375" style="57" bestFit="1" customWidth="1"/>
    <col min="3607" max="3607" width="11.140625" style="57" bestFit="1" customWidth="1"/>
    <col min="3608" max="3840" width="9.140625" style="57"/>
    <col min="3841" max="3841" width="10.28515625" style="57" customWidth="1"/>
    <col min="3842" max="3842" width="10.42578125" style="57" customWidth="1"/>
    <col min="3843" max="3843" width="12.7109375" style="57" customWidth="1"/>
    <col min="3844" max="3844" width="11.28515625" style="57" customWidth="1"/>
    <col min="3845" max="3845" width="11.85546875" style="57" customWidth="1"/>
    <col min="3846" max="3846" width="11.7109375" style="57" customWidth="1"/>
    <col min="3847" max="3847" width="10.7109375" style="57" customWidth="1"/>
    <col min="3848" max="3848" width="11.85546875" style="57" customWidth="1"/>
    <col min="3849" max="3849" width="11.42578125" style="57" customWidth="1"/>
    <col min="3850" max="3850" width="12.28515625" style="57" customWidth="1"/>
    <col min="3851" max="3851" width="11" style="57" customWidth="1"/>
    <col min="3852" max="3852" width="12" style="57" customWidth="1"/>
    <col min="3853" max="3853" width="12.85546875" style="57" bestFit="1" customWidth="1"/>
    <col min="3854" max="3854" width="13.85546875" style="57" customWidth="1"/>
    <col min="3855" max="3855" width="4.85546875" style="57" bestFit="1" customWidth="1"/>
    <col min="3856" max="3856" width="12" style="57" bestFit="1" customWidth="1"/>
    <col min="3857" max="3857" width="10.28515625" style="57" bestFit="1" customWidth="1"/>
    <col min="3858" max="3858" width="12" style="57" bestFit="1" customWidth="1"/>
    <col min="3859" max="3859" width="12.5703125" style="57" bestFit="1" customWidth="1"/>
    <col min="3860" max="3860" width="12" style="57" bestFit="1" customWidth="1"/>
    <col min="3861" max="3862" width="11.7109375" style="57" bestFit="1" customWidth="1"/>
    <col min="3863" max="3863" width="11.140625" style="57" bestFit="1" customWidth="1"/>
    <col min="3864" max="4096" width="9.140625" style="57"/>
    <col min="4097" max="4097" width="10.28515625" style="57" customWidth="1"/>
    <col min="4098" max="4098" width="10.42578125" style="57" customWidth="1"/>
    <col min="4099" max="4099" width="12.7109375" style="57" customWidth="1"/>
    <col min="4100" max="4100" width="11.28515625" style="57" customWidth="1"/>
    <col min="4101" max="4101" width="11.85546875" style="57" customWidth="1"/>
    <col min="4102" max="4102" width="11.7109375" style="57" customWidth="1"/>
    <col min="4103" max="4103" width="10.7109375" style="57" customWidth="1"/>
    <col min="4104" max="4104" width="11.85546875" style="57" customWidth="1"/>
    <col min="4105" max="4105" width="11.42578125" style="57" customWidth="1"/>
    <col min="4106" max="4106" width="12.28515625" style="57" customWidth="1"/>
    <col min="4107" max="4107" width="11" style="57" customWidth="1"/>
    <col min="4108" max="4108" width="12" style="57" customWidth="1"/>
    <col min="4109" max="4109" width="12.85546875" style="57" bestFit="1" customWidth="1"/>
    <col min="4110" max="4110" width="13.85546875" style="57" customWidth="1"/>
    <col min="4111" max="4111" width="4.85546875" style="57" bestFit="1" customWidth="1"/>
    <col min="4112" max="4112" width="12" style="57" bestFit="1" customWidth="1"/>
    <col min="4113" max="4113" width="10.28515625" style="57" bestFit="1" customWidth="1"/>
    <col min="4114" max="4114" width="12" style="57" bestFit="1" customWidth="1"/>
    <col min="4115" max="4115" width="12.5703125" style="57" bestFit="1" customWidth="1"/>
    <col min="4116" max="4116" width="12" style="57" bestFit="1" customWidth="1"/>
    <col min="4117" max="4118" width="11.7109375" style="57" bestFit="1" customWidth="1"/>
    <col min="4119" max="4119" width="11.140625" style="57" bestFit="1" customWidth="1"/>
    <col min="4120" max="4352" width="9.140625" style="57"/>
    <col min="4353" max="4353" width="10.28515625" style="57" customWidth="1"/>
    <col min="4354" max="4354" width="10.42578125" style="57" customWidth="1"/>
    <col min="4355" max="4355" width="12.7109375" style="57" customWidth="1"/>
    <col min="4356" max="4356" width="11.28515625" style="57" customWidth="1"/>
    <col min="4357" max="4357" width="11.85546875" style="57" customWidth="1"/>
    <col min="4358" max="4358" width="11.7109375" style="57" customWidth="1"/>
    <col min="4359" max="4359" width="10.7109375" style="57" customWidth="1"/>
    <col min="4360" max="4360" width="11.85546875" style="57" customWidth="1"/>
    <col min="4361" max="4361" width="11.42578125" style="57" customWidth="1"/>
    <col min="4362" max="4362" width="12.28515625" style="57" customWidth="1"/>
    <col min="4363" max="4363" width="11" style="57" customWidth="1"/>
    <col min="4364" max="4364" width="12" style="57" customWidth="1"/>
    <col min="4365" max="4365" width="12.85546875" style="57" bestFit="1" customWidth="1"/>
    <col min="4366" max="4366" width="13.85546875" style="57" customWidth="1"/>
    <col min="4367" max="4367" width="4.85546875" style="57" bestFit="1" customWidth="1"/>
    <col min="4368" max="4368" width="12" style="57" bestFit="1" customWidth="1"/>
    <col min="4369" max="4369" width="10.28515625" style="57" bestFit="1" customWidth="1"/>
    <col min="4370" max="4370" width="12" style="57" bestFit="1" customWidth="1"/>
    <col min="4371" max="4371" width="12.5703125" style="57" bestFit="1" customWidth="1"/>
    <col min="4372" max="4372" width="12" style="57" bestFit="1" customWidth="1"/>
    <col min="4373" max="4374" width="11.7109375" style="57" bestFit="1" customWidth="1"/>
    <col min="4375" max="4375" width="11.140625" style="57" bestFit="1" customWidth="1"/>
    <col min="4376" max="4608" width="9.140625" style="57"/>
    <col min="4609" max="4609" width="10.28515625" style="57" customWidth="1"/>
    <col min="4610" max="4610" width="10.42578125" style="57" customWidth="1"/>
    <col min="4611" max="4611" width="12.7109375" style="57" customWidth="1"/>
    <col min="4612" max="4612" width="11.28515625" style="57" customWidth="1"/>
    <col min="4613" max="4613" width="11.85546875" style="57" customWidth="1"/>
    <col min="4614" max="4614" width="11.7109375" style="57" customWidth="1"/>
    <col min="4615" max="4615" width="10.7109375" style="57" customWidth="1"/>
    <col min="4616" max="4616" width="11.85546875" style="57" customWidth="1"/>
    <col min="4617" max="4617" width="11.42578125" style="57" customWidth="1"/>
    <col min="4618" max="4618" width="12.28515625" style="57" customWidth="1"/>
    <col min="4619" max="4619" width="11" style="57" customWidth="1"/>
    <col min="4620" max="4620" width="12" style="57" customWidth="1"/>
    <col min="4621" max="4621" width="12.85546875" style="57" bestFit="1" customWidth="1"/>
    <col min="4622" max="4622" width="13.85546875" style="57" customWidth="1"/>
    <col min="4623" max="4623" width="4.85546875" style="57" bestFit="1" customWidth="1"/>
    <col min="4624" max="4624" width="12" style="57" bestFit="1" customWidth="1"/>
    <col min="4625" max="4625" width="10.28515625" style="57" bestFit="1" customWidth="1"/>
    <col min="4626" max="4626" width="12" style="57" bestFit="1" customWidth="1"/>
    <col min="4627" max="4627" width="12.5703125" style="57" bestFit="1" customWidth="1"/>
    <col min="4628" max="4628" width="12" style="57" bestFit="1" customWidth="1"/>
    <col min="4629" max="4630" width="11.7109375" style="57" bestFit="1" customWidth="1"/>
    <col min="4631" max="4631" width="11.140625" style="57" bestFit="1" customWidth="1"/>
    <col min="4632" max="4864" width="9.140625" style="57"/>
    <col min="4865" max="4865" width="10.28515625" style="57" customWidth="1"/>
    <col min="4866" max="4866" width="10.42578125" style="57" customWidth="1"/>
    <col min="4867" max="4867" width="12.7109375" style="57" customWidth="1"/>
    <col min="4868" max="4868" width="11.28515625" style="57" customWidth="1"/>
    <col min="4869" max="4869" width="11.85546875" style="57" customWidth="1"/>
    <col min="4870" max="4870" width="11.7109375" style="57" customWidth="1"/>
    <col min="4871" max="4871" width="10.7109375" style="57" customWidth="1"/>
    <col min="4872" max="4872" width="11.85546875" style="57" customWidth="1"/>
    <col min="4873" max="4873" width="11.42578125" style="57" customWidth="1"/>
    <col min="4874" max="4874" width="12.28515625" style="57" customWidth="1"/>
    <col min="4875" max="4875" width="11" style="57" customWidth="1"/>
    <col min="4876" max="4876" width="12" style="57" customWidth="1"/>
    <col min="4877" max="4877" width="12.85546875" style="57" bestFit="1" customWidth="1"/>
    <col min="4878" max="4878" width="13.85546875" style="57" customWidth="1"/>
    <col min="4879" max="4879" width="4.85546875" style="57" bestFit="1" customWidth="1"/>
    <col min="4880" max="4880" width="12" style="57" bestFit="1" customWidth="1"/>
    <col min="4881" max="4881" width="10.28515625" style="57" bestFit="1" customWidth="1"/>
    <col min="4882" max="4882" width="12" style="57" bestFit="1" customWidth="1"/>
    <col min="4883" max="4883" width="12.5703125" style="57" bestFit="1" customWidth="1"/>
    <col min="4884" max="4884" width="12" style="57" bestFit="1" customWidth="1"/>
    <col min="4885" max="4886" width="11.7109375" style="57" bestFit="1" customWidth="1"/>
    <col min="4887" max="4887" width="11.140625" style="57" bestFit="1" customWidth="1"/>
    <col min="4888" max="5120" width="9.140625" style="57"/>
    <col min="5121" max="5121" width="10.28515625" style="57" customWidth="1"/>
    <col min="5122" max="5122" width="10.42578125" style="57" customWidth="1"/>
    <col min="5123" max="5123" width="12.7109375" style="57" customWidth="1"/>
    <col min="5124" max="5124" width="11.28515625" style="57" customWidth="1"/>
    <col min="5125" max="5125" width="11.85546875" style="57" customWidth="1"/>
    <col min="5126" max="5126" width="11.7109375" style="57" customWidth="1"/>
    <col min="5127" max="5127" width="10.7109375" style="57" customWidth="1"/>
    <col min="5128" max="5128" width="11.85546875" style="57" customWidth="1"/>
    <col min="5129" max="5129" width="11.42578125" style="57" customWidth="1"/>
    <col min="5130" max="5130" width="12.28515625" style="57" customWidth="1"/>
    <col min="5131" max="5131" width="11" style="57" customWidth="1"/>
    <col min="5132" max="5132" width="12" style="57" customWidth="1"/>
    <col min="5133" max="5133" width="12.85546875" style="57" bestFit="1" customWidth="1"/>
    <col min="5134" max="5134" width="13.85546875" style="57" customWidth="1"/>
    <col min="5135" max="5135" width="4.85546875" style="57" bestFit="1" customWidth="1"/>
    <col min="5136" max="5136" width="12" style="57" bestFit="1" customWidth="1"/>
    <col min="5137" max="5137" width="10.28515625" style="57" bestFit="1" customWidth="1"/>
    <col min="5138" max="5138" width="12" style="57" bestFit="1" customWidth="1"/>
    <col min="5139" max="5139" width="12.5703125" style="57" bestFit="1" customWidth="1"/>
    <col min="5140" max="5140" width="12" style="57" bestFit="1" customWidth="1"/>
    <col min="5141" max="5142" width="11.7109375" style="57" bestFit="1" customWidth="1"/>
    <col min="5143" max="5143" width="11.140625" style="57" bestFit="1" customWidth="1"/>
    <col min="5144" max="5376" width="9.140625" style="57"/>
    <col min="5377" max="5377" width="10.28515625" style="57" customWidth="1"/>
    <col min="5378" max="5378" width="10.42578125" style="57" customWidth="1"/>
    <col min="5379" max="5379" width="12.7109375" style="57" customWidth="1"/>
    <col min="5380" max="5380" width="11.28515625" style="57" customWidth="1"/>
    <col min="5381" max="5381" width="11.85546875" style="57" customWidth="1"/>
    <col min="5382" max="5382" width="11.7109375" style="57" customWidth="1"/>
    <col min="5383" max="5383" width="10.7109375" style="57" customWidth="1"/>
    <col min="5384" max="5384" width="11.85546875" style="57" customWidth="1"/>
    <col min="5385" max="5385" width="11.42578125" style="57" customWidth="1"/>
    <col min="5386" max="5386" width="12.28515625" style="57" customWidth="1"/>
    <col min="5387" max="5387" width="11" style="57" customWidth="1"/>
    <col min="5388" max="5388" width="12" style="57" customWidth="1"/>
    <col min="5389" max="5389" width="12.85546875" style="57" bestFit="1" customWidth="1"/>
    <col min="5390" max="5390" width="13.85546875" style="57" customWidth="1"/>
    <col min="5391" max="5391" width="4.85546875" style="57" bestFit="1" customWidth="1"/>
    <col min="5392" max="5392" width="12" style="57" bestFit="1" customWidth="1"/>
    <col min="5393" max="5393" width="10.28515625" style="57" bestFit="1" customWidth="1"/>
    <col min="5394" max="5394" width="12" style="57" bestFit="1" customWidth="1"/>
    <col min="5395" max="5395" width="12.5703125" style="57" bestFit="1" customWidth="1"/>
    <col min="5396" max="5396" width="12" style="57" bestFit="1" customWidth="1"/>
    <col min="5397" max="5398" width="11.7109375" style="57" bestFit="1" customWidth="1"/>
    <col min="5399" max="5399" width="11.140625" style="57" bestFit="1" customWidth="1"/>
    <col min="5400" max="5632" width="9.140625" style="57"/>
    <col min="5633" max="5633" width="10.28515625" style="57" customWidth="1"/>
    <col min="5634" max="5634" width="10.42578125" style="57" customWidth="1"/>
    <col min="5635" max="5635" width="12.7109375" style="57" customWidth="1"/>
    <col min="5636" max="5636" width="11.28515625" style="57" customWidth="1"/>
    <col min="5637" max="5637" width="11.85546875" style="57" customWidth="1"/>
    <col min="5638" max="5638" width="11.7109375" style="57" customWidth="1"/>
    <col min="5639" max="5639" width="10.7109375" style="57" customWidth="1"/>
    <col min="5640" max="5640" width="11.85546875" style="57" customWidth="1"/>
    <col min="5641" max="5641" width="11.42578125" style="57" customWidth="1"/>
    <col min="5642" max="5642" width="12.28515625" style="57" customWidth="1"/>
    <col min="5643" max="5643" width="11" style="57" customWidth="1"/>
    <col min="5644" max="5644" width="12" style="57" customWidth="1"/>
    <col min="5645" max="5645" width="12.85546875" style="57" bestFit="1" customWidth="1"/>
    <col min="5646" max="5646" width="13.85546875" style="57" customWidth="1"/>
    <col min="5647" max="5647" width="4.85546875" style="57" bestFit="1" customWidth="1"/>
    <col min="5648" max="5648" width="12" style="57" bestFit="1" customWidth="1"/>
    <col min="5649" max="5649" width="10.28515625" style="57" bestFit="1" customWidth="1"/>
    <col min="5650" max="5650" width="12" style="57" bestFit="1" customWidth="1"/>
    <col min="5651" max="5651" width="12.5703125" style="57" bestFit="1" customWidth="1"/>
    <col min="5652" max="5652" width="12" style="57" bestFit="1" customWidth="1"/>
    <col min="5653" max="5654" width="11.7109375" style="57" bestFit="1" customWidth="1"/>
    <col min="5655" max="5655" width="11.140625" style="57" bestFit="1" customWidth="1"/>
    <col min="5656" max="5888" width="9.140625" style="57"/>
    <col min="5889" max="5889" width="10.28515625" style="57" customWidth="1"/>
    <col min="5890" max="5890" width="10.42578125" style="57" customWidth="1"/>
    <col min="5891" max="5891" width="12.7109375" style="57" customWidth="1"/>
    <col min="5892" max="5892" width="11.28515625" style="57" customWidth="1"/>
    <col min="5893" max="5893" width="11.85546875" style="57" customWidth="1"/>
    <col min="5894" max="5894" width="11.7109375" style="57" customWidth="1"/>
    <col min="5895" max="5895" width="10.7109375" style="57" customWidth="1"/>
    <col min="5896" max="5896" width="11.85546875" style="57" customWidth="1"/>
    <col min="5897" max="5897" width="11.42578125" style="57" customWidth="1"/>
    <col min="5898" max="5898" width="12.28515625" style="57" customWidth="1"/>
    <col min="5899" max="5899" width="11" style="57" customWidth="1"/>
    <col min="5900" max="5900" width="12" style="57" customWidth="1"/>
    <col min="5901" max="5901" width="12.85546875" style="57" bestFit="1" customWidth="1"/>
    <col min="5902" max="5902" width="13.85546875" style="57" customWidth="1"/>
    <col min="5903" max="5903" width="4.85546875" style="57" bestFit="1" customWidth="1"/>
    <col min="5904" max="5904" width="12" style="57" bestFit="1" customWidth="1"/>
    <col min="5905" max="5905" width="10.28515625" style="57" bestFit="1" customWidth="1"/>
    <col min="5906" max="5906" width="12" style="57" bestFit="1" customWidth="1"/>
    <col min="5907" max="5907" width="12.5703125" style="57" bestFit="1" customWidth="1"/>
    <col min="5908" max="5908" width="12" style="57" bestFit="1" customWidth="1"/>
    <col min="5909" max="5910" width="11.7109375" style="57" bestFit="1" customWidth="1"/>
    <col min="5911" max="5911" width="11.140625" style="57" bestFit="1" customWidth="1"/>
    <col min="5912" max="6144" width="9.140625" style="57"/>
    <col min="6145" max="6145" width="10.28515625" style="57" customWidth="1"/>
    <col min="6146" max="6146" width="10.42578125" style="57" customWidth="1"/>
    <col min="6147" max="6147" width="12.7109375" style="57" customWidth="1"/>
    <col min="6148" max="6148" width="11.28515625" style="57" customWidth="1"/>
    <col min="6149" max="6149" width="11.85546875" style="57" customWidth="1"/>
    <col min="6150" max="6150" width="11.7109375" style="57" customWidth="1"/>
    <col min="6151" max="6151" width="10.7109375" style="57" customWidth="1"/>
    <col min="6152" max="6152" width="11.85546875" style="57" customWidth="1"/>
    <col min="6153" max="6153" width="11.42578125" style="57" customWidth="1"/>
    <col min="6154" max="6154" width="12.28515625" style="57" customWidth="1"/>
    <col min="6155" max="6155" width="11" style="57" customWidth="1"/>
    <col min="6156" max="6156" width="12" style="57" customWidth="1"/>
    <col min="6157" max="6157" width="12.85546875" style="57" bestFit="1" customWidth="1"/>
    <col min="6158" max="6158" width="13.85546875" style="57" customWidth="1"/>
    <col min="6159" max="6159" width="4.85546875" style="57" bestFit="1" customWidth="1"/>
    <col min="6160" max="6160" width="12" style="57" bestFit="1" customWidth="1"/>
    <col min="6161" max="6161" width="10.28515625" style="57" bestFit="1" customWidth="1"/>
    <col min="6162" max="6162" width="12" style="57" bestFit="1" customWidth="1"/>
    <col min="6163" max="6163" width="12.5703125" style="57" bestFit="1" customWidth="1"/>
    <col min="6164" max="6164" width="12" style="57" bestFit="1" customWidth="1"/>
    <col min="6165" max="6166" width="11.7109375" style="57" bestFit="1" customWidth="1"/>
    <col min="6167" max="6167" width="11.140625" style="57" bestFit="1" customWidth="1"/>
    <col min="6168" max="6400" width="9.140625" style="57"/>
    <col min="6401" max="6401" width="10.28515625" style="57" customWidth="1"/>
    <col min="6402" max="6402" width="10.42578125" style="57" customWidth="1"/>
    <col min="6403" max="6403" width="12.7109375" style="57" customWidth="1"/>
    <col min="6404" max="6404" width="11.28515625" style="57" customWidth="1"/>
    <col min="6405" max="6405" width="11.85546875" style="57" customWidth="1"/>
    <col min="6406" max="6406" width="11.7109375" style="57" customWidth="1"/>
    <col min="6407" max="6407" width="10.7109375" style="57" customWidth="1"/>
    <col min="6408" max="6408" width="11.85546875" style="57" customWidth="1"/>
    <col min="6409" max="6409" width="11.42578125" style="57" customWidth="1"/>
    <col min="6410" max="6410" width="12.28515625" style="57" customWidth="1"/>
    <col min="6411" max="6411" width="11" style="57" customWidth="1"/>
    <col min="6412" max="6412" width="12" style="57" customWidth="1"/>
    <col min="6413" max="6413" width="12.85546875" style="57" bestFit="1" customWidth="1"/>
    <col min="6414" max="6414" width="13.85546875" style="57" customWidth="1"/>
    <col min="6415" max="6415" width="4.85546875" style="57" bestFit="1" customWidth="1"/>
    <col min="6416" max="6416" width="12" style="57" bestFit="1" customWidth="1"/>
    <col min="6417" max="6417" width="10.28515625" style="57" bestFit="1" customWidth="1"/>
    <col min="6418" max="6418" width="12" style="57" bestFit="1" customWidth="1"/>
    <col min="6419" max="6419" width="12.5703125" style="57" bestFit="1" customWidth="1"/>
    <col min="6420" max="6420" width="12" style="57" bestFit="1" customWidth="1"/>
    <col min="6421" max="6422" width="11.7109375" style="57" bestFit="1" customWidth="1"/>
    <col min="6423" max="6423" width="11.140625" style="57" bestFit="1" customWidth="1"/>
    <col min="6424" max="6656" width="9.140625" style="57"/>
    <col min="6657" max="6657" width="10.28515625" style="57" customWidth="1"/>
    <col min="6658" max="6658" width="10.42578125" style="57" customWidth="1"/>
    <col min="6659" max="6659" width="12.7109375" style="57" customWidth="1"/>
    <col min="6660" max="6660" width="11.28515625" style="57" customWidth="1"/>
    <col min="6661" max="6661" width="11.85546875" style="57" customWidth="1"/>
    <col min="6662" max="6662" width="11.7109375" style="57" customWidth="1"/>
    <col min="6663" max="6663" width="10.7109375" style="57" customWidth="1"/>
    <col min="6664" max="6664" width="11.85546875" style="57" customWidth="1"/>
    <col min="6665" max="6665" width="11.42578125" style="57" customWidth="1"/>
    <col min="6666" max="6666" width="12.28515625" style="57" customWidth="1"/>
    <col min="6667" max="6667" width="11" style="57" customWidth="1"/>
    <col min="6668" max="6668" width="12" style="57" customWidth="1"/>
    <col min="6669" max="6669" width="12.85546875" style="57" bestFit="1" customWidth="1"/>
    <col min="6670" max="6670" width="13.85546875" style="57" customWidth="1"/>
    <col min="6671" max="6671" width="4.85546875" style="57" bestFit="1" customWidth="1"/>
    <col min="6672" max="6672" width="12" style="57" bestFit="1" customWidth="1"/>
    <col min="6673" max="6673" width="10.28515625" style="57" bestFit="1" customWidth="1"/>
    <col min="6674" max="6674" width="12" style="57" bestFit="1" customWidth="1"/>
    <col min="6675" max="6675" width="12.5703125" style="57" bestFit="1" customWidth="1"/>
    <col min="6676" max="6676" width="12" style="57" bestFit="1" customWidth="1"/>
    <col min="6677" max="6678" width="11.7109375" style="57" bestFit="1" customWidth="1"/>
    <col min="6679" max="6679" width="11.140625" style="57" bestFit="1" customWidth="1"/>
    <col min="6680" max="6912" width="9.140625" style="57"/>
    <col min="6913" max="6913" width="10.28515625" style="57" customWidth="1"/>
    <col min="6914" max="6914" width="10.42578125" style="57" customWidth="1"/>
    <col min="6915" max="6915" width="12.7109375" style="57" customWidth="1"/>
    <col min="6916" max="6916" width="11.28515625" style="57" customWidth="1"/>
    <col min="6917" max="6917" width="11.85546875" style="57" customWidth="1"/>
    <col min="6918" max="6918" width="11.7109375" style="57" customWidth="1"/>
    <col min="6919" max="6919" width="10.7109375" style="57" customWidth="1"/>
    <col min="6920" max="6920" width="11.85546875" style="57" customWidth="1"/>
    <col min="6921" max="6921" width="11.42578125" style="57" customWidth="1"/>
    <col min="6922" max="6922" width="12.28515625" style="57" customWidth="1"/>
    <col min="6923" max="6923" width="11" style="57" customWidth="1"/>
    <col min="6924" max="6924" width="12" style="57" customWidth="1"/>
    <col min="6925" max="6925" width="12.85546875" style="57" bestFit="1" customWidth="1"/>
    <col min="6926" max="6926" width="13.85546875" style="57" customWidth="1"/>
    <col min="6927" max="6927" width="4.85546875" style="57" bestFit="1" customWidth="1"/>
    <col min="6928" max="6928" width="12" style="57" bestFit="1" customWidth="1"/>
    <col min="6929" max="6929" width="10.28515625" style="57" bestFit="1" customWidth="1"/>
    <col min="6930" max="6930" width="12" style="57" bestFit="1" customWidth="1"/>
    <col min="6931" max="6931" width="12.5703125" style="57" bestFit="1" customWidth="1"/>
    <col min="6932" max="6932" width="12" style="57" bestFit="1" customWidth="1"/>
    <col min="6933" max="6934" width="11.7109375" style="57" bestFit="1" customWidth="1"/>
    <col min="6935" max="6935" width="11.140625" style="57" bestFit="1" customWidth="1"/>
    <col min="6936" max="7168" width="9.140625" style="57"/>
    <col min="7169" max="7169" width="10.28515625" style="57" customWidth="1"/>
    <col min="7170" max="7170" width="10.42578125" style="57" customWidth="1"/>
    <col min="7171" max="7171" width="12.7109375" style="57" customWidth="1"/>
    <col min="7172" max="7172" width="11.28515625" style="57" customWidth="1"/>
    <col min="7173" max="7173" width="11.85546875" style="57" customWidth="1"/>
    <col min="7174" max="7174" width="11.7109375" style="57" customWidth="1"/>
    <col min="7175" max="7175" width="10.7109375" style="57" customWidth="1"/>
    <col min="7176" max="7176" width="11.85546875" style="57" customWidth="1"/>
    <col min="7177" max="7177" width="11.42578125" style="57" customWidth="1"/>
    <col min="7178" max="7178" width="12.28515625" style="57" customWidth="1"/>
    <col min="7179" max="7179" width="11" style="57" customWidth="1"/>
    <col min="7180" max="7180" width="12" style="57" customWidth="1"/>
    <col min="7181" max="7181" width="12.85546875" style="57" bestFit="1" customWidth="1"/>
    <col min="7182" max="7182" width="13.85546875" style="57" customWidth="1"/>
    <col min="7183" max="7183" width="4.85546875" style="57" bestFit="1" customWidth="1"/>
    <col min="7184" max="7184" width="12" style="57" bestFit="1" customWidth="1"/>
    <col min="7185" max="7185" width="10.28515625" style="57" bestFit="1" customWidth="1"/>
    <col min="7186" max="7186" width="12" style="57" bestFit="1" customWidth="1"/>
    <col min="7187" max="7187" width="12.5703125" style="57" bestFit="1" customWidth="1"/>
    <col min="7188" max="7188" width="12" style="57" bestFit="1" customWidth="1"/>
    <col min="7189" max="7190" width="11.7109375" style="57" bestFit="1" customWidth="1"/>
    <col min="7191" max="7191" width="11.140625" style="57" bestFit="1" customWidth="1"/>
    <col min="7192" max="7424" width="9.140625" style="57"/>
    <col min="7425" max="7425" width="10.28515625" style="57" customWidth="1"/>
    <col min="7426" max="7426" width="10.42578125" style="57" customWidth="1"/>
    <col min="7427" max="7427" width="12.7109375" style="57" customWidth="1"/>
    <col min="7428" max="7428" width="11.28515625" style="57" customWidth="1"/>
    <col min="7429" max="7429" width="11.85546875" style="57" customWidth="1"/>
    <col min="7430" max="7430" width="11.7109375" style="57" customWidth="1"/>
    <col min="7431" max="7431" width="10.7109375" style="57" customWidth="1"/>
    <col min="7432" max="7432" width="11.85546875" style="57" customWidth="1"/>
    <col min="7433" max="7433" width="11.42578125" style="57" customWidth="1"/>
    <col min="7434" max="7434" width="12.28515625" style="57" customWidth="1"/>
    <col min="7435" max="7435" width="11" style="57" customWidth="1"/>
    <col min="7436" max="7436" width="12" style="57" customWidth="1"/>
    <col min="7437" max="7437" width="12.85546875" style="57" bestFit="1" customWidth="1"/>
    <col min="7438" max="7438" width="13.85546875" style="57" customWidth="1"/>
    <col min="7439" max="7439" width="4.85546875" style="57" bestFit="1" customWidth="1"/>
    <col min="7440" max="7440" width="12" style="57" bestFit="1" customWidth="1"/>
    <col min="7441" max="7441" width="10.28515625" style="57" bestFit="1" customWidth="1"/>
    <col min="7442" max="7442" width="12" style="57" bestFit="1" customWidth="1"/>
    <col min="7443" max="7443" width="12.5703125" style="57" bestFit="1" customWidth="1"/>
    <col min="7444" max="7444" width="12" style="57" bestFit="1" customWidth="1"/>
    <col min="7445" max="7446" width="11.7109375" style="57" bestFit="1" customWidth="1"/>
    <col min="7447" max="7447" width="11.140625" style="57" bestFit="1" customWidth="1"/>
    <col min="7448" max="7680" width="9.140625" style="57"/>
    <col min="7681" max="7681" width="10.28515625" style="57" customWidth="1"/>
    <col min="7682" max="7682" width="10.42578125" style="57" customWidth="1"/>
    <col min="7683" max="7683" width="12.7109375" style="57" customWidth="1"/>
    <col min="7684" max="7684" width="11.28515625" style="57" customWidth="1"/>
    <col min="7685" max="7685" width="11.85546875" style="57" customWidth="1"/>
    <col min="7686" max="7686" width="11.7109375" style="57" customWidth="1"/>
    <col min="7687" max="7687" width="10.7109375" style="57" customWidth="1"/>
    <col min="7688" max="7688" width="11.85546875" style="57" customWidth="1"/>
    <col min="7689" max="7689" width="11.42578125" style="57" customWidth="1"/>
    <col min="7690" max="7690" width="12.28515625" style="57" customWidth="1"/>
    <col min="7691" max="7691" width="11" style="57" customWidth="1"/>
    <col min="7692" max="7692" width="12" style="57" customWidth="1"/>
    <col min="7693" max="7693" width="12.85546875" style="57" bestFit="1" customWidth="1"/>
    <col min="7694" max="7694" width="13.85546875" style="57" customWidth="1"/>
    <col min="7695" max="7695" width="4.85546875" style="57" bestFit="1" customWidth="1"/>
    <col min="7696" max="7696" width="12" style="57" bestFit="1" customWidth="1"/>
    <col min="7697" max="7697" width="10.28515625" style="57" bestFit="1" customWidth="1"/>
    <col min="7698" max="7698" width="12" style="57" bestFit="1" customWidth="1"/>
    <col min="7699" max="7699" width="12.5703125" style="57" bestFit="1" customWidth="1"/>
    <col min="7700" max="7700" width="12" style="57" bestFit="1" customWidth="1"/>
    <col min="7701" max="7702" width="11.7109375" style="57" bestFit="1" customWidth="1"/>
    <col min="7703" max="7703" width="11.140625" style="57" bestFit="1" customWidth="1"/>
    <col min="7704" max="7936" width="9.140625" style="57"/>
    <col min="7937" max="7937" width="10.28515625" style="57" customWidth="1"/>
    <col min="7938" max="7938" width="10.42578125" style="57" customWidth="1"/>
    <col min="7939" max="7939" width="12.7109375" style="57" customWidth="1"/>
    <col min="7940" max="7940" width="11.28515625" style="57" customWidth="1"/>
    <col min="7941" max="7941" width="11.85546875" style="57" customWidth="1"/>
    <col min="7942" max="7942" width="11.7109375" style="57" customWidth="1"/>
    <col min="7943" max="7943" width="10.7109375" style="57" customWidth="1"/>
    <col min="7944" max="7944" width="11.85546875" style="57" customWidth="1"/>
    <col min="7945" max="7945" width="11.42578125" style="57" customWidth="1"/>
    <col min="7946" max="7946" width="12.28515625" style="57" customWidth="1"/>
    <col min="7947" max="7947" width="11" style="57" customWidth="1"/>
    <col min="7948" max="7948" width="12" style="57" customWidth="1"/>
    <col min="7949" max="7949" width="12.85546875" style="57" bestFit="1" customWidth="1"/>
    <col min="7950" max="7950" width="13.85546875" style="57" customWidth="1"/>
    <col min="7951" max="7951" width="4.85546875" style="57" bestFit="1" customWidth="1"/>
    <col min="7952" max="7952" width="12" style="57" bestFit="1" customWidth="1"/>
    <col min="7953" max="7953" width="10.28515625" style="57" bestFit="1" customWidth="1"/>
    <col min="7954" max="7954" width="12" style="57" bestFit="1" customWidth="1"/>
    <col min="7955" max="7955" width="12.5703125" style="57" bestFit="1" customWidth="1"/>
    <col min="7956" max="7956" width="12" style="57" bestFit="1" customWidth="1"/>
    <col min="7957" max="7958" width="11.7109375" style="57" bestFit="1" customWidth="1"/>
    <col min="7959" max="7959" width="11.140625" style="57" bestFit="1" customWidth="1"/>
    <col min="7960" max="8192" width="9.140625" style="57"/>
    <col min="8193" max="8193" width="10.28515625" style="57" customWidth="1"/>
    <col min="8194" max="8194" width="10.42578125" style="57" customWidth="1"/>
    <col min="8195" max="8195" width="12.7109375" style="57" customWidth="1"/>
    <col min="8196" max="8196" width="11.28515625" style="57" customWidth="1"/>
    <col min="8197" max="8197" width="11.85546875" style="57" customWidth="1"/>
    <col min="8198" max="8198" width="11.7109375" style="57" customWidth="1"/>
    <col min="8199" max="8199" width="10.7109375" style="57" customWidth="1"/>
    <col min="8200" max="8200" width="11.85546875" style="57" customWidth="1"/>
    <col min="8201" max="8201" width="11.42578125" style="57" customWidth="1"/>
    <col min="8202" max="8202" width="12.28515625" style="57" customWidth="1"/>
    <col min="8203" max="8203" width="11" style="57" customWidth="1"/>
    <col min="8204" max="8204" width="12" style="57" customWidth="1"/>
    <col min="8205" max="8205" width="12.85546875" style="57" bestFit="1" customWidth="1"/>
    <col min="8206" max="8206" width="13.85546875" style="57" customWidth="1"/>
    <col min="8207" max="8207" width="4.85546875" style="57" bestFit="1" customWidth="1"/>
    <col min="8208" max="8208" width="12" style="57" bestFit="1" customWidth="1"/>
    <col min="8209" max="8209" width="10.28515625" style="57" bestFit="1" customWidth="1"/>
    <col min="8210" max="8210" width="12" style="57" bestFit="1" customWidth="1"/>
    <col min="8211" max="8211" width="12.5703125" style="57" bestFit="1" customWidth="1"/>
    <col min="8212" max="8212" width="12" style="57" bestFit="1" customWidth="1"/>
    <col min="8213" max="8214" width="11.7109375" style="57" bestFit="1" customWidth="1"/>
    <col min="8215" max="8215" width="11.140625" style="57" bestFit="1" customWidth="1"/>
    <col min="8216" max="8448" width="9.140625" style="57"/>
    <col min="8449" max="8449" width="10.28515625" style="57" customWidth="1"/>
    <col min="8450" max="8450" width="10.42578125" style="57" customWidth="1"/>
    <col min="8451" max="8451" width="12.7109375" style="57" customWidth="1"/>
    <col min="8452" max="8452" width="11.28515625" style="57" customWidth="1"/>
    <col min="8453" max="8453" width="11.85546875" style="57" customWidth="1"/>
    <col min="8454" max="8454" width="11.7109375" style="57" customWidth="1"/>
    <col min="8455" max="8455" width="10.7109375" style="57" customWidth="1"/>
    <col min="8456" max="8456" width="11.85546875" style="57" customWidth="1"/>
    <col min="8457" max="8457" width="11.42578125" style="57" customWidth="1"/>
    <col min="8458" max="8458" width="12.28515625" style="57" customWidth="1"/>
    <col min="8459" max="8459" width="11" style="57" customWidth="1"/>
    <col min="8460" max="8460" width="12" style="57" customWidth="1"/>
    <col min="8461" max="8461" width="12.85546875" style="57" bestFit="1" customWidth="1"/>
    <col min="8462" max="8462" width="13.85546875" style="57" customWidth="1"/>
    <col min="8463" max="8463" width="4.85546875" style="57" bestFit="1" customWidth="1"/>
    <col min="8464" max="8464" width="12" style="57" bestFit="1" customWidth="1"/>
    <col min="8465" max="8465" width="10.28515625" style="57" bestFit="1" customWidth="1"/>
    <col min="8466" max="8466" width="12" style="57" bestFit="1" customWidth="1"/>
    <col min="8467" max="8467" width="12.5703125" style="57" bestFit="1" customWidth="1"/>
    <col min="8468" max="8468" width="12" style="57" bestFit="1" customWidth="1"/>
    <col min="8469" max="8470" width="11.7109375" style="57" bestFit="1" customWidth="1"/>
    <col min="8471" max="8471" width="11.140625" style="57" bestFit="1" customWidth="1"/>
    <col min="8472" max="8704" width="9.140625" style="57"/>
    <col min="8705" max="8705" width="10.28515625" style="57" customWidth="1"/>
    <col min="8706" max="8706" width="10.42578125" style="57" customWidth="1"/>
    <col min="8707" max="8707" width="12.7109375" style="57" customWidth="1"/>
    <col min="8708" max="8708" width="11.28515625" style="57" customWidth="1"/>
    <col min="8709" max="8709" width="11.85546875" style="57" customWidth="1"/>
    <col min="8710" max="8710" width="11.7109375" style="57" customWidth="1"/>
    <col min="8711" max="8711" width="10.7109375" style="57" customWidth="1"/>
    <col min="8712" max="8712" width="11.85546875" style="57" customWidth="1"/>
    <col min="8713" max="8713" width="11.42578125" style="57" customWidth="1"/>
    <col min="8714" max="8714" width="12.28515625" style="57" customWidth="1"/>
    <col min="8715" max="8715" width="11" style="57" customWidth="1"/>
    <col min="8716" max="8716" width="12" style="57" customWidth="1"/>
    <col min="8717" max="8717" width="12.85546875" style="57" bestFit="1" customWidth="1"/>
    <col min="8718" max="8718" width="13.85546875" style="57" customWidth="1"/>
    <col min="8719" max="8719" width="4.85546875" style="57" bestFit="1" customWidth="1"/>
    <col min="8720" max="8720" width="12" style="57" bestFit="1" customWidth="1"/>
    <col min="8721" max="8721" width="10.28515625" style="57" bestFit="1" customWidth="1"/>
    <col min="8722" max="8722" width="12" style="57" bestFit="1" customWidth="1"/>
    <col min="8723" max="8723" width="12.5703125" style="57" bestFit="1" customWidth="1"/>
    <col min="8724" max="8724" width="12" style="57" bestFit="1" customWidth="1"/>
    <col min="8725" max="8726" width="11.7109375" style="57" bestFit="1" customWidth="1"/>
    <col min="8727" max="8727" width="11.140625" style="57" bestFit="1" customWidth="1"/>
    <col min="8728" max="8960" width="9.140625" style="57"/>
    <col min="8961" max="8961" width="10.28515625" style="57" customWidth="1"/>
    <col min="8962" max="8962" width="10.42578125" style="57" customWidth="1"/>
    <col min="8963" max="8963" width="12.7109375" style="57" customWidth="1"/>
    <col min="8964" max="8964" width="11.28515625" style="57" customWidth="1"/>
    <col min="8965" max="8965" width="11.85546875" style="57" customWidth="1"/>
    <col min="8966" max="8966" width="11.7109375" style="57" customWidth="1"/>
    <col min="8967" max="8967" width="10.7109375" style="57" customWidth="1"/>
    <col min="8968" max="8968" width="11.85546875" style="57" customWidth="1"/>
    <col min="8969" max="8969" width="11.42578125" style="57" customWidth="1"/>
    <col min="8970" max="8970" width="12.28515625" style="57" customWidth="1"/>
    <col min="8971" max="8971" width="11" style="57" customWidth="1"/>
    <col min="8972" max="8972" width="12" style="57" customWidth="1"/>
    <col min="8973" max="8973" width="12.85546875" style="57" bestFit="1" customWidth="1"/>
    <col min="8974" max="8974" width="13.85546875" style="57" customWidth="1"/>
    <col min="8975" max="8975" width="4.85546875" style="57" bestFit="1" customWidth="1"/>
    <col min="8976" max="8976" width="12" style="57" bestFit="1" customWidth="1"/>
    <col min="8977" max="8977" width="10.28515625" style="57" bestFit="1" customWidth="1"/>
    <col min="8978" max="8978" width="12" style="57" bestFit="1" customWidth="1"/>
    <col min="8979" max="8979" width="12.5703125" style="57" bestFit="1" customWidth="1"/>
    <col min="8980" max="8980" width="12" style="57" bestFit="1" customWidth="1"/>
    <col min="8981" max="8982" width="11.7109375" style="57" bestFit="1" customWidth="1"/>
    <col min="8983" max="8983" width="11.140625" style="57" bestFit="1" customWidth="1"/>
    <col min="8984" max="9216" width="9.140625" style="57"/>
    <col min="9217" max="9217" width="10.28515625" style="57" customWidth="1"/>
    <col min="9218" max="9218" width="10.42578125" style="57" customWidth="1"/>
    <col min="9219" max="9219" width="12.7109375" style="57" customWidth="1"/>
    <col min="9220" max="9220" width="11.28515625" style="57" customWidth="1"/>
    <col min="9221" max="9221" width="11.85546875" style="57" customWidth="1"/>
    <col min="9222" max="9222" width="11.7109375" style="57" customWidth="1"/>
    <col min="9223" max="9223" width="10.7109375" style="57" customWidth="1"/>
    <col min="9224" max="9224" width="11.85546875" style="57" customWidth="1"/>
    <col min="9225" max="9225" width="11.42578125" style="57" customWidth="1"/>
    <col min="9226" max="9226" width="12.28515625" style="57" customWidth="1"/>
    <col min="9227" max="9227" width="11" style="57" customWidth="1"/>
    <col min="9228" max="9228" width="12" style="57" customWidth="1"/>
    <col min="9229" max="9229" width="12.85546875" style="57" bestFit="1" customWidth="1"/>
    <col min="9230" max="9230" width="13.85546875" style="57" customWidth="1"/>
    <col min="9231" max="9231" width="4.85546875" style="57" bestFit="1" customWidth="1"/>
    <col min="9232" max="9232" width="12" style="57" bestFit="1" customWidth="1"/>
    <col min="9233" max="9233" width="10.28515625" style="57" bestFit="1" customWidth="1"/>
    <col min="9234" max="9234" width="12" style="57" bestFit="1" customWidth="1"/>
    <col min="9235" max="9235" width="12.5703125" style="57" bestFit="1" customWidth="1"/>
    <col min="9236" max="9236" width="12" style="57" bestFit="1" customWidth="1"/>
    <col min="9237" max="9238" width="11.7109375" style="57" bestFit="1" customWidth="1"/>
    <col min="9239" max="9239" width="11.140625" style="57" bestFit="1" customWidth="1"/>
    <col min="9240" max="9472" width="9.140625" style="57"/>
    <col min="9473" max="9473" width="10.28515625" style="57" customWidth="1"/>
    <col min="9474" max="9474" width="10.42578125" style="57" customWidth="1"/>
    <col min="9475" max="9475" width="12.7109375" style="57" customWidth="1"/>
    <col min="9476" max="9476" width="11.28515625" style="57" customWidth="1"/>
    <col min="9477" max="9477" width="11.85546875" style="57" customWidth="1"/>
    <col min="9478" max="9478" width="11.7109375" style="57" customWidth="1"/>
    <col min="9479" max="9479" width="10.7109375" style="57" customWidth="1"/>
    <col min="9480" max="9480" width="11.85546875" style="57" customWidth="1"/>
    <col min="9481" max="9481" width="11.42578125" style="57" customWidth="1"/>
    <col min="9482" max="9482" width="12.28515625" style="57" customWidth="1"/>
    <col min="9483" max="9483" width="11" style="57" customWidth="1"/>
    <col min="9484" max="9484" width="12" style="57" customWidth="1"/>
    <col min="9485" max="9485" width="12.85546875" style="57" bestFit="1" customWidth="1"/>
    <col min="9486" max="9486" width="13.85546875" style="57" customWidth="1"/>
    <col min="9487" max="9487" width="4.85546875" style="57" bestFit="1" customWidth="1"/>
    <col min="9488" max="9488" width="12" style="57" bestFit="1" customWidth="1"/>
    <col min="9489" max="9489" width="10.28515625" style="57" bestFit="1" customWidth="1"/>
    <col min="9490" max="9490" width="12" style="57" bestFit="1" customWidth="1"/>
    <col min="9491" max="9491" width="12.5703125" style="57" bestFit="1" customWidth="1"/>
    <col min="9492" max="9492" width="12" style="57" bestFit="1" customWidth="1"/>
    <col min="9493" max="9494" width="11.7109375" style="57" bestFit="1" customWidth="1"/>
    <col min="9495" max="9495" width="11.140625" style="57" bestFit="1" customWidth="1"/>
    <col min="9496" max="9728" width="9.140625" style="57"/>
    <col min="9729" max="9729" width="10.28515625" style="57" customWidth="1"/>
    <col min="9730" max="9730" width="10.42578125" style="57" customWidth="1"/>
    <col min="9731" max="9731" width="12.7109375" style="57" customWidth="1"/>
    <col min="9732" max="9732" width="11.28515625" style="57" customWidth="1"/>
    <col min="9733" max="9733" width="11.85546875" style="57" customWidth="1"/>
    <col min="9734" max="9734" width="11.7109375" style="57" customWidth="1"/>
    <col min="9735" max="9735" width="10.7109375" style="57" customWidth="1"/>
    <col min="9736" max="9736" width="11.85546875" style="57" customWidth="1"/>
    <col min="9737" max="9737" width="11.42578125" style="57" customWidth="1"/>
    <col min="9738" max="9738" width="12.28515625" style="57" customWidth="1"/>
    <col min="9739" max="9739" width="11" style="57" customWidth="1"/>
    <col min="9740" max="9740" width="12" style="57" customWidth="1"/>
    <col min="9741" max="9741" width="12.85546875" style="57" bestFit="1" customWidth="1"/>
    <col min="9742" max="9742" width="13.85546875" style="57" customWidth="1"/>
    <col min="9743" max="9743" width="4.85546875" style="57" bestFit="1" customWidth="1"/>
    <col min="9744" max="9744" width="12" style="57" bestFit="1" customWidth="1"/>
    <col min="9745" max="9745" width="10.28515625" style="57" bestFit="1" customWidth="1"/>
    <col min="9746" max="9746" width="12" style="57" bestFit="1" customWidth="1"/>
    <col min="9747" max="9747" width="12.5703125" style="57" bestFit="1" customWidth="1"/>
    <col min="9748" max="9748" width="12" style="57" bestFit="1" customWidth="1"/>
    <col min="9749" max="9750" width="11.7109375" style="57" bestFit="1" customWidth="1"/>
    <col min="9751" max="9751" width="11.140625" style="57" bestFit="1" customWidth="1"/>
    <col min="9752" max="9984" width="9.140625" style="57"/>
    <col min="9985" max="9985" width="10.28515625" style="57" customWidth="1"/>
    <col min="9986" max="9986" width="10.42578125" style="57" customWidth="1"/>
    <col min="9987" max="9987" width="12.7109375" style="57" customWidth="1"/>
    <col min="9988" max="9988" width="11.28515625" style="57" customWidth="1"/>
    <col min="9989" max="9989" width="11.85546875" style="57" customWidth="1"/>
    <col min="9990" max="9990" width="11.7109375" style="57" customWidth="1"/>
    <col min="9991" max="9991" width="10.7109375" style="57" customWidth="1"/>
    <col min="9992" max="9992" width="11.85546875" style="57" customWidth="1"/>
    <col min="9993" max="9993" width="11.42578125" style="57" customWidth="1"/>
    <col min="9994" max="9994" width="12.28515625" style="57" customWidth="1"/>
    <col min="9995" max="9995" width="11" style="57" customWidth="1"/>
    <col min="9996" max="9996" width="12" style="57" customWidth="1"/>
    <col min="9997" max="9997" width="12.85546875" style="57" bestFit="1" customWidth="1"/>
    <col min="9998" max="9998" width="13.85546875" style="57" customWidth="1"/>
    <col min="9999" max="9999" width="4.85546875" style="57" bestFit="1" customWidth="1"/>
    <col min="10000" max="10000" width="12" style="57" bestFit="1" customWidth="1"/>
    <col min="10001" max="10001" width="10.28515625" style="57" bestFit="1" customWidth="1"/>
    <col min="10002" max="10002" width="12" style="57" bestFit="1" customWidth="1"/>
    <col min="10003" max="10003" width="12.5703125" style="57" bestFit="1" customWidth="1"/>
    <col min="10004" max="10004" width="12" style="57" bestFit="1" customWidth="1"/>
    <col min="10005" max="10006" width="11.7109375" style="57" bestFit="1" customWidth="1"/>
    <col min="10007" max="10007" width="11.140625" style="57" bestFit="1" customWidth="1"/>
    <col min="10008" max="10240" width="9.140625" style="57"/>
    <col min="10241" max="10241" width="10.28515625" style="57" customWidth="1"/>
    <col min="10242" max="10242" width="10.42578125" style="57" customWidth="1"/>
    <col min="10243" max="10243" width="12.7109375" style="57" customWidth="1"/>
    <col min="10244" max="10244" width="11.28515625" style="57" customWidth="1"/>
    <col min="10245" max="10245" width="11.85546875" style="57" customWidth="1"/>
    <col min="10246" max="10246" width="11.7109375" style="57" customWidth="1"/>
    <col min="10247" max="10247" width="10.7109375" style="57" customWidth="1"/>
    <col min="10248" max="10248" width="11.85546875" style="57" customWidth="1"/>
    <col min="10249" max="10249" width="11.42578125" style="57" customWidth="1"/>
    <col min="10250" max="10250" width="12.28515625" style="57" customWidth="1"/>
    <col min="10251" max="10251" width="11" style="57" customWidth="1"/>
    <col min="10252" max="10252" width="12" style="57" customWidth="1"/>
    <col min="10253" max="10253" width="12.85546875" style="57" bestFit="1" customWidth="1"/>
    <col min="10254" max="10254" width="13.85546875" style="57" customWidth="1"/>
    <col min="10255" max="10255" width="4.85546875" style="57" bestFit="1" customWidth="1"/>
    <col min="10256" max="10256" width="12" style="57" bestFit="1" customWidth="1"/>
    <col min="10257" max="10257" width="10.28515625" style="57" bestFit="1" customWidth="1"/>
    <col min="10258" max="10258" width="12" style="57" bestFit="1" customWidth="1"/>
    <col min="10259" max="10259" width="12.5703125" style="57" bestFit="1" customWidth="1"/>
    <col min="10260" max="10260" width="12" style="57" bestFit="1" customWidth="1"/>
    <col min="10261" max="10262" width="11.7109375" style="57" bestFit="1" customWidth="1"/>
    <col min="10263" max="10263" width="11.140625" style="57" bestFit="1" customWidth="1"/>
    <col min="10264" max="10496" width="9.140625" style="57"/>
    <col min="10497" max="10497" width="10.28515625" style="57" customWidth="1"/>
    <col min="10498" max="10498" width="10.42578125" style="57" customWidth="1"/>
    <col min="10499" max="10499" width="12.7109375" style="57" customWidth="1"/>
    <col min="10500" max="10500" width="11.28515625" style="57" customWidth="1"/>
    <col min="10501" max="10501" width="11.85546875" style="57" customWidth="1"/>
    <col min="10502" max="10502" width="11.7109375" style="57" customWidth="1"/>
    <col min="10503" max="10503" width="10.7109375" style="57" customWidth="1"/>
    <col min="10504" max="10504" width="11.85546875" style="57" customWidth="1"/>
    <col min="10505" max="10505" width="11.42578125" style="57" customWidth="1"/>
    <col min="10506" max="10506" width="12.28515625" style="57" customWidth="1"/>
    <col min="10507" max="10507" width="11" style="57" customWidth="1"/>
    <col min="10508" max="10508" width="12" style="57" customWidth="1"/>
    <col min="10509" max="10509" width="12.85546875" style="57" bestFit="1" customWidth="1"/>
    <col min="10510" max="10510" width="13.85546875" style="57" customWidth="1"/>
    <col min="10511" max="10511" width="4.85546875" style="57" bestFit="1" customWidth="1"/>
    <col min="10512" max="10512" width="12" style="57" bestFit="1" customWidth="1"/>
    <col min="10513" max="10513" width="10.28515625" style="57" bestFit="1" customWidth="1"/>
    <col min="10514" max="10514" width="12" style="57" bestFit="1" customWidth="1"/>
    <col min="10515" max="10515" width="12.5703125" style="57" bestFit="1" customWidth="1"/>
    <col min="10516" max="10516" width="12" style="57" bestFit="1" customWidth="1"/>
    <col min="10517" max="10518" width="11.7109375" style="57" bestFit="1" customWidth="1"/>
    <col min="10519" max="10519" width="11.140625" style="57" bestFit="1" customWidth="1"/>
    <col min="10520" max="10752" width="9.140625" style="57"/>
    <col min="10753" max="10753" width="10.28515625" style="57" customWidth="1"/>
    <col min="10754" max="10754" width="10.42578125" style="57" customWidth="1"/>
    <col min="10755" max="10755" width="12.7109375" style="57" customWidth="1"/>
    <col min="10756" max="10756" width="11.28515625" style="57" customWidth="1"/>
    <col min="10757" max="10757" width="11.85546875" style="57" customWidth="1"/>
    <col min="10758" max="10758" width="11.7109375" style="57" customWidth="1"/>
    <col min="10759" max="10759" width="10.7109375" style="57" customWidth="1"/>
    <col min="10760" max="10760" width="11.85546875" style="57" customWidth="1"/>
    <col min="10761" max="10761" width="11.42578125" style="57" customWidth="1"/>
    <col min="10762" max="10762" width="12.28515625" style="57" customWidth="1"/>
    <col min="10763" max="10763" width="11" style="57" customWidth="1"/>
    <col min="10764" max="10764" width="12" style="57" customWidth="1"/>
    <col min="10765" max="10765" width="12.85546875" style="57" bestFit="1" customWidth="1"/>
    <col min="10766" max="10766" width="13.85546875" style="57" customWidth="1"/>
    <col min="10767" max="10767" width="4.85546875" style="57" bestFit="1" customWidth="1"/>
    <col min="10768" max="10768" width="12" style="57" bestFit="1" customWidth="1"/>
    <col min="10769" max="10769" width="10.28515625" style="57" bestFit="1" customWidth="1"/>
    <col min="10770" max="10770" width="12" style="57" bestFit="1" customWidth="1"/>
    <col min="10771" max="10771" width="12.5703125" style="57" bestFit="1" customWidth="1"/>
    <col min="10772" max="10772" width="12" style="57" bestFit="1" customWidth="1"/>
    <col min="10773" max="10774" width="11.7109375" style="57" bestFit="1" customWidth="1"/>
    <col min="10775" max="10775" width="11.140625" style="57" bestFit="1" customWidth="1"/>
    <col min="10776" max="11008" width="9.140625" style="57"/>
    <col min="11009" max="11009" width="10.28515625" style="57" customWidth="1"/>
    <col min="11010" max="11010" width="10.42578125" style="57" customWidth="1"/>
    <col min="11011" max="11011" width="12.7109375" style="57" customWidth="1"/>
    <col min="11012" max="11012" width="11.28515625" style="57" customWidth="1"/>
    <col min="11013" max="11013" width="11.85546875" style="57" customWidth="1"/>
    <col min="11014" max="11014" width="11.7109375" style="57" customWidth="1"/>
    <col min="11015" max="11015" width="10.7109375" style="57" customWidth="1"/>
    <col min="11016" max="11016" width="11.85546875" style="57" customWidth="1"/>
    <col min="11017" max="11017" width="11.42578125" style="57" customWidth="1"/>
    <col min="11018" max="11018" width="12.28515625" style="57" customWidth="1"/>
    <col min="11019" max="11019" width="11" style="57" customWidth="1"/>
    <col min="11020" max="11020" width="12" style="57" customWidth="1"/>
    <col min="11021" max="11021" width="12.85546875" style="57" bestFit="1" customWidth="1"/>
    <col min="11022" max="11022" width="13.85546875" style="57" customWidth="1"/>
    <col min="11023" max="11023" width="4.85546875" style="57" bestFit="1" customWidth="1"/>
    <col min="11024" max="11024" width="12" style="57" bestFit="1" customWidth="1"/>
    <col min="11025" max="11025" width="10.28515625" style="57" bestFit="1" customWidth="1"/>
    <col min="11026" max="11026" width="12" style="57" bestFit="1" customWidth="1"/>
    <col min="11027" max="11027" width="12.5703125" style="57" bestFit="1" customWidth="1"/>
    <col min="11028" max="11028" width="12" style="57" bestFit="1" customWidth="1"/>
    <col min="11029" max="11030" width="11.7109375" style="57" bestFit="1" customWidth="1"/>
    <col min="11031" max="11031" width="11.140625" style="57" bestFit="1" customWidth="1"/>
    <col min="11032" max="11264" width="9.140625" style="57"/>
    <col min="11265" max="11265" width="10.28515625" style="57" customWidth="1"/>
    <col min="11266" max="11266" width="10.42578125" style="57" customWidth="1"/>
    <col min="11267" max="11267" width="12.7109375" style="57" customWidth="1"/>
    <col min="11268" max="11268" width="11.28515625" style="57" customWidth="1"/>
    <col min="11269" max="11269" width="11.85546875" style="57" customWidth="1"/>
    <col min="11270" max="11270" width="11.7109375" style="57" customWidth="1"/>
    <col min="11271" max="11271" width="10.7109375" style="57" customWidth="1"/>
    <col min="11272" max="11272" width="11.85546875" style="57" customWidth="1"/>
    <col min="11273" max="11273" width="11.42578125" style="57" customWidth="1"/>
    <col min="11274" max="11274" width="12.28515625" style="57" customWidth="1"/>
    <col min="11275" max="11275" width="11" style="57" customWidth="1"/>
    <col min="11276" max="11276" width="12" style="57" customWidth="1"/>
    <col min="11277" max="11277" width="12.85546875" style="57" bestFit="1" customWidth="1"/>
    <col min="11278" max="11278" width="13.85546875" style="57" customWidth="1"/>
    <col min="11279" max="11279" width="4.85546875" style="57" bestFit="1" customWidth="1"/>
    <col min="11280" max="11280" width="12" style="57" bestFit="1" customWidth="1"/>
    <col min="11281" max="11281" width="10.28515625" style="57" bestFit="1" customWidth="1"/>
    <col min="11282" max="11282" width="12" style="57" bestFit="1" customWidth="1"/>
    <col min="11283" max="11283" width="12.5703125" style="57" bestFit="1" customWidth="1"/>
    <col min="11284" max="11284" width="12" style="57" bestFit="1" customWidth="1"/>
    <col min="11285" max="11286" width="11.7109375" style="57" bestFit="1" customWidth="1"/>
    <col min="11287" max="11287" width="11.140625" style="57" bestFit="1" customWidth="1"/>
    <col min="11288" max="11520" width="9.140625" style="57"/>
    <col min="11521" max="11521" width="10.28515625" style="57" customWidth="1"/>
    <col min="11522" max="11522" width="10.42578125" style="57" customWidth="1"/>
    <col min="11523" max="11523" width="12.7109375" style="57" customWidth="1"/>
    <col min="11524" max="11524" width="11.28515625" style="57" customWidth="1"/>
    <col min="11525" max="11525" width="11.85546875" style="57" customWidth="1"/>
    <col min="11526" max="11526" width="11.7109375" style="57" customWidth="1"/>
    <col min="11527" max="11527" width="10.7109375" style="57" customWidth="1"/>
    <col min="11528" max="11528" width="11.85546875" style="57" customWidth="1"/>
    <col min="11529" max="11529" width="11.42578125" style="57" customWidth="1"/>
    <col min="11530" max="11530" width="12.28515625" style="57" customWidth="1"/>
    <col min="11531" max="11531" width="11" style="57" customWidth="1"/>
    <col min="11532" max="11532" width="12" style="57" customWidth="1"/>
    <col min="11533" max="11533" width="12.85546875" style="57" bestFit="1" customWidth="1"/>
    <col min="11534" max="11534" width="13.85546875" style="57" customWidth="1"/>
    <col min="11535" max="11535" width="4.85546875" style="57" bestFit="1" customWidth="1"/>
    <col min="11536" max="11536" width="12" style="57" bestFit="1" customWidth="1"/>
    <col min="11537" max="11537" width="10.28515625" style="57" bestFit="1" customWidth="1"/>
    <col min="11538" max="11538" width="12" style="57" bestFit="1" customWidth="1"/>
    <col min="11539" max="11539" width="12.5703125" style="57" bestFit="1" customWidth="1"/>
    <col min="11540" max="11540" width="12" style="57" bestFit="1" customWidth="1"/>
    <col min="11541" max="11542" width="11.7109375" style="57" bestFit="1" customWidth="1"/>
    <col min="11543" max="11543" width="11.140625" style="57" bestFit="1" customWidth="1"/>
    <col min="11544" max="11776" width="9.140625" style="57"/>
    <col min="11777" max="11777" width="10.28515625" style="57" customWidth="1"/>
    <col min="11778" max="11778" width="10.42578125" style="57" customWidth="1"/>
    <col min="11779" max="11779" width="12.7109375" style="57" customWidth="1"/>
    <col min="11780" max="11780" width="11.28515625" style="57" customWidth="1"/>
    <col min="11781" max="11781" width="11.85546875" style="57" customWidth="1"/>
    <col min="11782" max="11782" width="11.7109375" style="57" customWidth="1"/>
    <col min="11783" max="11783" width="10.7109375" style="57" customWidth="1"/>
    <col min="11784" max="11784" width="11.85546875" style="57" customWidth="1"/>
    <col min="11785" max="11785" width="11.42578125" style="57" customWidth="1"/>
    <col min="11786" max="11786" width="12.28515625" style="57" customWidth="1"/>
    <col min="11787" max="11787" width="11" style="57" customWidth="1"/>
    <col min="11788" max="11788" width="12" style="57" customWidth="1"/>
    <col min="11789" max="11789" width="12.85546875" style="57" bestFit="1" customWidth="1"/>
    <col min="11790" max="11790" width="13.85546875" style="57" customWidth="1"/>
    <col min="11791" max="11791" width="4.85546875" style="57" bestFit="1" customWidth="1"/>
    <col min="11792" max="11792" width="12" style="57" bestFit="1" customWidth="1"/>
    <col min="11793" max="11793" width="10.28515625" style="57" bestFit="1" customWidth="1"/>
    <col min="11794" max="11794" width="12" style="57" bestFit="1" customWidth="1"/>
    <col min="11795" max="11795" width="12.5703125" style="57" bestFit="1" customWidth="1"/>
    <col min="11796" max="11796" width="12" style="57" bestFit="1" customWidth="1"/>
    <col min="11797" max="11798" width="11.7109375" style="57" bestFit="1" customWidth="1"/>
    <col min="11799" max="11799" width="11.140625" style="57" bestFit="1" customWidth="1"/>
    <col min="11800" max="12032" width="9.140625" style="57"/>
    <col min="12033" max="12033" width="10.28515625" style="57" customWidth="1"/>
    <col min="12034" max="12034" width="10.42578125" style="57" customWidth="1"/>
    <col min="12035" max="12035" width="12.7109375" style="57" customWidth="1"/>
    <col min="12036" max="12036" width="11.28515625" style="57" customWidth="1"/>
    <col min="12037" max="12037" width="11.85546875" style="57" customWidth="1"/>
    <col min="12038" max="12038" width="11.7109375" style="57" customWidth="1"/>
    <col min="12039" max="12039" width="10.7109375" style="57" customWidth="1"/>
    <col min="12040" max="12040" width="11.85546875" style="57" customWidth="1"/>
    <col min="12041" max="12041" width="11.42578125" style="57" customWidth="1"/>
    <col min="12042" max="12042" width="12.28515625" style="57" customWidth="1"/>
    <col min="12043" max="12043" width="11" style="57" customWidth="1"/>
    <col min="12044" max="12044" width="12" style="57" customWidth="1"/>
    <col min="12045" max="12045" width="12.85546875" style="57" bestFit="1" customWidth="1"/>
    <col min="12046" max="12046" width="13.85546875" style="57" customWidth="1"/>
    <col min="12047" max="12047" width="4.85546875" style="57" bestFit="1" customWidth="1"/>
    <col min="12048" max="12048" width="12" style="57" bestFit="1" customWidth="1"/>
    <col min="12049" max="12049" width="10.28515625" style="57" bestFit="1" customWidth="1"/>
    <col min="12050" max="12050" width="12" style="57" bestFit="1" customWidth="1"/>
    <col min="12051" max="12051" width="12.5703125" style="57" bestFit="1" customWidth="1"/>
    <col min="12052" max="12052" width="12" style="57" bestFit="1" customWidth="1"/>
    <col min="12053" max="12054" width="11.7109375" style="57" bestFit="1" customWidth="1"/>
    <col min="12055" max="12055" width="11.140625" style="57" bestFit="1" customWidth="1"/>
    <col min="12056" max="12288" width="9.140625" style="57"/>
    <col min="12289" max="12289" width="10.28515625" style="57" customWidth="1"/>
    <col min="12290" max="12290" width="10.42578125" style="57" customWidth="1"/>
    <col min="12291" max="12291" width="12.7109375" style="57" customWidth="1"/>
    <col min="12292" max="12292" width="11.28515625" style="57" customWidth="1"/>
    <col min="12293" max="12293" width="11.85546875" style="57" customWidth="1"/>
    <col min="12294" max="12294" width="11.7109375" style="57" customWidth="1"/>
    <col min="12295" max="12295" width="10.7109375" style="57" customWidth="1"/>
    <col min="12296" max="12296" width="11.85546875" style="57" customWidth="1"/>
    <col min="12297" max="12297" width="11.42578125" style="57" customWidth="1"/>
    <col min="12298" max="12298" width="12.28515625" style="57" customWidth="1"/>
    <col min="12299" max="12299" width="11" style="57" customWidth="1"/>
    <col min="12300" max="12300" width="12" style="57" customWidth="1"/>
    <col min="12301" max="12301" width="12.85546875" style="57" bestFit="1" customWidth="1"/>
    <col min="12302" max="12302" width="13.85546875" style="57" customWidth="1"/>
    <col min="12303" max="12303" width="4.85546875" style="57" bestFit="1" customWidth="1"/>
    <col min="12304" max="12304" width="12" style="57" bestFit="1" customWidth="1"/>
    <col min="12305" max="12305" width="10.28515625" style="57" bestFit="1" customWidth="1"/>
    <col min="12306" max="12306" width="12" style="57" bestFit="1" customWidth="1"/>
    <col min="12307" max="12307" width="12.5703125" style="57" bestFit="1" customWidth="1"/>
    <col min="12308" max="12308" width="12" style="57" bestFit="1" customWidth="1"/>
    <col min="12309" max="12310" width="11.7109375" style="57" bestFit="1" customWidth="1"/>
    <col min="12311" max="12311" width="11.140625" style="57" bestFit="1" customWidth="1"/>
    <col min="12312" max="12544" width="9.140625" style="57"/>
    <col min="12545" max="12545" width="10.28515625" style="57" customWidth="1"/>
    <col min="12546" max="12546" width="10.42578125" style="57" customWidth="1"/>
    <col min="12547" max="12547" width="12.7109375" style="57" customWidth="1"/>
    <col min="12548" max="12548" width="11.28515625" style="57" customWidth="1"/>
    <col min="12549" max="12549" width="11.85546875" style="57" customWidth="1"/>
    <col min="12550" max="12550" width="11.7109375" style="57" customWidth="1"/>
    <col min="12551" max="12551" width="10.7109375" style="57" customWidth="1"/>
    <col min="12552" max="12552" width="11.85546875" style="57" customWidth="1"/>
    <col min="12553" max="12553" width="11.42578125" style="57" customWidth="1"/>
    <col min="12554" max="12554" width="12.28515625" style="57" customWidth="1"/>
    <col min="12555" max="12555" width="11" style="57" customWidth="1"/>
    <col min="12556" max="12556" width="12" style="57" customWidth="1"/>
    <col min="12557" max="12557" width="12.85546875" style="57" bestFit="1" customWidth="1"/>
    <col min="12558" max="12558" width="13.85546875" style="57" customWidth="1"/>
    <col min="12559" max="12559" width="4.85546875" style="57" bestFit="1" customWidth="1"/>
    <col min="12560" max="12560" width="12" style="57" bestFit="1" customWidth="1"/>
    <col min="12561" max="12561" width="10.28515625" style="57" bestFit="1" customWidth="1"/>
    <col min="12562" max="12562" width="12" style="57" bestFit="1" customWidth="1"/>
    <col min="12563" max="12563" width="12.5703125" style="57" bestFit="1" customWidth="1"/>
    <col min="12564" max="12564" width="12" style="57" bestFit="1" customWidth="1"/>
    <col min="12565" max="12566" width="11.7109375" style="57" bestFit="1" customWidth="1"/>
    <col min="12567" max="12567" width="11.140625" style="57" bestFit="1" customWidth="1"/>
    <col min="12568" max="12800" width="9.140625" style="57"/>
    <col min="12801" max="12801" width="10.28515625" style="57" customWidth="1"/>
    <col min="12802" max="12802" width="10.42578125" style="57" customWidth="1"/>
    <col min="12803" max="12803" width="12.7109375" style="57" customWidth="1"/>
    <col min="12804" max="12804" width="11.28515625" style="57" customWidth="1"/>
    <col min="12805" max="12805" width="11.85546875" style="57" customWidth="1"/>
    <col min="12806" max="12806" width="11.7109375" style="57" customWidth="1"/>
    <col min="12807" max="12807" width="10.7109375" style="57" customWidth="1"/>
    <col min="12808" max="12808" width="11.85546875" style="57" customWidth="1"/>
    <col min="12809" max="12809" width="11.42578125" style="57" customWidth="1"/>
    <col min="12810" max="12810" width="12.28515625" style="57" customWidth="1"/>
    <col min="12811" max="12811" width="11" style="57" customWidth="1"/>
    <col min="12812" max="12812" width="12" style="57" customWidth="1"/>
    <col min="12813" max="12813" width="12.85546875" style="57" bestFit="1" customWidth="1"/>
    <col min="12814" max="12814" width="13.85546875" style="57" customWidth="1"/>
    <col min="12815" max="12815" width="4.85546875" style="57" bestFit="1" customWidth="1"/>
    <col min="12816" max="12816" width="12" style="57" bestFit="1" customWidth="1"/>
    <col min="12817" max="12817" width="10.28515625" style="57" bestFit="1" customWidth="1"/>
    <col min="12818" max="12818" width="12" style="57" bestFit="1" customWidth="1"/>
    <col min="12819" max="12819" width="12.5703125" style="57" bestFit="1" customWidth="1"/>
    <col min="12820" max="12820" width="12" style="57" bestFit="1" customWidth="1"/>
    <col min="12821" max="12822" width="11.7109375" style="57" bestFit="1" customWidth="1"/>
    <col min="12823" max="12823" width="11.140625" style="57" bestFit="1" customWidth="1"/>
    <col min="12824" max="13056" width="9.140625" style="57"/>
    <col min="13057" max="13057" width="10.28515625" style="57" customWidth="1"/>
    <col min="13058" max="13058" width="10.42578125" style="57" customWidth="1"/>
    <col min="13059" max="13059" width="12.7109375" style="57" customWidth="1"/>
    <col min="13060" max="13060" width="11.28515625" style="57" customWidth="1"/>
    <col min="13061" max="13061" width="11.85546875" style="57" customWidth="1"/>
    <col min="13062" max="13062" width="11.7109375" style="57" customWidth="1"/>
    <col min="13063" max="13063" width="10.7109375" style="57" customWidth="1"/>
    <col min="13064" max="13064" width="11.85546875" style="57" customWidth="1"/>
    <col min="13065" max="13065" width="11.42578125" style="57" customWidth="1"/>
    <col min="13066" max="13066" width="12.28515625" style="57" customWidth="1"/>
    <col min="13067" max="13067" width="11" style="57" customWidth="1"/>
    <col min="13068" max="13068" width="12" style="57" customWidth="1"/>
    <col min="13069" max="13069" width="12.85546875" style="57" bestFit="1" customWidth="1"/>
    <col min="13070" max="13070" width="13.85546875" style="57" customWidth="1"/>
    <col min="13071" max="13071" width="4.85546875" style="57" bestFit="1" customWidth="1"/>
    <col min="13072" max="13072" width="12" style="57" bestFit="1" customWidth="1"/>
    <col min="13073" max="13073" width="10.28515625" style="57" bestFit="1" customWidth="1"/>
    <col min="13074" max="13074" width="12" style="57" bestFit="1" customWidth="1"/>
    <col min="13075" max="13075" width="12.5703125" style="57" bestFit="1" customWidth="1"/>
    <col min="13076" max="13076" width="12" style="57" bestFit="1" customWidth="1"/>
    <col min="13077" max="13078" width="11.7109375" style="57" bestFit="1" customWidth="1"/>
    <col min="13079" max="13079" width="11.140625" style="57" bestFit="1" customWidth="1"/>
    <col min="13080" max="13312" width="9.140625" style="57"/>
    <col min="13313" max="13313" width="10.28515625" style="57" customWidth="1"/>
    <col min="13314" max="13314" width="10.42578125" style="57" customWidth="1"/>
    <col min="13315" max="13315" width="12.7109375" style="57" customWidth="1"/>
    <col min="13316" max="13316" width="11.28515625" style="57" customWidth="1"/>
    <col min="13317" max="13317" width="11.85546875" style="57" customWidth="1"/>
    <col min="13318" max="13318" width="11.7109375" style="57" customWidth="1"/>
    <col min="13319" max="13319" width="10.7109375" style="57" customWidth="1"/>
    <col min="13320" max="13320" width="11.85546875" style="57" customWidth="1"/>
    <col min="13321" max="13321" width="11.42578125" style="57" customWidth="1"/>
    <col min="13322" max="13322" width="12.28515625" style="57" customWidth="1"/>
    <col min="13323" max="13323" width="11" style="57" customWidth="1"/>
    <col min="13324" max="13324" width="12" style="57" customWidth="1"/>
    <col min="13325" max="13325" width="12.85546875" style="57" bestFit="1" customWidth="1"/>
    <col min="13326" max="13326" width="13.85546875" style="57" customWidth="1"/>
    <col min="13327" max="13327" width="4.85546875" style="57" bestFit="1" customWidth="1"/>
    <col min="13328" max="13328" width="12" style="57" bestFit="1" customWidth="1"/>
    <col min="13329" max="13329" width="10.28515625" style="57" bestFit="1" customWidth="1"/>
    <col min="13330" max="13330" width="12" style="57" bestFit="1" customWidth="1"/>
    <col min="13331" max="13331" width="12.5703125" style="57" bestFit="1" customWidth="1"/>
    <col min="13332" max="13332" width="12" style="57" bestFit="1" customWidth="1"/>
    <col min="13333" max="13334" width="11.7109375" style="57" bestFit="1" customWidth="1"/>
    <col min="13335" max="13335" width="11.140625" style="57" bestFit="1" customWidth="1"/>
    <col min="13336" max="13568" width="9.140625" style="57"/>
    <col min="13569" max="13569" width="10.28515625" style="57" customWidth="1"/>
    <col min="13570" max="13570" width="10.42578125" style="57" customWidth="1"/>
    <col min="13571" max="13571" width="12.7109375" style="57" customWidth="1"/>
    <col min="13572" max="13572" width="11.28515625" style="57" customWidth="1"/>
    <col min="13573" max="13573" width="11.85546875" style="57" customWidth="1"/>
    <col min="13574" max="13574" width="11.7109375" style="57" customWidth="1"/>
    <col min="13575" max="13575" width="10.7109375" style="57" customWidth="1"/>
    <col min="13576" max="13576" width="11.85546875" style="57" customWidth="1"/>
    <col min="13577" max="13577" width="11.42578125" style="57" customWidth="1"/>
    <col min="13578" max="13578" width="12.28515625" style="57" customWidth="1"/>
    <col min="13579" max="13579" width="11" style="57" customWidth="1"/>
    <col min="13580" max="13580" width="12" style="57" customWidth="1"/>
    <col min="13581" max="13581" width="12.85546875" style="57" bestFit="1" customWidth="1"/>
    <col min="13582" max="13582" width="13.85546875" style="57" customWidth="1"/>
    <col min="13583" max="13583" width="4.85546875" style="57" bestFit="1" customWidth="1"/>
    <col min="13584" max="13584" width="12" style="57" bestFit="1" customWidth="1"/>
    <col min="13585" max="13585" width="10.28515625" style="57" bestFit="1" customWidth="1"/>
    <col min="13586" max="13586" width="12" style="57" bestFit="1" customWidth="1"/>
    <col min="13587" max="13587" width="12.5703125" style="57" bestFit="1" customWidth="1"/>
    <col min="13588" max="13588" width="12" style="57" bestFit="1" customWidth="1"/>
    <col min="13589" max="13590" width="11.7109375" style="57" bestFit="1" customWidth="1"/>
    <col min="13591" max="13591" width="11.140625" style="57" bestFit="1" customWidth="1"/>
    <col min="13592" max="13824" width="9.140625" style="57"/>
    <col min="13825" max="13825" width="10.28515625" style="57" customWidth="1"/>
    <col min="13826" max="13826" width="10.42578125" style="57" customWidth="1"/>
    <col min="13827" max="13827" width="12.7109375" style="57" customWidth="1"/>
    <col min="13828" max="13828" width="11.28515625" style="57" customWidth="1"/>
    <col min="13829" max="13829" width="11.85546875" style="57" customWidth="1"/>
    <col min="13830" max="13830" width="11.7109375" style="57" customWidth="1"/>
    <col min="13831" max="13831" width="10.7109375" style="57" customWidth="1"/>
    <col min="13832" max="13832" width="11.85546875" style="57" customWidth="1"/>
    <col min="13833" max="13833" width="11.42578125" style="57" customWidth="1"/>
    <col min="13834" max="13834" width="12.28515625" style="57" customWidth="1"/>
    <col min="13835" max="13835" width="11" style="57" customWidth="1"/>
    <col min="13836" max="13836" width="12" style="57" customWidth="1"/>
    <col min="13837" max="13837" width="12.85546875" style="57" bestFit="1" customWidth="1"/>
    <col min="13838" max="13838" width="13.85546875" style="57" customWidth="1"/>
    <col min="13839" max="13839" width="4.85546875" style="57" bestFit="1" customWidth="1"/>
    <col min="13840" max="13840" width="12" style="57" bestFit="1" customWidth="1"/>
    <col min="13841" max="13841" width="10.28515625" style="57" bestFit="1" customWidth="1"/>
    <col min="13842" max="13842" width="12" style="57" bestFit="1" customWidth="1"/>
    <col min="13843" max="13843" width="12.5703125" style="57" bestFit="1" customWidth="1"/>
    <col min="13844" max="13844" width="12" style="57" bestFit="1" customWidth="1"/>
    <col min="13845" max="13846" width="11.7109375" style="57" bestFit="1" customWidth="1"/>
    <col min="13847" max="13847" width="11.140625" style="57" bestFit="1" customWidth="1"/>
    <col min="13848" max="14080" width="9.140625" style="57"/>
    <col min="14081" max="14081" width="10.28515625" style="57" customWidth="1"/>
    <col min="14082" max="14082" width="10.42578125" style="57" customWidth="1"/>
    <col min="14083" max="14083" width="12.7109375" style="57" customWidth="1"/>
    <col min="14084" max="14084" width="11.28515625" style="57" customWidth="1"/>
    <col min="14085" max="14085" width="11.85546875" style="57" customWidth="1"/>
    <col min="14086" max="14086" width="11.7109375" style="57" customWidth="1"/>
    <col min="14087" max="14087" width="10.7109375" style="57" customWidth="1"/>
    <col min="14088" max="14088" width="11.85546875" style="57" customWidth="1"/>
    <col min="14089" max="14089" width="11.42578125" style="57" customWidth="1"/>
    <col min="14090" max="14090" width="12.28515625" style="57" customWidth="1"/>
    <col min="14091" max="14091" width="11" style="57" customWidth="1"/>
    <col min="14092" max="14092" width="12" style="57" customWidth="1"/>
    <col min="14093" max="14093" width="12.85546875" style="57" bestFit="1" customWidth="1"/>
    <col min="14094" max="14094" width="13.85546875" style="57" customWidth="1"/>
    <col min="14095" max="14095" width="4.85546875" style="57" bestFit="1" customWidth="1"/>
    <col min="14096" max="14096" width="12" style="57" bestFit="1" customWidth="1"/>
    <col min="14097" max="14097" width="10.28515625" style="57" bestFit="1" customWidth="1"/>
    <col min="14098" max="14098" width="12" style="57" bestFit="1" customWidth="1"/>
    <col min="14099" max="14099" width="12.5703125" style="57" bestFit="1" customWidth="1"/>
    <col min="14100" max="14100" width="12" style="57" bestFit="1" customWidth="1"/>
    <col min="14101" max="14102" width="11.7109375" style="57" bestFit="1" customWidth="1"/>
    <col min="14103" max="14103" width="11.140625" style="57" bestFit="1" customWidth="1"/>
    <col min="14104" max="14336" width="9.140625" style="57"/>
    <col min="14337" max="14337" width="10.28515625" style="57" customWidth="1"/>
    <col min="14338" max="14338" width="10.42578125" style="57" customWidth="1"/>
    <col min="14339" max="14339" width="12.7109375" style="57" customWidth="1"/>
    <col min="14340" max="14340" width="11.28515625" style="57" customWidth="1"/>
    <col min="14341" max="14341" width="11.85546875" style="57" customWidth="1"/>
    <col min="14342" max="14342" width="11.7109375" style="57" customWidth="1"/>
    <col min="14343" max="14343" width="10.7109375" style="57" customWidth="1"/>
    <col min="14344" max="14344" width="11.85546875" style="57" customWidth="1"/>
    <col min="14345" max="14345" width="11.42578125" style="57" customWidth="1"/>
    <col min="14346" max="14346" width="12.28515625" style="57" customWidth="1"/>
    <col min="14347" max="14347" width="11" style="57" customWidth="1"/>
    <col min="14348" max="14348" width="12" style="57" customWidth="1"/>
    <col min="14349" max="14349" width="12.85546875" style="57" bestFit="1" customWidth="1"/>
    <col min="14350" max="14350" width="13.85546875" style="57" customWidth="1"/>
    <col min="14351" max="14351" width="4.85546875" style="57" bestFit="1" customWidth="1"/>
    <col min="14352" max="14352" width="12" style="57" bestFit="1" customWidth="1"/>
    <col min="14353" max="14353" width="10.28515625" style="57" bestFit="1" customWidth="1"/>
    <col min="14354" max="14354" width="12" style="57" bestFit="1" customWidth="1"/>
    <col min="14355" max="14355" width="12.5703125" style="57" bestFit="1" customWidth="1"/>
    <col min="14356" max="14356" width="12" style="57" bestFit="1" customWidth="1"/>
    <col min="14357" max="14358" width="11.7109375" style="57" bestFit="1" customWidth="1"/>
    <col min="14359" max="14359" width="11.140625" style="57" bestFit="1" customWidth="1"/>
    <col min="14360" max="14592" width="9.140625" style="57"/>
    <col min="14593" max="14593" width="10.28515625" style="57" customWidth="1"/>
    <col min="14594" max="14594" width="10.42578125" style="57" customWidth="1"/>
    <col min="14595" max="14595" width="12.7109375" style="57" customWidth="1"/>
    <col min="14596" max="14596" width="11.28515625" style="57" customWidth="1"/>
    <col min="14597" max="14597" width="11.85546875" style="57" customWidth="1"/>
    <col min="14598" max="14598" width="11.7109375" style="57" customWidth="1"/>
    <col min="14599" max="14599" width="10.7109375" style="57" customWidth="1"/>
    <col min="14600" max="14600" width="11.85546875" style="57" customWidth="1"/>
    <col min="14601" max="14601" width="11.42578125" style="57" customWidth="1"/>
    <col min="14602" max="14602" width="12.28515625" style="57" customWidth="1"/>
    <col min="14603" max="14603" width="11" style="57" customWidth="1"/>
    <col min="14604" max="14604" width="12" style="57" customWidth="1"/>
    <col min="14605" max="14605" width="12.85546875" style="57" bestFit="1" customWidth="1"/>
    <col min="14606" max="14606" width="13.85546875" style="57" customWidth="1"/>
    <col min="14607" max="14607" width="4.85546875" style="57" bestFit="1" customWidth="1"/>
    <col min="14608" max="14608" width="12" style="57" bestFit="1" customWidth="1"/>
    <col min="14609" max="14609" width="10.28515625" style="57" bestFit="1" customWidth="1"/>
    <col min="14610" max="14610" width="12" style="57" bestFit="1" customWidth="1"/>
    <col min="14611" max="14611" width="12.5703125" style="57" bestFit="1" customWidth="1"/>
    <col min="14612" max="14612" width="12" style="57" bestFit="1" customWidth="1"/>
    <col min="14613" max="14614" width="11.7109375" style="57" bestFit="1" customWidth="1"/>
    <col min="14615" max="14615" width="11.140625" style="57" bestFit="1" customWidth="1"/>
    <col min="14616" max="14848" width="9.140625" style="57"/>
    <col min="14849" max="14849" width="10.28515625" style="57" customWidth="1"/>
    <col min="14850" max="14850" width="10.42578125" style="57" customWidth="1"/>
    <col min="14851" max="14851" width="12.7109375" style="57" customWidth="1"/>
    <col min="14852" max="14852" width="11.28515625" style="57" customWidth="1"/>
    <col min="14853" max="14853" width="11.85546875" style="57" customWidth="1"/>
    <col min="14854" max="14854" width="11.7109375" style="57" customWidth="1"/>
    <col min="14855" max="14855" width="10.7109375" style="57" customWidth="1"/>
    <col min="14856" max="14856" width="11.85546875" style="57" customWidth="1"/>
    <col min="14857" max="14857" width="11.42578125" style="57" customWidth="1"/>
    <col min="14858" max="14858" width="12.28515625" style="57" customWidth="1"/>
    <col min="14859" max="14859" width="11" style="57" customWidth="1"/>
    <col min="14860" max="14860" width="12" style="57" customWidth="1"/>
    <col min="14861" max="14861" width="12.85546875" style="57" bestFit="1" customWidth="1"/>
    <col min="14862" max="14862" width="13.85546875" style="57" customWidth="1"/>
    <col min="14863" max="14863" width="4.85546875" style="57" bestFit="1" customWidth="1"/>
    <col min="14864" max="14864" width="12" style="57" bestFit="1" customWidth="1"/>
    <col min="14865" max="14865" width="10.28515625" style="57" bestFit="1" customWidth="1"/>
    <col min="14866" max="14866" width="12" style="57" bestFit="1" customWidth="1"/>
    <col min="14867" max="14867" width="12.5703125" style="57" bestFit="1" customWidth="1"/>
    <col min="14868" max="14868" width="12" style="57" bestFit="1" customWidth="1"/>
    <col min="14869" max="14870" width="11.7109375" style="57" bestFit="1" customWidth="1"/>
    <col min="14871" max="14871" width="11.140625" style="57" bestFit="1" customWidth="1"/>
    <col min="14872" max="15104" width="9.140625" style="57"/>
    <col min="15105" max="15105" width="10.28515625" style="57" customWidth="1"/>
    <col min="15106" max="15106" width="10.42578125" style="57" customWidth="1"/>
    <col min="15107" max="15107" width="12.7109375" style="57" customWidth="1"/>
    <col min="15108" max="15108" width="11.28515625" style="57" customWidth="1"/>
    <col min="15109" max="15109" width="11.85546875" style="57" customWidth="1"/>
    <col min="15110" max="15110" width="11.7109375" style="57" customWidth="1"/>
    <col min="15111" max="15111" width="10.7109375" style="57" customWidth="1"/>
    <col min="15112" max="15112" width="11.85546875" style="57" customWidth="1"/>
    <col min="15113" max="15113" width="11.42578125" style="57" customWidth="1"/>
    <col min="15114" max="15114" width="12.28515625" style="57" customWidth="1"/>
    <col min="15115" max="15115" width="11" style="57" customWidth="1"/>
    <col min="15116" max="15116" width="12" style="57" customWidth="1"/>
    <col min="15117" max="15117" width="12.85546875" style="57" bestFit="1" customWidth="1"/>
    <col min="15118" max="15118" width="13.85546875" style="57" customWidth="1"/>
    <col min="15119" max="15119" width="4.85546875" style="57" bestFit="1" customWidth="1"/>
    <col min="15120" max="15120" width="12" style="57" bestFit="1" customWidth="1"/>
    <col min="15121" max="15121" width="10.28515625" style="57" bestFit="1" customWidth="1"/>
    <col min="15122" max="15122" width="12" style="57" bestFit="1" customWidth="1"/>
    <col min="15123" max="15123" width="12.5703125" style="57" bestFit="1" customWidth="1"/>
    <col min="15124" max="15124" width="12" style="57" bestFit="1" customWidth="1"/>
    <col min="15125" max="15126" width="11.7109375" style="57" bestFit="1" customWidth="1"/>
    <col min="15127" max="15127" width="11.140625" style="57" bestFit="1" customWidth="1"/>
    <col min="15128" max="15360" width="9.140625" style="57"/>
    <col min="15361" max="15361" width="10.28515625" style="57" customWidth="1"/>
    <col min="15362" max="15362" width="10.42578125" style="57" customWidth="1"/>
    <col min="15363" max="15363" width="12.7109375" style="57" customWidth="1"/>
    <col min="15364" max="15364" width="11.28515625" style="57" customWidth="1"/>
    <col min="15365" max="15365" width="11.85546875" style="57" customWidth="1"/>
    <col min="15366" max="15366" width="11.7109375" style="57" customWidth="1"/>
    <col min="15367" max="15367" width="10.7109375" style="57" customWidth="1"/>
    <col min="15368" max="15368" width="11.85546875" style="57" customWidth="1"/>
    <col min="15369" max="15369" width="11.42578125" style="57" customWidth="1"/>
    <col min="15370" max="15370" width="12.28515625" style="57" customWidth="1"/>
    <col min="15371" max="15371" width="11" style="57" customWidth="1"/>
    <col min="15372" max="15372" width="12" style="57" customWidth="1"/>
    <col min="15373" max="15373" width="12.85546875" style="57" bestFit="1" customWidth="1"/>
    <col min="15374" max="15374" width="13.85546875" style="57" customWidth="1"/>
    <col min="15375" max="15375" width="4.85546875" style="57" bestFit="1" customWidth="1"/>
    <col min="15376" max="15376" width="12" style="57" bestFit="1" customWidth="1"/>
    <col min="15377" max="15377" width="10.28515625" style="57" bestFit="1" customWidth="1"/>
    <col min="15378" max="15378" width="12" style="57" bestFit="1" customWidth="1"/>
    <col min="15379" max="15379" width="12.5703125" style="57" bestFit="1" customWidth="1"/>
    <col min="15380" max="15380" width="12" style="57" bestFit="1" customWidth="1"/>
    <col min="15381" max="15382" width="11.7109375" style="57" bestFit="1" customWidth="1"/>
    <col min="15383" max="15383" width="11.140625" style="57" bestFit="1" customWidth="1"/>
    <col min="15384" max="15616" width="9.140625" style="57"/>
    <col min="15617" max="15617" width="10.28515625" style="57" customWidth="1"/>
    <col min="15618" max="15618" width="10.42578125" style="57" customWidth="1"/>
    <col min="15619" max="15619" width="12.7109375" style="57" customWidth="1"/>
    <col min="15620" max="15620" width="11.28515625" style="57" customWidth="1"/>
    <col min="15621" max="15621" width="11.85546875" style="57" customWidth="1"/>
    <col min="15622" max="15622" width="11.7109375" style="57" customWidth="1"/>
    <col min="15623" max="15623" width="10.7109375" style="57" customWidth="1"/>
    <col min="15624" max="15624" width="11.85546875" style="57" customWidth="1"/>
    <col min="15625" max="15625" width="11.42578125" style="57" customWidth="1"/>
    <col min="15626" max="15626" width="12.28515625" style="57" customWidth="1"/>
    <col min="15627" max="15627" width="11" style="57" customWidth="1"/>
    <col min="15628" max="15628" width="12" style="57" customWidth="1"/>
    <col min="15629" max="15629" width="12.85546875" style="57" bestFit="1" customWidth="1"/>
    <col min="15630" max="15630" width="13.85546875" style="57" customWidth="1"/>
    <col min="15631" max="15631" width="4.85546875" style="57" bestFit="1" customWidth="1"/>
    <col min="15632" max="15632" width="12" style="57" bestFit="1" customWidth="1"/>
    <col min="15633" max="15633" width="10.28515625" style="57" bestFit="1" customWidth="1"/>
    <col min="15634" max="15634" width="12" style="57" bestFit="1" customWidth="1"/>
    <col min="15635" max="15635" width="12.5703125" style="57" bestFit="1" customWidth="1"/>
    <col min="15636" max="15636" width="12" style="57" bestFit="1" customWidth="1"/>
    <col min="15637" max="15638" width="11.7109375" style="57" bestFit="1" customWidth="1"/>
    <col min="15639" max="15639" width="11.140625" style="57" bestFit="1" customWidth="1"/>
    <col min="15640" max="15872" width="9.140625" style="57"/>
    <col min="15873" max="15873" width="10.28515625" style="57" customWidth="1"/>
    <col min="15874" max="15874" width="10.42578125" style="57" customWidth="1"/>
    <col min="15875" max="15875" width="12.7109375" style="57" customWidth="1"/>
    <col min="15876" max="15876" width="11.28515625" style="57" customWidth="1"/>
    <col min="15877" max="15877" width="11.85546875" style="57" customWidth="1"/>
    <col min="15878" max="15878" width="11.7109375" style="57" customWidth="1"/>
    <col min="15879" max="15879" width="10.7109375" style="57" customWidth="1"/>
    <col min="15880" max="15880" width="11.85546875" style="57" customWidth="1"/>
    <col min="15881" max="15881" width="11.42578125" style="57" customWidth="1"/>
    <col min="15882" max="15882" width="12.28515625" style="57" customWidth="1"/>
    <col min="15883" max="15883" width="11" style="57" customWidth="1"/>
    <col min="15884" max="15884" width="12" style="57" customWidth="1"/>
    <col min="15885" max="15885" width="12.85546875" style="57" bestFit="1" customWidth="1"/>
    <col min="15886" max="15886" width="13.85546875" style="57" customWidth="1"/>
    <col min="15887" max="15887" width="4.85546875" style="57" bestFit="1" customWidth="1"/>
    <col min="15888" max="15888" width="12" style="57" bestFit="1" customWidth="1"/>
    <col min="15889" max="15889" width="10.28515625" style="57" bestFit="1" customWidth="1"/>
    <col min="15890" max="15890" width="12" style="57" bestFit="1" customWidth="1"/>
    <col min="15891" max="15891" width="12.5703125" style="57" bestFit="1" customWidth="1"/>
    <col min="15892" max="15892" width="12" style="57" bestFit="1" customWidth="1"/>
    <col min="15893" max="15894" width="11.7109375" style="57" bestFit="1" customWidth="1"/>
    <col min="15895" max="15895" width="11.140625" style="57" bestFit="1" customWidth="1"/>
    <col min="15896" max="16128" width="9.140625" style="57"/>
    <col min="16129" max="16129" width="10.28515625" style="57" customWidth="1"/>
    <col min="16130" max="16130" width="10.42578125" style="57" customWidth="1"/>
    <col min="16131" max="16131" width="12.7109375" style="57" customWidth="1"/>
    <col min="16132" max="16132" width="11.28515625" style="57" customWidth="1"/>
    <col min="16133" max="16133" width="11.85546875" style="57" customWidth="1"/>
    <col min="16134" max="16134" width="11.7109375" style="57" customWidth="1"/>
    <col min="16135" max="16135" width="10.7109375" style="57" customWidth="1"/>
    <col min="16136" max="16136" width="11.85546875" style="57" customWidth="1"/>
    <col min="16137" max="16137" width="11.42578125" style="57" customWidth="1"/>
    <col min="16138" max="16138" width="12.28515625" style="57" customWidth="1"/>
    <col min="16139" max="16139" width="11" style="57" customWidth="1"/>
    <col min="16140" max="16140" width="12" style="57" customWidth="1"/>
    <col min="16141" max="16141" width="12.85546875" style="57" bestFit="1" customWidth="1"/>
    <col min="16142" max="16142" width="13.85546875" style="57" customWidth="1"/>
    <col min="16143" max="16143" width="4.85546875" style="57" bestFit="1" customWidth="1"/>
    <col min="16144" max="16144" width="12" style="57" bestFit="1" customWidth="1"/>
    <col min="16145" max="16145" width="10.28515625" style="57" bestFit="1" customWidth="1"/>
    <col min="16146" max="16146" width="12" style="57" bestFit="1" customWidth="1"/>
    <col min="16147" max="16147" width="12.5703125" style="57" bestFit="1" customWidth="1"/>
    <col min="16148" max="16148" width="12" style="57" bestFit="1" customWidth="1"/>
    <col min="16149" max="16150" width="11.7109375" style="57" bestFit="1" customWidth="1"/>
    <col min="16151" max="16151" width="11.140625" style="57" bestFit="1" customWidth="1"/>
    <col min="16152" max="16384" width="9.140625" style="57"/>
  </cols>
  <sheetData>
    <row r="1" spans="1:24">
      <c r="A1" s="307"/>
      <c r="B1" s="134" t="s">
        <v>189</v>
      </c>
    </row>
    <row r="2" spans="1:24">
      <c r="A2" s="57" t="s">
        <v>190</v>
      </c>
      <c r="B2" s="57" t="s">
        <v>1743</v>
      </c>
      <c r="E2" s="57" t="s">
        <v>191</v>
      </c>
    </row>
    <row r="3" spans="1:24" s="59" customFormat="1" ht="8.25">
      <c r="C3" s="61"/>
      <c r="D3" s="61"/>
    </row>
    <row r="4" spans="1:24">
      <c r="A4" s="57" t="s">
        <v>192</v>
      </c>
      <c r="D4" s="135"/>
      <c r="P4" s="59"/>
      <c r="Q4" s="59"/>
      <c r="R4" s="59"/>
      <c r="S4" s="59"/>
      <c r="T4" s="59"/>
      <c r="U4" s="59"/>
      <c r="V4" s="59"/>
      <c r="W4" s="59"/>
      <c r="X4" s="59"/>
    </row>
    <row r="5" spans="1:24">
      <c r="A5" s="57" t="s">
        <v>193</v>
      </c>
      <c r="D5" s="135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 s="59" customFormat="1">
      <c r="D6" s="61"/>
      <c r="I6" s="60"/>
      <c r="M6" s="57"/>
    </row>
    <row r="7" spans="1:24">
      <c r="A7" s="136" t="s">
        <v>194</v>
      </c>
      <c r="B7" s="137" t="s">
        <v>195</v>
      </c>
      <c r="C7" s="138" t="s">
        <v>196</v>
      </c>
      <c r="D7" s="137" t="s">
        <v>197</v>
      </c>
      <c r="E7" s="694" t="s">
        <v>198</v>
      </c>
      <c r="F7" s="695"/>
      <c r="G7" s="694" t="s">
        <v>199</v>
      </c>
      <c r="H7" s="695"/>
      <c r="I7" s="696" t="s">
        <v>200</v>
      </c>
      <c r="J7" s="697"/>
      <c r="K7" s="68" t="s">
        <v>201</v>
      </c>
      <c r="L7" s="138" t="s">
        <v>202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>
      <c r="A8" s="139" t="s">
        <v>203</v>
      </c>
      <c r="B8" s="140" t="s">
        <v>204</v>
      </c>
      <c r="C8" s="141">
        <v>3855803.57</v>
      </c>
      <c r="D8" s="146">
        <f>1580660.6</f>
        <v>1580660.6</v>
      </c>
      <c r="E8" s="142">
        <f>D8*0.6</f>
        <v>948396.36</v>
      </c>
      <c r="F8" s="142">
        <f t="shared" ref="F8:F19" si="0">(((C8*0.6)/12)*4)-E8</f>
        <v>-177235.64599999995</v>
      </c>
      <c r="G8" s="142">
        <f>D8*0.25</f>
        <v>395165.15</v>
      </c>
      <c r="H8" s="142">
        <f t="shared" ref="H8:H15" si="1">(((C8*0.25)/12)*4)-G8</f>
        <v>-73848.185833333351</v>
      </c>
      <c r="I8" s="143"/>
      <c r="J8" s="144"/>
      <c r="K8" s="145">
        <f>D8*0.15</f>
        <v>237099.09</v>
      </c>
      <c r="L8" s="142">
        <f t="shared" ref="L8:L15" si="2">(((C8*0.25)/12)*4)-K8</f>
        <v>84217.874166666676</v>
      </c>
      <c r="N8" s="59"/>
      <c r="V8" s="59"/>
      <c r="W8" s="59"/>
      <c r="X8" s="59"/>
    </row>
    <row r="9" spans="1:24">
      <c r="A9" s="139" t="s">
        <v>205</v>
      </c>
      <c r="B9" s="140" t="s">
        <v>206</v>
      </c>
      <c r="C9" s="141">
        <f>3467839.35</f>
        <v>3467839.35</v>
      </c>
      <c r="D9" s="146">
        <f>1245394.88</f>
        <v>1245394.8799999999</v>
      </c>
      <c r="E9" s="147">
        <f t="shared" ref="E9:E19" si="3">D9*0.6</f>
        <v>747236.92799999996</v>
      </c>
      <c r="F9" s="147">
        <f t="shared" si="0"/>
        <v>-53669.057999999961</v>
      </c>
      <c r="G9" s="147">
        <f>D9*0.25</f>
        <v>311348.71999999997</v>
      </c>
      <c r="H9" s="147">
        <f t="shared" si="1"/>
        <v>-22362.107499999984</v>
      </c>
      <c r="I9" s="143"/>
      <c r="J9" s="144"/>
      <c r="K9" s="145">
        <f t="shared" ref="K9:K19" si="4">D9*0.15</f>
        <v>186809.23199999999</v>
      </c>
      <c r="L9" s="147">
        <f t="shared" si="2"/>
        <v>102177.3805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>
      <c r="A10" s="139" t="s">
        <v>207</v>
      </c>
      <c r="B10" s="140" t="s">
        <v>208</v>
      </c>
      <c r="C10" s="141">
        <f>1378438.67</f>
        <v>1378438.67</v>
      </c>
      <c r="D10" s="146">
        <f>610492.7</f>
        <v>610492.69999999995</v>
      </c>
      <c r="E10" s="147">
        <f>D10*0.6</f>
        <v>366295.61999999994</v>
      </c>
      <c r="F10" s="147">
        <f t="shared" si="0"/>
        <v>-90607.88599999994</v>
      </c>
      <c r="G10" s="147">
        <f>D10*0.25</f>
        <v>152623.17499999999</v>
      </c>
      <c r="H10" s="147">
        <f t="shared" si="1"/>
        <v>-37753.285833333328</v>
      </c>
      <c r="I10" s="143"/>
      <c r="J10" s="144"/>
      <c r="K10" s="145">
        <f t="shared" si="4"/>
        <v>91573.904999999984</v>
      </c>
      <c r="L10" s="147">
        <f t="shared" si="2"/>
        <v>23295.984166666676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>
      <c r="A11" s="139" t="s">
        <v>209</v>
      </c>
      <c r="B11" s="140" t="s">
        <v>210</v>
      </c>
      <c r="C11" s="141">
        <f>5814310.6</f>
        <v>5814310.5999999996</v>
      </c>
      <c r="D11" s="146">
        <f>2042769.48</f>
        <v>2042769.48</v>
      </c>
      <c r="E11" s="147">
        <f t="shared" si="3"/>
        <v>1225661.6879999998</v>
      </c>
      <c r="F11" s="147">
        <f t="shared" si="0"/>
        <v>-62799.56799999997</v>
      </c>
      <c r="G11" s="148">
        <f>D11*0.25</f>
        <v>510692.37</v>
      </c>
      <c r="H11" s="147">
        <f t="shared" si="1"/>
        <v>-26166.486666666693</v>
      </c>
      <c r="I11" s="143"/>
      <c r="J11" s="144"/>
      <c r="K11" s="145">
        <f t="shared" si="4"/>
        <v>306415.42199999996</v>
      </c>
      <c r="L11" s="147">
        <f t="shared" si="2"/>
        <v>178110.46133333334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>
      <c r="A12" s="139" t="s">
        <v>211</v>
      </c>
      <c r="B12" s="149" t="s">
        <v>212</v>
      </c>
      <c r="C12" s="141">
        <f>28751945.22</f>
        <v>28751945.219999999</v>
      </c>
      <c r="D12" s="146">
        <f>9389761.2+2347440.19</f>
        <v>11737201.389999999</v>
      </c>
      <c r="E12" s="388">
        <f t="shared" si="3"/>
        <v>7042320.8339999989</v>
      </c>
      <c r="F12" s="147">
        <f t="shared" si="0"/>
        <v>-1291931.7899999991</v>
      </c>
      <c r="G12" s="154">
        <f>(D12*0.05)</f>
        <v>586860.06949999998</v>
      </c>
      <c r="H12" s="148">
        <f t="shared" si="1"/>
        <v>1809135.3655000001</v>
      </c>
      <c r="I12" s="151">
        <f>-D12*0.2</f>
        <v>-2347440.2779999999</v>
      </c>
      <c r="J12" s="152">
        <f>(((C12*0.2)/12)*4)+I12</f>
        <v>-430643.92999999993</v>
      </c>
      <c r="K12" s="145">
        <f t="shared" si="4"/>
        <v>1760580.2084999997</v>
      </c>
      <c r="L12" s="147">
        <f t="shared" si="2"/>
        <v>635415.22650000034</v>
      </c>
      <c r="M12" s="153"/>
      <c r="N12" s="60"/>
    </row>
    <row r="13" spans="1:24">
      <c r="A13" s="139" t="s">
        <v>213</v>
      </c>
      <c r="B13" s="140" t="s">
        <v>214</v>
      </c>
      <c r="C13" s="141">
        <f>1268281.42</f>
        <v>1268281.42</v>
      </c>
      <c r="D13" s="146"/>
      <c r="E13" s="147">
        <f t="shared" si="3"/>
        <v>0</v>
      </c>
      <c r="F13" s="147">
        <f t="shared" si="0"/>
        <v>253656.28399999999</v>
      </c>
      <c r="G13" s="147">
        <f>D13*0.25</f>
        <v>0</v>
      </c>
      <c r="H13" s="147">
        <f t="shared" si="1"/>
        <v>105690.11833333333</v>
      </c>
      <c r="I13" s="143"/>
      <c r="J13" s="144"/>
      <c r="K13" s="145">
        <f t="shared" si="4"/>
        <v>0</v>
      </c>
      <c r="L13" s="147">
        <f t="shared" si="2"/>
        <v>105690.11833333333</v>
      </c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>
      <c r="A14" s="139" t="s">
        <v>215</v>
      </c>
      <c r="B14" s="140" t="s">
        <v>214</v>
      </c>
      <c r="C14" s="141">
        <f>1239869.25</f>
        <v>1239869.25</v>
      </c>
      <c r="D14" s="146"/>
      <c r="E14" s="147">
        <f t="shared" si="3"/>
        <v>0</v>
      </c>
      <c r="F14" s="147">
        <f t="shared" si="0"/>
        <v>247973.84999999998</v>
      </c>
      <c r="G14" s="147">
        <f>D14*0.25</f>
        <v>0</v>
      </c>
      <c r="H14" s="147">
        <f t="shared" si="1"/>
        <v>103322.4375</v>
      </c>
      <c r="I14" s="143"/>
      <c r="J14" s="144"/>
      <c r="K14" s="145">
        <f t="shared" si="4"/>
        <v>0</v>
      </c>
      <c r="L14" s="147">
        <f t="shared" si="2"/>
        <v>103322.4375</v>
      </c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>
      <c r="A15" s="139" t="s">
        <v>216</v>
      </c>
      <c r="B15" s="149" t="s">
        <v>217</v>
      </c>
      <c r="C15" s="141">
        <f>951759.41+237939.85</f>
        <v>1189699.26</v>
      </c>
      <c r="D15" s="146">
        <f>37730.57+9432.62</f>
        <v>47163.19</v>
      </c>
      <c r="E15" s="150">
        <f t="shared" si="3"/>
        <v>28297.914000000001</v>
      </c>
      <c r="F15" s="147">
        <f t="shared" si="0"/>
        <v>209641.93799999999</v>
      </c>
      <c r="G15" s="150">
        <f>(D15*0.05)</f>
        <v>2358.1595000000002</v>
      </c>
      <c r="H15" s="147">
        <f t="shared" si="1"/>
        <v>96783.445500000002</v>
      </c>
      <c r="I15" s="151">
        <f>-D15*0.2</f>
        <v>-9432.6380000000008</v>
      </c>
      <c r="J15" s="152">
        <f>(((C15*0.2)/12)*4)+I15</f>
        <v>69880.645999999993</v>
      </c>
      <c r="K15" s="145">
        <f t="shared" si="4"/>
        <v>7074.4785000000002</v>
      </c>
      <c r="L15" s="147">
        <f t="shared" si="2"/>
        <v>92067.126499999998</v>
      </c>
      <c r="M15" s="153"/>
      <c r="N15" s="60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>
      <c r="A16" s="139" t="s">
        <v>218</v>
      </c>
      <c r="B16" s="149" t="s">
        <v>219</v>
      </c>
      <c r="C16" s="141"/>
      <c r="D16" s="146"/>
      <c r="E16" s="150">
        <f>D16*1</f>
        <v>0</v>
      </c>
      <c r="F16" s="147">
        <f t="shared" si="0"/>
        <v>0</v>
      </c>
      <c r="G16" s="150"/>
      <c r="H16" s="147"/>
      <c r="I16" s="151"/>
      <c r="J16" s="152"/>
      <c r="K16" s="145"/>
      <c r="L16" s="147"/>
      <c r="N16" s="59"/>
    </row>
    <row r="17" spans="1:24">
      <c r="A17" s="139" t="s">
        <v>220</v>
      </c>
      <c r="B17" s="149" t="s">
        <v>221</v>
      </c>
      <c r="C17" s="141">
        <f>22948077.82+1912339.82+5737019.45+7649359.27</f>
        <v>38246796.359999999</v>
      </c>
      <c r="D17" s="146">
        <f>8532844.54+2162966.67</f>
        <v>10695811.209999999</v>
      </c>
      <c r="E17" s="154">
        <f t="shared" si="3"/>
        <v>6417486.7259999989</v>
      </c>
      <c r="F17" s="147">
        <f t="shared" si="0"/>
        <v>1231872.546000001</v>
      </c>
      <c r="G17" s="154">
        <f>(D17*0.05)</f>
        <v>534790.56050000002</v>
      </c>
      <c r="H17" s="147">
        <f>(((C17*0.25)/12)*4)-G17</f>
        <v>2652442.4694999997</v>
      </c>
      <c r="I17" s="155">
        <f>-D17*0.2</f>
        <v>-2139162.2420000001</v>
      </c>
      <c r="J17" s="156">
        <f>(((C17*0.2)/12)*4)+I17</f>
        <v>410624.18200000003</v>
      </c>
      <c r="K17" s="145">
        <f t="shared" si="4"/>
        <v>1604371.6814999997</v>
      </c>
      <c r="L17" s="147">
        <f>(((C17*0.25)/12)*4)-K17</f>
        <v>1582861.3485000001</v>
      </c>
      <c r="M17" s="153"/>
      <c r="N17" s="60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>
      <c r="A18" s="139" t="s">
        <v>222</v>
      </c>
      <c r="B18" s="149" t="s">
        <v>223</v>
      </c>
      <c r="C18" s="141">
        <f>3902843.86</f>
        <v>3902843.86</v>
      </c>
      <c r="D18" s="146">
        <f>1563283.32+390820.88</f>
        <v>1954104.2000000002</v>
      </c>
      <c r="E18" s="150">
        <f t="shared" si="3"/>
        <v>1172462.52</v>
      </c>
      <c r="F18" s="147">
        <f t="shared" si="0"/>
        <v>-391893.74800000014</v>
      </c>
      <c r="G18" s="150">
        <f>(D18*0.05)</f>
        <v>97705.210000000021</v>
      </c>
      <c r="H18" s="147">
        <f>(((C18*0.25)/12)*4)-G18</f>
        <v>227531.77833333332</v>
      </c>
      <c r="I18" s="151">
        <f>-D18*0.2</f>
        <v>-390820.84000000008</v>
      </c>
      <c r="J18" s="152">
        <f>(((C18*0.2)/12)*4)+I18</f>
        <v>-130631.24933333343</v>
      </c>
      <c r="K18" s="145">
        <f t="shared" si="4"/>
        <v>293115.63</v>
      </c>
      <c r="L18" s="147">
        <f>(((C18*0.25)/12)*4)-K18</f>
        <v>32121.358333333337</v>
      </c>
      <c r="M18" s="153"/>
      <c r="N18" s="60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>
      <c r="A19" s="139" t="s">
        <v>224</v>
      </c>
      <c r="B19" s="149" t="s">
        <v>225</v>
      </c>
      <c r="C19" s="141">
        <f>561182.43</f>
        <v>561182.43000000005</v>
      </c>
      <c r="D19" s="146">
        <f>103914.45+25978.63</f>
        <v>129893.08</v>
      </c>
      <c r="E19" s="150">
        <f t="shared" si="3"/>
        <v>77935.847999999998</v>
      </c>
      <c r="F19" s="147">
        <f t="shared" si="0"/>
        <v>34300.638000000021</v>
      </c>
      <c r="G19" s="150">
        <f>(D19*0.05)</f>
        <v>6494.6540000000005</v>
      </c>
      <c r="H19" s="147">
        <f>(((C19*0.25)/12)*4)-G19</f>
        <v>40270.548500000004</v>
      </c>
      <c r="I19" s="151">
        <f>-D19*0.2</f>
        <v>-25978.616000000002</v>
      </c>
      <c r="J19" s="152">
        <f>(((C19*0.2)/12)*4)+I19</f>
        <v>11433.546000000002</v>
      </c>
      <c r="K19" s="145">
        <f t="shared" si="4"/>
        <v>19483.962</v>
      </c>
      <c r="L19" s="147">
        <f>(((C19*0.25)/12)*4)-K19</f>
        <v>27281.240500000007</v>
      </c>
      <c r="M19" s="153"/>
      <c r="N19" s="60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>
      <c r="A20" s="139" t="s">
        <v>226</v>
      </c>
      <c r="B20" s="140" t="s">
        <v>227</v>
      </c>
      <c r="C20" s="141">
        <v>27814454.809999999</v>
      </c>
      <c r="D20" s="146">
        <v>9796718.7100000009</v>
      </c>
      <c r="E20" s="141"/>
      <c r="F20" s="141"/>
      <c r="G20" s="141"/>
      <c r="H20" s="141"/>
      <c r="I20" s="147">
        <f>-SUM(I12+SUM(I15:I19))-4936638.99</f>
        <v>-23804.376000000164</v>
      </c>
      <c r="J20" s="146"/>
      <c r="K20" s="157"/>
      <c r="L20" s="139"/>
      <c r="M20" s="153"/>
      <c r="N20" s="60"/>
    </row>
    <row r="21" spans="1:24">
      <c r="A21" s="158"/>
      <c r="B21" s="159" t="s">
        <v>10</v>
      </c>
      <c r="C21" s="83">
        <f>SUM(C8:C20)</f>
        <v>117491464.8</v>
      </c>
      <c r="D21" s="160">
        <f>SUM(D8:D20)</f>
        <v>39840209.439999998</v>
      </c>
      <c r="E21" s="83">
        <f t="shared" ref="E21:L21" si="5">SUM(E8:E20)</f>
        <v>18026094.438000001</v>
      </c>
      <c r="F21" s="83">
        <f t="shared" si="5"/>
        <v>-90692.43999999798</v>
      </c>
      <c r="G21" s="83">
        <f t="shared" si="5"/>
        <v>2598038.0685000001</v>
      </c>
      <c r="H21" s="83">
        <f t="shared" si="5"/>
        <v>4875046.0973333325</v>
      </c>
      <c r="I21" s="161">
        <f>SUM(I8:I20)</f>
        <v>-4936638.99</v>
      </c>
      <c r="J21" s="161">
        <f>SUM(J8:J20)</f>
        <v>-69336.805333333323</v>
      </c>
      <c r="K21" s="162">
        <f t="shared" si="5"/>
        <v>4506523.6095000003</v>
      </c>
      <c r="L21" s="83">
        <f t="shared" si="5"/>
        <v>2966560.5563333337</v>
      </c>
      <c r="N21" s="60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1:24">
      <c r="C22" s="84" t="s">
        <v>228</v>
      </c>
      <c r="D22" s="163">
        <f>D21/C21</f>
        <v>0.33909024377062663</v>
      </c>
      <c r="F22" s="164" t="s">
        <v>229</v>
      </c>
      <c r="G22" s="69" t="s">
        <v>230</v>
      </c>
      <c r="I22" s="68" t="s">
        <v>231</v>
      </c>
      <c r="J22" s="69" t="s">
        <v>232</v>
      </c>
      <c r="K22" s="69" t="s">
        <v>233</v>
      </c>
      <c r="L22" s="69" t="s">
        <v>181</v>
      </c>
      <c r="N22" s="60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>
      <c r="B23" s="153"/>
      <c r="C23" s="165" t="s">
        <v>234</v>
      </c>
      <c r="D23" s="163">
        <f>C27/D20</f>
        <v>1.1832162383276186</v>
      </c>
      <c r="F23" s="164" t="s">
        <v>235</v>
      </c>
      <c r="G23" s="45">
        <f>I33+J33</f>
        <v>12863655.16</v>
      </c>
      <c r="H23" s="166"/>
      <c r="I23" s="68" t="s">
        <v>236</v>
      </c>
      <c r="J23" s="167">
        <f>D27</f>
        <v>7431248.75</v>
      </c>
      <c r="K23" s="164"/>
      <c r="L23" s="164">
        <f>SUM(J23:K23)</f>
        <v>7431248.75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>
      <c r="A24" s="168"/>
      <c r="B24" s="61"/>
      <c r="D24" s="153"/>
      <c r="F24" s="169" t="s">
        <v>237</v>
      </c>
      <c r="G24" s="45">
        <f>D20+I21</f>
        <v>4860079.7200000007</v>
      </c>
      <c r="H24" s="168"/>
      <c r="I24" s="170" t="s">
        <v>240</v>
      </c>
      <c r="J24" s="164"/>
      <c r="K24" s="164"/>
      <c r="L24" s="164">
        <f>SUM(J24:K24)</f>
        <v>0</v>
      </c>
      <c r="N24" s="59"/>
    </row>
    <row r="25" spans="1:24">
      <c r="A25" s="170" t="s">
        <v>236</v>
      </c>
      <c r="B25" s="69" t="s">
        <v>238</v>
      </c>
      <c r="C25" s="69" t="s">
        <v>227</v>
      </c>
      <c r="D25" s="69" t="s">
        <v>232</v>
      </c>
      <c r="E25" s="171"/>
      <c r="F25" s="172" t="s">
        <v>239</v>
      </c>
      <c r="G25" s="164">
        <f>B34</f>
        <v>1330.71</v>
      </c>
      <c r="H25" s="168"/>
      <c r="I25" s="170" t="s">
        <v>243</v>
      </c>
      <c r="J25" s="164">
        <v>89760.63</v>
      </c>
      <c r="K25" s="68"/>
      <c r="L25" s="164">
        <f>SUM(J25:K25)</f>
        <v>89760.63</v>
      </c>
      <c r="N25" s="61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>
      <c r="A26" s="170" t="s">
        <v>241</v>
      </c>
      <c r="B26" s="173">
        <v>1272018.5</v>
      </c>
      <c r="C26" s="164">
        <v>11591639.66</v>
      </c>
      <c r="D26" s="45">
        <v>8027817.9199999999</v>
      </c>
      <c r="E26" s="174"/>
      <c r="F26" s="175" t="s">
        <v>242</v>
      </c>
      <c r="G26" s="164">
        <f>C34</f>
        <v>60431.18</v>
      </c>
      <c r="I26" s="177" t="s">
        <v>245</v>
      </c>
      <c r="J26" s="164">
        <f>D34</f>
        <v>3099.27</v>
      </c>
      <c r="K26" s="164"/>
      <c r="L26" s="164">
        <f>SUM(J26:K26)</f>
        <v>3099.27</v>
      </c>
      <c r="N26" s="386"/>
      <c r="O26" s="119"/>
      <c r="P26" s="153"/>
      <c r="Q26" s="59"/>
      <c r="R26" s="59"/>
      <c r="S26" s="59"/>
      <c r="T26" s="59"/>
      <c r="U26" s="59"/>
      <c r="V26" s="59"/>
      <c r="W26" s="59"/>
      <c r="X26" s="59"/>
    </row>
    <row r="27" spans="1:24">
      <c r="A27" s="170" t="s">
        <v>244</v>
      </c>
      <c r="B27" s="45">
        <v>1120465.28</v>
      </c>
      <c r="C27" s="82">
        <v>11591636.66</v>
      </c>
      <c r="D27" s="167">
        <v>7431248.75</v>
      </c>
      <c r="F27" s="177" t="s">
        <v>623</v>
      </c>
      <c r="G27" s="176">
        <f>SUM(I34:J35)</f>
        <v>148097.44</v>
      </c>
      <c r="I27" s="69" t="s">
        <v>248</v>
      </c>
      <c r="J27" s="176">
        <f>J23-SUM(J24:J26)</f>
        <v>7338388.8499999996</v>
      </c>
      <c r="K27" s="180">
        <f>K23-SUM(K24:K26)</f>
        <v>0</v>
      </c>
      <c r="L27" s="180">
        <f>L23-SUM(L24:L26)</f>
        <v>7338388.8499999996</v>
      </c>
      <c r="M27" s="368"/>
      <c r="N27" s="60"/>
      <c r="O27" s="59"/>
      <c r="P27" s="60"/>
      <c r="Q27" s="59"/>
      <c r="R27" s="59"/>
      <c r="S27" s="59"/>
      <c r="T27" s="59"/>
      <c r="U27" s="59"/>
      <c r="V27" s="59"/>
      <c r="W27" s="59"/>
      <c r="X27" s="59"/>
    </row>
    <row r="28" spans="1:24">
      <c r="A28" s="170" t="s">
        <v>246</v>
      </c>
      <c r="B28" s="45">
        <v>960787.51</v>
      </c>
      <c r="C28" s="164">
        <v>10252158.359999999</v>
      </c>
      <c r="D28" s="45">
        <v>6269095.29</v>
      </c>
      <c r="E28" s="178"/>
      <c r="F28" s="169" t="s">
        <v>247</v>
      </c>
      <c r="G28" s="176">
        <f>G23-SUM(G24:G27)</f>
        <v>7793716.1099999994</v>
      </c>
      <c r="H28" s="179"/>
      <c r="I28" s="170" t="s">
        <v>251</v>
      </c>
      <c r="J28" s="82">
        <f>(J27/(SUM(D8:D19))*100)</f>
        <v>24.425886179305508</v>
      </c>
      <c r="K28" s="82">
        <f>(K27/(SUM(D8:D19)))*100</f>
        <v>0</v>
      </c>
      <c r="L28" s="185">
        <f>(L27/(SUM(D8:D19)))*100</f>
        <v>24.425886179305508</v>
      </c>
      <c r="N28" s="59"/>
      <c r="P28" s="386"/>
      <c r="Q28" s="60"/>
      <c r="R28" s="59"/>
      <c r="S28" s="59"/>
      <c r="T28" s="59"/>
      <c r="U28" s="59"/>
      <c r="V28" s="59"/>
      <c r="W28" s="59"/>
      <c r="X28" s="59"/>
    </row>
    <row r="29" spans="1:24">
      <c r="A29" s="164" t="s">
        <v>249</v>
      </c>
      <c r="B29" s="181">
        <f>B26/SUM(D8:D19)</f>
        <v>4.2339237854602002E-2</v>
      </c>
      <c r="C29" s="182">
        <f>C26/D20</f>
        <v>1.1832165445525995</v>
      </c>
      <c r="D29" s="182">
        <f>D26/SUM(D8:D19)</f>
        <v>0.26720656371610657</v>
      </c>
      <c r="E29" s="174"/>
      <c r="F29" s="183" t="s">
        <v>250</v>
      </c>
      <c r="G29" s="184">
        <f>G28/(SUM(D8:D19))</f>
        <v>0.2594144661831046</v>
      </c>
      <c r="J29" s="61">
        <v>7338388.8499999996</v>
      </c>
      <c r="L29" s="135"/>
      <c r="N29" s="59"/>
      <c r="O29" s="59"/>
      <c r="P29" s="386"/>
      <c r="Q29" s="60"/>
      <c r="R29" s="59"/>
      <c r="S29" s="59"/>
      <c r="T29" s="59"/>
      <c r="U29" s="59"/>
      <c r="V29" s="59"/>
      <c r="W29" s="59"/>
      <c r="X29" s="59"/>
    </row>
    <row r="30" spans="1:24">
      <c r="A30" s="72" t="s">
        <v>252</v>
      </c>
      <c r="B30" s="186">
        <f>(B27-B34)/SUM(D8:D19)</f>
        <v>3.7250483975302034E-2</v>
      </c>
      <c r="C30" s="186">
        <f>(C26-C34)/D20</f>
        <v>1.1770480322385413</v>
      </c>
      <c r="D30" s="186">
        <f>(D27-D34)/SUM(D8:D19)</f>
        <v>0.24724655156608036</v>
      </c>
      <c r="E30" s="140"/>
      <c r="F30" s="177" t="s">
        <v>253</v>
      </c>
      <c r="G30" s="176">
        <f>G28-(SUM(D8:D19)*0.25)</f>
        <v>282843.42750000115</v>
      </c>
      <c r="H30" s="187" t="str">
        <f>IF(G30&gt;0," = A MAIOR","= A MENOR")</f>
        <v xml:space="preserve"> = A MAIOR</v>
      </c>
      <c r="N30" s="59"/>
      <c r="O30" s="59"/>
      <c r="P30" s="386"/>
      <c r="Q30" s="386"/>
      <c r="R30" s="59"/>
      <c r="S30" s="59"/>
      <c r="T30" s="59"/>
      <c r="U30" s="59"/>
      <c r="V30" s="59"/>
      <c r="W30" s="59"/>
      <c r="X30" s="59"/>
    </row>
    <row r="31" spans="1:24">
      <c r="A31" s="170" t="s">
        <v>254</v>
      </c>
      <c r="B31" s="182">
        <f>B28/SUM(D8:D19)</f>
        <v>3.197988937552465E-2</v>
      </c>
      <c r="C31" s="182">
        <f>C27/D20</f>
        <v>1.1832162383276186</v>
      </c>
      <c r="D31" s="182">
        <f>D27/SUM(D8:D19)</f>
        <v>0.24734971101675313</v>
      </c>
      <c r="E31" s="68" t="s">
        <v>255</v>
      </c>
      <c r="G31" s="119"/>
      <c r="N31" s="59"/>
      <c r="O31" s="59"/>
      <c r="P31" s="168"/>
      <c r="Q31" s="168"/>
      <c r="R31" s="59"/>
      <c r="S31" s="59"/>
      <c r="T31" s="59"/>
      <c r="U31" s="59"/>
      <c r="V31" s="59"/>
      <c r="W31" s="59"/>
      <c r="X31" s="59"/>
    </row>
    <row r="32" spans="1:24">
      <c r="A32" s="170" t="s">
        <v>256</v>
      </c>
      <c r="B32" s="449">
        <f t="shared" ref="B32:D33" si="6">B26-B27</f>
        <v>151553.21999999997</v>
      </c>
      <c r="C32" s="180">
        <f t="shared" si="6"/>
        <v>3</v>
      </c>
      <c r="D32" s="180">
        <f t="shared" si="6"/>
        <v>596569.16999999993</v>
      </c>
      <c r="E32" s="164">
        <f>SUM(B32:D32)</f>
        <v>748125.3899999999</v>
      </c>
      <c r="G32" s="188"/>
      <c r="H32" s="68" t="s">
        <v>231</v>
      </c>
      <c r="I32" s="69" t="s">
        <v>238</v>
      </c>
      <c r="J32" s="69" t="s">
        <v>227</v>
      </c>
      <c r="K32" s="69" t="s">
        <v>233</v>
      </c>
      <c r="L32" s="69" t="s">
        <v>181</v>
      </c>
      <c r="N32" s="59"/>
      <c r="O32" s="59"/>
      <c r="P32" s="60"/>
      <c r="Q32" s="59"/>
      <c r="R32" s="59"/>
      <c r="S32" s="59"/>
      <c r="T32" s="59"/>
      <c r="U32" s="59"/>
      <c r="V32" s="59"/>
      <c r="W32" s="59"/>
      <c r="X32" s="59"/>
    </row>
    <row r="33" spans="1:24">
      <c r="A33" s="170" t="s">
        <v>257</v>
      </c>
      <c r="B33" s="176">
        <f t="shared" si="6"/>
        <v>159677.77000000002</v>
      </c>
      <c r="C33" s="180">
        <f t="shared" si="6"/>
        <v>1339478.3000000007</v>
      </c>
      <c r="D33" s="180">
        <f t="shared" si="6"/>
        <v>1162153.46</v>
      </c>
      <c r="E33" s="164">
        <f>SUM(B33:D33)</f>
        <v>2661309.5300000007</v>
      </c>
      <c r="G33" s="144"/>
      <c r="H33" s="68" t="s">
        <v>236</v>
      </c>
      <c r="I33" s="167">
        <f>B26</f>
        <v>1272018.5</v>
      </c>
      <c r="J33" s="45">
        <f>C27</f>
        <v>11591636.66</v>
      </c>
      <c r="K33" s="189">
        <f>210151.25</f>
        <v>210151.25</v>
      </c>
      <c r="L33" s="190">
        <f>SUM(I33:K33)</f>
        <v>13073806.41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4" spans="1:24">
      <c r="A34" s="170" t="s">
        <v>258</v>
      </c>
      <c r="B34" s="164">
        <f>1330.71</f>
        <v>1330.71</v>
      </c>
      <c r="C34" s="164">
        <f>60431.18</f>
        <v>60431.18</v>
      </c>
      <c r="D34" s="164">
        <f>3099.27</f>
        <v>3099.27</v>
      </c>
      <c r="E34" s="164">
        <f>SUM(B34:D34)</f>
        <v>64861.159999999996</v>
      </c>
      <c r="F34" s="166"/>
      <c r="G34" s="144"/>
      <c r="H34" s="170" t="s">
        <v>240</v>
      </c>
      <c r="I34" s="164"/>
      <c r="J34" s="191"/>
      <c r="K34" s="164"/>
      <c r="L34" s="190">
        <f>SUM(I34:K34)</f>
        <v>0</v>
      </c>
      <c r="N34" s="59"/>
      <c r="O34" s="59"/>
      <c r="P34" s="60"/>
      <c r="Q34" s="59"/>
      <c r="R34" s="59"/>
      <c r="S34" s="59"/>
      <c r="T34" s="59"/>
      <c r="U34" s="59"/>
      <c r="V34" s="59"/>
      <c r="W34" s="59"/>
      <c r="X34" s="59"/>
    </row>
    <row r="35" spans="1:24">
      <c r="A35" s="57" t="s">
        <v>483</v>
      </c>
      <c r="E35" s="192">
        <f>(J33-(J34+J35+J37))/D20</f>
        <v>1.162722162102376</v>
      </c>
      <c r="F35" s="166"/>
      <c r="G35" s="144"/>
      <c r="H35" s="170" t="s">
        <v>243</v>
      </c>
      <c r="I35" s="164">
        <v>7753.92</v>
      </c>
      <c r="J35" s="164">
        <v>140343.51999999999</v>
      </c>
      <c r="K35" s="164">
        <v>1243.9100000000001</v>
      </c>
      <c r="L35" s="190">
        <f>SUM(I35:K35)</f>
        <v>149341.35</v>
      </c>
      <c r="N35" s="59"/>
      <c r="O35" s="59"/>
      <c r="P35" s="60"/>
      <c r="Q35" s="59"/>
      <c r="R35" s="59"/>
      <c r="S35" s="59"/>
      <c r="T35" s="59"/>
      <c r="U35" s="59"/>
      <c r="V35" s="59"/>
      <c r="W35" s="59"/>
      <c r="X35" s="59"/>
    </row>
    <row r="36" spans="1:24">
      <c r="A36" s="166" t="s">
        <v>1775</v>
      </c>
      <c r="B36" s="166"/>
      <c r="C36" s="166"/>
      <c r="D36" s="166"/>
      <c r="E36" s="166"/>
      <c r="F36" s="166"/>
      <c r="G36" s="144"/>
      <c r="H36" s="170" t="s">
        <v>259</v>
      </c>
      <c r="I36" s="170"/>
      <c r="J36" s="164">
        <f>D20+I21</f>
        <v>4860079.7200000007</v>
      </c>
      <c r="K36" s="170"/>
      <c r="L36" s="190">
        <f>SUM(I36:K36)</f>
        <v>4860079.7200000007</v>
      </c>
      <c r="N36" s="59"/>
      <c r="O36" s="59"/>
      <c r="P36" s="386"/>
      <c r="Q36" s="60"/>
      <c r="R36" s="59"/>
      <c r="S36" s="59"/>
      <c r="T36" s="59"/>
      <c r="U36" s="59"/>
      <c r="V36" s="59"/>
      <c r="W36" s="59"/>
      <c r="X36" s="59"/>
    </row>
    <row r="37" spans="1:24">
      <c r="A37" s="57" t="s">
        <v>489</v>
      </c>
      <c r="B37" s="166"/>
      <c r="C37" s="166"/>
      <c r="D37" s="166"/>
      <c r="E37" s="166"/>
      <c r="F37" s="166"/>
      <c r="H37" s="177" t="s">
        <v>245</v>
      </c>
      <c r="I37" s="164">
        <f>B34</f>
        <v>1330.71</v>
      </c>
      <c r="J37" s="164">
        <f>C34</f>
        <v>60431.18</v>
      </c>
      <c r="K37" s="193"/>
      <c r="L37" s="190">
        <f>SUM(I37:K37)</f>
        <v>61761.89</v>
      </c>
      <c r="N37" s="59"/>
      <c r="O37" s="59"/>
      <c r="P37" s="386"/>
      <c r="Q37" s="60"/>
      <c r="R37" s="59"/>
      <c r="S37" s="59"/>
      <c r="T37" s="59"/>
      <c r="U37" s="59"/>
      <c r="V37" s="59"/>
      <c r="W37" s="59"/>
      <c r="X37" s="59"/>
    </row>
    <row r="38" spans="1:24">
      <c r="H38" s="69" t="s">
        <v>248</v>
      </c>
      <c r="I38" s="194">
        <f>I33-SUM(I34:I37)</f>
        <v>1262933.8700000001</v>
      </c>
      <c r="J38" s="190">
        <f>J33-SUM(J34:J37)</f>
        <v>6530782.2400000002</v>
      </c>
      <c r="K38" s="190">
        <f>K33-SUM(K34:K37)</f>
        <v>208907.34</v>
      </c>
      <c r="L38" s="180">
        <f>L33-SUM(L34:L37)</f>
        <v>8002623.4500000002</v>
      </c>
      <c r="N38" s="59"/>
      <c r="O38" s="59"/>
      <c r="P38" s="386"/>
      <c r="Q38" s="60"/>
      <c r="R38" s="59"/>
      <c r="S38" s="59"/>
      <c r="T38" s="59"/>
      <c r="U38" s="59"/>
      <c r="V38" s="59"/>
      <c r="W38" s="59"/>
      <c r="X38" s="59"/>
    </row>
    <row r="39" spans="1:24">
      <c r="F39" s="368"/>
      <c r="H39" s="68" t="s">
        <v>260</v>
      </c>
      <c r="I39" s="191">
        <f>(I38/(SUM(D8:D19)))*100</f>
        <v>4.2036855215991755</v>
      </c>
      <c r="J39" s="164">
        <f>(J38/(SUM(D8:D19)))*100</f>
        <v>21.737761096711285</v>
      </c>
      <c r="K39" s="164">
        <f>(K38/(SUM(D8:D19))*100)</f>
        <v>0.69534975771438945</v>
      </c>
      <c r="L39" s="82">
        <f>(L38/(SUM(D8:D19)))*100</f>
        <v>26.636796376024851</v>
      </c>
      <c r="N39" s="59"/>
      <c r="O39" s="59"/>
      <c r="P39" s="168"/>
      <c r="Q39" s="59"/>
      <c r="R39" s="59"/>
      <c r="S39" s="59"/>
      <c r="U39" s="59"/>
      <c r="V39" s="59"/>
    </row>
    <row r="40" spans="1:24">
      <c r="H40" s="171"/>
      <c r="I40" s="195">
        <f>I39/L39</f>
        <v>0.1578149812859182</v>
      </c>
      <c r="J40" s="195">
        <f>J39/L39</f>
        <v>0.81608016181243659</v>
      </c>
      <c r="K40" s="195">
        <f>K39/L39</f>
        <v>2.6104856901645174E-2</v>
      </c>
      <c r="L40" s="196"/>
      <c r="P40" s="60"/>
      <c r="Q40" s="59"/>
      <c r="R40" s="59"/>
      <c r="S40" s="59"/>
      <c r="U40" s="59"/>
      <c r="V40" s="59"/>
    </row>
    <row r="41" spans="1:24">
      <c r="H41" s="171"/>
      <c r="I41" s="195"/>
      <c r="J41" s="195"/>
      <c r="K41" s="195"/>
      <c r="L41" s="196"/>
      <c r="P41" s="60"/>
      <c r="Q41" s="59"/>
      <c r="R41" s="59"/>
      <c r="S41" s="59"/>
      <c r="U41" s="59"/>
      <c r="V41" s="59"/>
    </row>
    <row r="42" spans="1:24">
      <c r="H42" s="171"/>
      <c r="K42" s="144"/>
      <c r="L42" s="196"/>
      <c r="N42" s="59"/>
      <c r="O42" s="59"/>
      <c r="P42" s="59"/>
      <c r="Q42" s="59"/>
      <c r="R42" s="59"/>
      <c r="S42" s="59"/>
      <c r="U42" s="59"/>
      <c r="V42" s="59"/>
    </row>
    <row r="43" spans="1:24">
      <c r="A43" s="57" t="s">
        <v>99</v>
      </c>
      <c r="D43" s="57" t="s">
        <v>100</v>
      </c>
      <c r="G43" s="57" t="s">
        <v>101</v>
      </c>
      <c r="I43" s="355"/>
      <c r="J43" s="61"/>
      <c r="N43" s="59"/>
      <c r="O43" s="59"/>
      <c r="P43" s="59"/>
      <c r="Q43" s="59"/>
      <c r="R43" s="59"/>
      <c r="S43" s="59"/>
      <c r="U43" s="59"/>
      <c r="V43" s="59"/>
    </row>
    <row r="44" spans="1:24">
      <c r="A44" s="57" t="s">
        <v>102</v>
      </c>
      <c r="D44" s="57" t="s">
        <v>103</v>
      </c>
      <c r="G44" s="57" t="s">
        <v>104</v>
      </c>
      <c r="L44" s="153"/>
      <c r="N44" s="59"/>
      <c r="O44" s="59"/>
      <c r="P44" s="59"/>
      <c r="Q44" s="59"/>
      <c r="R44" s="59"/>
      <c r="S44" s="59"/>
      <c r="U44" s="59"/>
      <c r="V44" s="59"/>
    </row>
    <row r="45" spans="1:24">
      <c r="J45" s="168"/>
      <c r="P45" s="59"/>
      <c r="Q45" s="59"/>
      <c r="R45" s="59"/>
      <c r="S45" s="59"/>
      <c r="U45" s="59"/>
      <c r="V45" s="59"/>
    </row>
    <row r="46" spans="1:24">
      <c r="B46" s="59"/>
      <c r="N46" s="59"/>
      <c r="O46" s="59"/>
      <c r="P46" s="59"/>
      <c r="Q46" s="59"/>
      <c r="R46" s="59"/>
      <c r="S46" s="59"/>
      <c r="U46" s="59"/>
      <c r="V46" s="59"/>
    </row>
    <row r="47" spans="1:24" s="59" customFormat="1">
      <c r="A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</row>
    <row r="48" spans="1:24" s="87" customFormat="1">
      <c r="A48" s="57"/>
      <c r="B48" s="59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9"/>
      <c r="P48" s="59"/>
      <c r="Q48" s="59"/>
      <c r="R48" s="59"/>
      <c r="S48" s="59"/>
      <c r="U48" s="59"/>
      <c r="V48" s="59"/>
    </row>
    <row r="49" spans="1:22" s="87" customFormat="1">
      <c r="A49" s="57"/>
      <c r="B49" s="5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9"/>
      <c r="Q49" s="59"/>
      <c r="R49" s="59"/>
      <c r="S49" s="59"/>
      <c r="U49" s="59"/>
      <c r="V49" s="59"/>
    </row>
    <row r="50" spans="1:22">
      <c r="B50" s="59"/>
      <c r="O50" s="59"/>
      <c r="P50" s="59"/>
      <c r="Q50" s="59"/>
      <c r="R50" s="59"/>
      <c r="S50" s="59"/>
      <c r="U50" s="59"/>
      <c r="V50" s="59"/>
    </row>
    <row r="51" spans="1:22">
      <c r="B51" s="59"/>
      <c r="O51" s="59"/>
      <c r="P51" s="59"/>
      <c r="Q51" s="59"/>
      <c r="R51" s="59"/>
      <c r="S51" s="59"/>
      <c r="U51" s="59"/>
      <c r="V51" s="59"/>
    </row>
    <row r="52" spans="1:22">
      <c r="B52" s="59"/>
      <c r="O52" s="59"/>
      <c r="P52" s="59"/>
      <c r="Q52" s="59"/>
      <c r="R52" s="59"/>
      <c r="S52" s="59"/>
      <c r="U52" s="59"/>
      <c r="V52" s="59"/>
    </row>
    <row r="53" spans="1:22">
      <c r="B53" s="59"/>
      <c r="P53" s="59"/>
      <c r="Q53" s="59"/>
      <c r="R53" s="59"/>
      <c r="S53" s="59"/>
      <c r="U53" s="59"/>
      <c r="V53" s="59"/>
    </row>
    <row r="54" spans="1:22">
      <c r="B54" s="59"/>
    </row>
    <row r="55" spans="1:22" s="134" customFormat="1">
      <c r="A55" s="57"/>
      <c r="B55" s="59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22">
      <c r="B56" s="59"/>
    </row>
    <row r="57" spans="1:22">
      <c r="B57" s="59"/>
    </row>
    <row r="58" spans="1:22">
      <c r="B58" s="59"/>
    </row>
    <row r="59" spans="1:22">
      <c r="B59" s="59"/>
      <c r="G59" s="59"/>
      <c r="H59" s="59"/>
    </row>
    <row r="60" spans="1:22">
      <c r="B60" s="59"/>
    </row>
    <row r="61" spans="1:22">
      <c r="B61" s="59"/>
      <c r="G61" s="59"/>
      <c r="H61" s="59"/>
    </row>
    <row r="62" spans="1:22">
      <c r="B62" s="59"/>
    </row>
    <row r="63" spans="1:22">
      <c r="B63" s="59"/>
      <c r="G63" s="59"/>
      <c r="H63" s="59"/>
    </row>
    <row r="64" spans="1:22">
      <c r="B64" s="59"/>
    </row>
    <row r="65" spans="1:8">
      <c r="B65" s="59"/>
      <c r="G65" s="59"/>
      <c r="H65" s="59"/>
    </row>
    <row r="66" spans="1:8">
      <c r="B66" s="59"/>
    </row>
    <row r="67" spans="1:8">
      <c r="A67" s="59"/>
      <c r="B67" s="59"/>
      <c r="G67" s="59"/>
      <c r="H67" s="59"/>
    </row>
    <row r="69" spans="1:8">
      <c r="A69" s="59"/>
      <c r="B69" s="59"/>
      <c r="G69" s="59"/>
      <c r="H69" s="59"/>
    </row>
    <row r="71" spans="1:8">
      <c r="A71" s="59"/>
      <c r="B71" s="59"/>
      <c r="G71" s="59"/>
      <c r="H71" s="59"/>
    </row>
    <row r="73" spans="1:8">
      <c r="A73" s="59"/>
      <c r="B73" s="59"/>
      <c r="G73" s="59"/>
      <c r="H73" s="59"/>
    </row>
    <row r="75" spans="1:8">
      <c r="A75" s="59"/>
      <c r="B75" s="59"/>
      <c r="G75" s="59"/>
      <c r="H75" s="59"/>
    </row>
    <row r="77" spans="1:8">
      <c r="A77" s="59"/>
      <c r="B77" s="59"/>
      <c r="G77" s="59"/>
      <c r="H77" s="59"/>
    </row>
    <row r="79" spans="1:8">
      <c r="A79" s="59"/>
      <c r="B79" s="59"/>
      <c r="G79" s="59"/>
      <c r="H79" s="59"/>
    </row>
    <row r="81" spans="1:8">
      <c r="A81" s="59"/>
      <c r="B81" s="59"/>
      <c r="G81" s="59"/>
      <c r="H81" s="59"/>
    </row>
    <row r="83" spans="1:8">
      <c r="A83" s="59"/>
      <c r="B83" s="59"/>
      <c r="G83" s="59"/>
      <c r="H83" s="59"/>
    </row>
    <row r="85" spans="1:8">
      <c r="A85" s="59"/>
      <c r="B85" s="59"/>
      <c r="C85" s="59"/>
      <c r="D85" s="59"/>
      <c r="E85" s="59"/>
      <c r="F85" s="59"/>
      <c r="G85" s="59"/>
      <c r="H85" s="59"/>
    </row>
    <row r="87" spans="1:8">
      <c r="A87" s="59"/>
      <c r="B87" s="59"/>
      <c r="C87" s="59"/>
      <c r="D87" s="59"/>
      <c r="E87" s="59"/>
      <c r="F87" s="59"/>
      <c r="G87" s="59"/>
      <c r="H87" s="59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3:Y103"/>
  <sheetViews>
    <sheetView workbookViewId="0">
      <selection activeCell="A3" sqref="A3"/>
    </sheetView>
  </sheetViews>
  <sheetFormatPr defaultRowHeight="8.25"/>
  <cols>
    <col min="1" max="1" width="11" style="59" customWidth="1"/>
    <col min="2" max="2" width="9.42578125" style="59" customWidth="1"/>
    <col min="3" max="3" width="11.140625" style="59" customWidth="1"/>
    <col min="4" max="5" width="10.85546875" style="59" customWidth="1"/>
    <col min="6" max="6" width="10.85546875" style="59" bestFit="1" customWidth="1"/>
    <col min="7" max="7" width="11.28515625" style="59" bestFit="1" customWidth="1"/>
    <col min="8" max="8" width="9.140625" style="59" bestFit="1" customWidth="1"/>
    <col min="9" max="9" width="11" style="59" customWidth="1"/>
    <col min="10" max="10" width="10.85546875" style="59" customWidth="1"/>
    <col min="11" max="12" width="9.140625" style="59"/>
    <col min="13" max="13" width="10.140625" style="59" customWidth="1"/>
    <col min="14" max="16" width="10" style="59" bestFit="1" customWidth="1"/>
    <col min="17" max="256" width="9.140625" style="59"/>
    <col min="257" max="257" width="11" style="59" customWidth="1"/>
    <col min="258" max="258" width="8.42578125" style="59" customWidth="1"/>
    <col min="259" max="259" width="11.140625" style="59" customWidth="1"/>
    <col min="260" max="260" width="10.140625" style="59" customWidth="1"/>
    <col min="261" max="261" width="10.28515625" style="59" customWidth="1"/>
    <col min="262" max="262" width="10.85546875" style="59" bestFit="1" customWidth="1"/>
    <col min="263" max="263" width="11.28515625" style="59" bestFit="1" customWidth="1"/>
    <col min="264" max="264" width="9.140625" style="59" bestFit="1" customWidth="1"/>
    <col min="265" max="265" width="11" style="59" customWidth="1"/>
    <col min="266" max="266" width="10.28515625" style="59" customWidth="1"/>
    <col min="267" max="268" width="9.140625" style="59"/>
    <col min="269" max="269" width="10.140625" style="59" customWidth="1"/>
    <col min="270" max="272" width="10" style="59" bestFit="1" customWidth="1"/>
    <col min="273" max="512" width="9.140625" style="59"/>
    <col min="513" max="513" width="11" style="59" customWidth="1"/>
    <col min="514" max="514" width="8.42578125" style="59" customWidth="1"/>
    <col min="515" max="515" width="11.140625" style="59" customWidth="1"/>
    <col min="516" max="516" width="10.140625" style="59" customWidth="1"/>
    <col min="517" max="517" width="10.28515625" style="59" customWidth="1"/>
    <col min="518" max="518" width="10.85546875" style="59" bestFit="1" customWidth="1"/>
    <col min="519" max="519" width="11.28515625" style="59" bestFit="1" customWidth="1"/>
    <col min="520" max="520" width="9.140625" style="59" bestFit="1" customWidth="1"/>
    <col min="521" max="521" width="11" style="59" customWidth="1"/>
    <col min="522" max="522" width="10.28515625" style="59" customWidth="1"/>
    <col min="523" max="524" width="9.140625" style="59"/>
    <col min="525" max="525" width="10.140625" style="59" customWidth="1"/>
    <col min="526" max="528" width="10" style="59" bestFit="1" customWidth="1"/>
    <col min="529" max="768" width="9.140625" style="59"/>
    <col min="769" max="769" width="11" style="59" customWidth="1"/>
    <col min="770" max="770" width="8.42578125" style="59" customWidth="1"/>
    <col min="771" max="771" width="11.140625" style="59" customWidth="1"/>
    <col min="772" max="772" width="10.140625" style="59" customWidth="1"/>
    <col min="773" max="773" width="10.28515625" style="59" customWidth="1"/>
    <col min="774" max="774" width="10.85546875" style="59" bestFit="1" customWidth="1"/>
    <col min="775" max="775" width="11.28515625" style="59" bestFit="1" customWidth="1"/>
    <col min="776" max="776" width="9.140625" style="59" bestFit="1" customWidth="1"/>
    <col min="777" max="777" width="11" style="59" customWidth="1"/>
    <col min="778" max="778" width="10.28515625" style="59" customWidth="1"/>
    <col min="779" max="780" width="9.140625" style="59"/>
    <col min="781" max="781" width="10.140625" style="59" customWidth="1"/>
    <col min="782" max="784" width="10" style="59" bestFit="1" customWidth="1"/>
    <col min="785" max="1024" width="9.140625" style="59"/>
    <col min="1025" max="1025" width="11" style="59" customWidth="1"/>
    <col min="1026" max="1026" width="8.42578125" style="59" customWidth="1"/>
    <col min="1027" max="1027" width="11.140625" style="59" customWidth="1"/>
    <col min="1028" max="1028" width="10.140625" style="59" customWidth="1"/>
    <col min="1029" max="1029" width="10.28515625" style="59" customWidth="1"/>
    <col min="1030" max="1030" width="10.85546875" style="59" bestFit="1" customWidth="1"/>
    <col min="1031" max="1031" width="11.28515625" style="59" bestFit="1" customWidth="1"/>
    <col min="1032" max="1032" width="9.140625" style="59" bestFit="1" customWidth="1"/>
    <col min="1033" max="1033" width="11" style="59" customWidth="1"/>
    <col min="1034" max="1034" width="10.28515625" style="59" customWidth="1"/>
    <col min="1035" max="1036" width="9.140625" style="59"/>
    <col min="1037" max="1037" width="10.140625" style="59" customWidth="1"/>
    <col min="1038" max="1040" width="10" style="59" bestFit="1" customWidth="1"/>
    <col min="1041" max="1280" width="9.140625" style="59"/>
    <col min="1281" max="1281" width="11" style="59" customWidth="1"/>
    <col min="1282" max="1282" width="8.42578125" style="59" customWidth="1"/>
    <col min="1283" max="1283" width="11.140625" style="59" customWidth="1"/>
    <col min="1284" max="1284" width="10.140625" style="59" customWidth="1"/>
    <col min="1285" max="1285" width="10.28515625" style="59" customWidth="1"/>
    <col min="1286" max="1286" width="10.85546875" style="59" bestFit="1" customWidth="1"/>
    <col min="1287" max="1287" width="11.28515625" style="59" bestFit="1" customWidth="1"/>
    <col min="1288" max="1288" width="9.140625" style="59" bestFit="1" customWidth="1"/>
    <col min="1289" max="1289" width="11" style="59" customWidth="1"/>
    <col min="1290" max="1290" width="10.28515625" style="59" customWidth="1"/>
    <col min="1291" max="1292" width="9.140625" style="59"/>
    <col min="1293" max="1293" width="10.140625" style="59" customWidth="1"/>
    <col min="1294" max="1296" width="10" style="59" bestFit="1" customWidth="1"/>
    <col min="1297" max="1536" width="9.140625" style="59"/>
    <col min="1537" max="1537" width="11" style="59" customWidth="1"/>
    <col min="1538" max="1538" width="8.42578125" style="59" customWidth="1"/>
    <col min="1539" max="1539" width="11.140625" style="59" customWidth="1"/>
    <col min="1540" max="1540" width="10.140625" style="59" customWidth="1"/>
    <col min="1541" max="1541" width="10.28515625" style="59" customWidth="1"/>
    <col min="1542" max="1542" width="10.85546875" style="59" bestFit="1" customWidth="1"/>
    <col min="1543" max="1543" width="11.28515625" style="59" bestFit="1" customWidth="1"/>
    <col min="1544" max="1544" width="9.140625" style="59" bestFit="1" customWidth="1"/>
    <col min="1545" max="1545" width="11" style="59" customWidth="1"/>
    <col min="1546" max="1546" width="10.28515625" style="59" customWidth="1"/>
    <col min="1547" max="1548" width="9.140625" style="59"/>
    <col min="1549" max="1549" width="10.140625" style="59" customWidth="1"/>
    <col min="1550" max="1552" width="10" style="59" bestFit="1" customWidth="1"/>
    <col min="1553" max="1792" width="9.140625" style="59"/>
    <col min="1793" max="1793" width="11" style="59" customWidth="1"/>
    <col min="1794" max="1794" width="8.42578125" style="59" customWidth="1"/>
    <col min="1795" max="1795" width="11.140625" style="59" customWidth="1"/>
    <col min="1796" max="1796" width="10.140625" style="59" customWidth="1"/>
    <col min="1797" max="1797" width="10.28515625" style="59" customWidth="1"/>
    <col min="1798" max="1798" width="10.85546875" style="59" bestFit="1" customWidth="1"/>
    <col min="1799" max="1799" width="11.28515625" style="59" bestFit="1" customWidth="1"/>
    <col min="1800" max="1800" width="9.140625" style="59" bestFit="1" customWidth="1"/>
    <col min="1801" max="1801" width="11" style="59" customWidth="1"/>
    <col min="1802" max="1802" width="10.28515625" style="59" customWidth="1"/>
    <col min="1803" max="1804" width="9.140625" style="59"/>
    <col min="1805" max="1805" width="10.140625" style="59" customWidth="1"/>
    <col min="1806" max="1808" width="10" style="59" bestFit="1" customWidth="1"/>
    <col min="1809" max="2048" width="9.140625" style="59"/>
    <col min="2049" max="2049" width="11" style="59" customWidth="1"/>
    <col min="2050" max="2050" width="8.42578125" style="59" customWidth="1"/>
    <col min="2051" max="2051" width="11.140625" style="59" customWidth="1"/>
    <col min="2052" max="2052" width="10.140625" style="59" customWidth="1"/>
    <col min="2053" max="2053" width="10.28515625" style="59" customWidth="1"/>
    <col min="2054" max="2054" width="10.85546875" style="59" bestFit="1" customWidth="1"/>
    <col min="2055" max="2055" width="11.28515625" style="59" bestFit="1" customWidth="1"/>
    <col min="2056" max="2056" width="9.140625" style="59" bestFit="1" customWidth="1"/>
    <col min="2057" max="2057" width="11" style="59" customWidth="1"/>
    <col min="2058" max="2058" width="10.28515625" style="59" customWidth="1"/>
    <col min="2059" max="2060" width="9.140625" style="59"/>
    <col min="2061" max="2061" width="10.140625" style="59" customWidth="1"/>
    <col min="2062" max="2064" width="10" style="59" bestFit="1" customWidth="1"/>
    <col min="2065" max="2304" width="9.140625" style="59"/>
    <col min="2305" max="2305" width="11" style="59" customWidth="1"/>
    <col min="2306" max="2306" width="8.42578125" style="59" customWidth="1"/>
    <col min="2307" max="2307" width="11.140625" style="59" customWidth="1"/>
    <col min="2308" max="2308" width="10.140625" style="59" customWidth="1"/>
    <col min="2309" max="2309" width="10.28515625" style="59" customWidth="1"/>
    <col min="2310" max="2310" width="10.85546875" style="59" bestFit="1" customWidth="1"/>
    <col min="2311" max="2311" width="11.28515625" style="59" bestFit="1" customWidth="1"/>
    <col min="2312" max="2312" width="9.140625" style="59" bestFit="1" customWidth="1"/>
    <col min="2313" max="2313" width="11" style="59" customWidth="1"/>
    <col min="2314" max="2314" width="10.28515625" style="59" customWidth="1"/>
    <col min="2315" max="2316" width="9.140625" style="59"/>
    <col min="2317" max="2317" width="10.140625" style="59" customWidth="1"/>
    <col min="2318" max="2320" width="10" style="59" bestFit="1" customWidth="1"/>
    <col min="2321" max="2560" width="9.140625" style="59"/>
    <col min="2561" max="2561" width="11" style="59" customWidth="1"/>
    <col min="2562" max="2562" width="8.42578125" style="59" customWidth="1"/>
    <col min="2563" max="2563" width="11.140625" style="59" customWidth="1"/>
    <col min="2564" max="2564" width="10.140625" style="59" customWidth="1"/>
    <col min="2565" max="2565" width="10.28515625" style="59" customWidth="1"/>
    <col min="2566" max="2566" width="10.85546875" style="59" bestFit="1" customWidth="1"/>
    <col min="2567" max="2567" width="11.28515625" style="59" bestFit="1" customWidth="1"/>
    <col min="2568" max="2568" width="9.140625" style="59" bestFit="1" customWidth="1"/>
    <col min="2569" max="2569" width="11" style="59" customWidth="1"/>
    <col min="2570" max="2570" width="10.28515625" style="59" customWidth="1"/>
    <col min="2571" max="2572" width="9.140625" style="59"/>
    <col min="2573" max="2573" width="10.140625" style="59" customWidth="1"/>
    <col min="2574" max="2576" width="10" style="59" bestFit="1" customWidth="1"/>
    <col min="2577" max="2816" width="9.140625" style="59"/>
    <col min="2817" max="2817" width="11" style="59" customWidth="1"/>
    <col min="2818" max="2818" width="8.42578125" style="59" customWidth="1"/>
    <col min="2819" max="2819" width="11.140625" style="59" customWidth="1"/>
    <col min="2820" max="2820" width="10.140625" style="59" customWidth="1"/>
    <col min="2821" max="2821" width="10.28515625" style="59" customWidth="1"/>
    <col min="2822" max="2822" width="10.85546875" style="59" bestFit="1" customWidth="1"/>
    <col min="2823" max="2823" width="11.28515625" style="59" bestFit="1" customWidth="1"/>
    <col min="2824" max="2824" width="9.140625" style="59" bestFit="1" customWidth="1"/>
    <col min="2825" max="2825" width="11" style="59" customWidth="1"/>
    <col min="2826" max="2826" width="10.28515625" style="59" customWidth="1"/>
    <col min="2827" max="2828" width="9.140625" style="59"/>
    <col min="2829" max="2829" width="10.140625" style="59" customWidth="1"/>
    <col min="2830" max="2832" width="10" style="59" bestFit="1" customWidth="1"/>
    <col min="2833" max="3072" width="9.140625" style="59"/>
    <col min="3073" max="3073" width="11" style="59" customWidth="1"/>
    <col min="3074" max="3074" width="8.42578125" style="59" customWidth="1"/>
    <col min="3075" max="3075" width="11.140625" style="59" customWidth="1"/>
    <col min="3076" max="3076" width="10.140625" style="59" customWidth="1"/>
    <col min="3077" max="3077" width="10.28515625" style="59" customWidth="1"/>
    <col min="3078" max="3078" width="10.85546875" style="59" bestFit="1" customWidth="1"/>
    <col min="3079" max="3079" width="11.28515625" style="59" bestFit="1" customWidth="1"/>
    <col min="3080" max="3080" width="9.140625" style="59" bestFit="1" customWidth="1"/>
    <col min="3081" max="3081" width="11" style="59" customWidth="1"/>
    <col min="3082" max="3082" width="10.28515625" style="59" customWidth="1"/>
    <col min="3083" max="3084" width="9.140625" style="59"/>
    <col min="3085" max="3085" width="10.140625" style="59" customWidth="1"/>
    <col min="3086" max="3088" width="10" style="59" bestFit="1" customWidth="1"/>
    <col min="3089" max="3328" width="9.140625" style="59"/>
    <col min="3329" max="3329" width="11" style="59" customWidth="1"/>
    <col min="3330" max="3330" width="8.42578125" style="59" customWidth="1"/>
    <col min="3331" max="3331" width="11.140625" style="59" customWidth="1"/>
    <col min="3332" max="3332" width="10.140625" style="59" customWidth="1"/>
    <col min="3333" max="3333" width="10.28515625" style="59" customWidth="1"/>
    <col min="3334" max="3334" width="10.85546875" style="59" bestFit="1" customWidth="1"/>
    <col min="3335" max="3335" width="11.28515625" style="59" bestFit="1" customWidth="1"/>
    <col min="3336" max="3336" width="9.140625" style="59" bestFit="1" customWidth="1"/>
    <col min="3337" max="3337" width="11" style="59" customWidth="1"/>
    <col min="3338" max="3338" width="10.28515625" style="59" customWidth="1"/>
    <col min="3339" max="3340" width="9.140625" style="59"/>
    <col min="3341" max="3341" width="10.140625" style="59" customWidth="1"/>
    <col min="3342" max="3344" width="10" style="59" bestFit="1" customWidth="1"/>
    <col min="3345" max="3584" width="9.140625" style="59"/>
    <col min="3585" max="3585" width="11" style="59" customWidth="1"/>
    <col min="3586" max="3586" width="8.42578125" style="59" customWidth="1"/>
    <col min="3587" max="3587" width="11.140625" style="59" customWidth="1"/>
    <col min="3588" max="3588" width="10.140625" style="59" customWidth="1"/>
    <col min="3589" max="3589" width="10.28515625" style="59" customWidth="1"/>
    <col min="3590" max="3590" width="10.85546875" style="59" bestFit="1" customWidth="1"/>
    <col min="3591" max="3591" width="11.28515625" style="59" bestFit="1" customWidth="1"/>
    <col min="3592" max="3592" width="9.140625" style="59" bestFit="1" customWidth="1"/>
    <col min="3593" max="3593" width="11" style="59" customWidth="1"/>
    <col min="3594" max="3594" width="10.28515625" style="59" customWidth="1"/>
    <col min="3595" max="3596" width="9.140625" style="59"/>
    <col min="3597" max="3597" width="10.140625" style="59" customWidth="1"/>
    <col min="3598" max="3600" width="10" style="59" bestFit="1" customWidth="1"/>
    <col min="3601" max="3840" width="9.140625" style="59"/>
    <col min="3841" max="3841" width="11" style="59" customWidth="1"/>
    <col min="3842" max="3842" width="8.42578125" style="59" customWidth="1"/>
    <col min="3843" max="3843" width="11.140625" style="59" customWidth="1"/>
    <col min="3844" max="3844" width="10.140625" style="59" customWidth="1"/>
    <col min="3845" max="3845" width="10.28515625" style="59" customWidth="1"/>
    <col min="3846" max="3846" width="10.85546875" style="59" bestFit="1" customWidth="1"/>
    <col min="3847" max="3847" width="11.28515625" style="59" bestFit="1" customWidth="1"/>
    <col min="3848" max="3848" width="9.140625" style="59" bestFit="1" customWidth="1"/>
    <col min="3849" max="3849" width="11" style="59" customWidth="1"/>
    <col min="3850" max="3850" width="10.28515625" style="59" customWidth="1"/>
    <col min="3851" max="3852" width="9.140625" style="59"/>
    <col min="3853" max="3853" width="10.140625" style="59" customWidth="1"/>
    <col min="3854" max="3856" width="10" style="59" bestFit="1" customWidth="1"/>
    <col min="3857" max="4096" width="9.140625" style="59"/>
    <col min="4097" max="4097" width="11" style="59" customWidth="1"/>
    <col min="4098" max="4098" width="8.42578125" style="59" customWidth="1"/>
    <col min="4099" max="4099" width="11.140625" style="59" customWidth="1"/>
    <col min="4100" max="4100" width="10.140625" style="59" customWidth="1"/>
    <col min="4101" max="4101" width="10.28515625" style="59" customWidth="1"/>
    <col min="4102" max="4102" width="10.85546875" style="59" bestFit="1" customWidth="1"/>
    <col min="4103" max="4103" width="11.28515625" style="59" bestFit="1" customWidth="1"/>
    <col min="4104" max="4104" width="9.140625" style="59" bestFit="1" customWidth="1"/>
    <col min="4105" max="4105" width="11" style="59" customWidth="1"/>
    <col min="4106" max="4106" width="10.28515625" style="59" customWidth="1"/>
    <col min="4107" max="4108" width="9.140625" style="59"/>
    <col min="4109" max="4109" width="10.140625" style="59" customWidth="1"/>
    <col min="4110" max="4112" width="10" style="59" bestFit="1" customWidth="1"/>
    <col min="4113" max="4352" width="9.140625" style="59"/>
    <col min="4353" max="4353" width="11" style="59" customWidth="1"/>
    <col min="4354" max="4354" width="8.42578125" style="59" customWidth="1"/>
    <col min="4355" max="4355" width="11.140625" style="59" customWidth="1"/>
    <col min="4356" max="4356" width="10.140625" style="59" customWidth="1"/>
    <col min="4357" max="4357" width="10.28515625" style="59" customWidth="1"/>
    <col min="4358" max="4358" width="10.85546875" style="59" bestFit="1" customWidth="1"/>
    <col min="4359" max="4359" width="11.28515625" style="59" bestFit="1" customWidth="1"/>
    <col min="4360" max="4360" width="9.140625" style="59" bestFit="1" customWidth="1"/>
    <col min="4361" max="4361" width="11" style="59" customWidth="1"/>
    <col min="4362" max="4362" width="10.28515625" style="59" customWidth="1"/>
    <col min="4363" max="4364" width="9.140625" style="59"/>
    <col min="4365" max="4365" width="10.140625" style="59" customWidth="1"/>
    <col min="4366" max="4368" width="10" style="59" bestFit="1" customWidth="1"/>
    <col min="4369" max="4608" width="9.140625" style="59"/>
    <col min="4609" max="4609" width="11" style="59" customWidth="1"/>
    <col min="4610" max="4610" width="8.42578125" style="59" customWidth="1"/>
    <col min="4611" max="4611" width="11.140625" style="59" customWidth="1"/>
    <col min="4612" max="4612" width="10.140625" style="59" customWidth="1"/>
    <col min="4613" max="4613" width="10.28515625" style="59" customWidth="1"/>
    <col min="4614" max="4614" width="10.85546875" style="59" bestFit="1" customWidth="1"/>
    <col min="4615" max="4615" width="11.28515625" style="59" bestFit="1" customWidth="1"/>
    <col min="4616" max="4616" width="9.140625" style="59" bestFit="1" customWidth="1"/>
    <col min="4617" max="4617" width="11" style="59" customWidth="1"/>
    <col min="4618" max="4618" width="10.28515625" style="59" customWidth="1"/>
    <col min="4619" max="4620" width="9.140625" style="59"/>
    <col min="4621" max="4621" width="10.140625" style="59" customWidth="1"/>
    <col min="4622" max="4624" width="10" style="59" bestFit="1" customWidth="1"/>
    <col min="4625" max="4864" width="9.140625" style="59"/>
    <col min="4865" max="4865" width="11" style="59" customWidth="1"/>
    <col min="4866" max="4866" width="8.42578125" style="59" customWidth="1"/>
    <col min="4867" max="4867" width="11.140625" style="59" customWidth="1"/>
    <col min="4868" max="4868" width="10.140625" style="59" customWidth="1"/>
    <col min="4869" max="4869" width="10.28515625" style="59" customWidth="1"/>
    <col min="4870" max="4870" width="10.85546875" style="59" bestFit="1" customWidth="1"/>
    <col min="4871" max="4871" width="11.28515625" style="59" bestFit="1" customWidth="1"/>
    <col min="4872" max="4872" width="9.140625" style="59" bestFit="1" customWidth="1"/>
    <col min="4873" max="4873" width="11" style="59" customWidth="1"/>
    <col min="4874" max="4874" width="10.28515625" style="59" customWidth="1"/>
    <col min="4875" max="4876" width="9.140625" style="59"/>
    <col min="4877" max="4877" width="10.140625" style="59" customWidth="1"/>
    <col min="4878" max="4880" width="10" style="59" bestFit="1" customWidth="1"/>
    <col min="4881" max="5120" width="9.140625" style="59"/>
    <col min="5121" max="5121" width="11" style="59" customWidth="1"/>
    <col min="5122" max="5122" width="8.42578125" style="59" customWidth="1"/>
    <col min="5123" max="5123" width="11.140625" style="59" customWidth="1"/>
    <col min="5124" max="5124" width="10.140625" style="59" customWidth="1"/>
    <col min="5125" max="5125" width="10.28515625" style="59" customWidth="1"/>
    <col min="5126" max="5126" width="10.85546875" style="59" bestFit="1" customWidth="1"/>
    <col min="5127" max="5127" width="11.28515625" style="59" bestFit="1" customWidth="1"/>
    <col min="5128" max="5128" width="9.140625" style="59" bestFit="1" customWidth="1"/>
    <col min="5129" max="5129" width="11" style="59" customWidth="1"/>
    <col min="5130" max="5130" width="10.28515625" style="59" customWidth="1"/>
    <col min="5131" max="5132" width="9.140625" style="59"/>
    <col min="5133" max="5133" width="10.140625" style="59" customWidth="1"/>
    <col min="5134" max="5136" width="10" style="59" bestFit="1" customWidth="1"/>
    <col min="5137" max="5376" width="9.140625" style="59"/>
    <col min="5377" max="5377" width="11" style="59" customWidth="1"/>
    <col min="5378" max="5378" width="8.42578125" style="59" customWidth="1"/>
    <col min="5379" max="5379" width="11.140625" style="59" customWidth="1"/>
    <col min="5380" max="5380" width="10.140625" style="59" customWidth="1"/>
    <col min="5381" max="5381" width="10.28515625" style="59" customWidth="1"/>
    <col min="5382" max="5382" width="10.85546875" style="59" bestFit="1" customWidth="1"/>
    <col min="5383" max="5383" width="11.28515625" style="59" bestFit="1" customWidth="1"/>
    <col min="5384" max="5384" width="9.140625" style="59" bestFit="1" customWidth="1"/>
    <col min="5385" max="5385" width="11" style="59" customWidth="1"/>
    <col min="5386" max="5386" width="10.28515625" style="59" customWidth="1"/>
    <col min="5387" max="5388" width="9.140625" style="59"/>
    <col min="5389" max="5389" width="10.140625" style="59" customWidth="1"/>
    <col min="5390" max="5392" width="10" style="59" bestFit="1" customWidth="1"/>
    <col min="5393" max="5632" width="9.140625" style="59"/>
    <col min="5633" max="5633" width="11" style="59" customWidth="1"/>
    <col min="5634" max="5634" width="8.42578125" style="59" customWidth="1"/>
    <col min="5635" max="5635" width="11.140625" style="59" customWidth="1"/>
    <col min="5636" max="5636" width="10.140625" style="59" customWidth="1"/>
    <col min="5637" max="5637" width="10.28515625" style="59" customWidth="1"/>
    <col min="5638" max="5638" width="10.85546875" style="59" bestFit="1" customWidth="1"/>
    <col min="5639" max="5639" width="11.28515625" style="59" bestFit="1" customWidth="1"/>
    <col min="5640" max="5640" width="9.140625" style="59" bestFit="1" customWidth="1"/>
    <col min="5641" max="5641" width="11" style="59" customWidth="1"/>
    <col min="5642" max="5642" width="10.28515625" style="59" customWidth="1"/>
    <col min="5643" max="5644" width="9.140625" style="59"/>
    <col min="5645" max="5645" width="10.140625" style="59" customWidth="1"/>
    <col min="5646" max="5648" width="10" style="59" bestFit="1" customWidth="1"/>
    <col min="5649" max="5888" width="9.140625" style="59"/>
    <col min="5889" max="5889" width="11" style="59" customWidth="1"/>
    <col min="5890" max="5890" width="8.42578125" style="59" customWidth="1"/>
    <col min="5891" max="5891" width="11.140625" style="59" customWidth="1"/>
    <col min="5892" max="5892" width="10.140625" style="59" customWidth="1"/>
    <col min="5893" max="5893" width="10.28515625" style="59" customWidth="1"/>
    <col min="5894" max="5894" width="10.85546875" style="59" bestFit="1" customWidth="1"/>
    <col min="5895" max="5895" width="11.28515625" style="59" bestFit="1" customWidth="1"/>
    <col min="5896" max="5896" width="9.140625" style="59" bestFit="1" customWidth="1"/>
    <col min="5897" max="5897" width="11" style="59" customWidth="1"/>
    <col min="5898" max="5898" width="10.28515625" style="59" customWidth="1"/>
    <col min="5899" max="5900" width="9.140625" style="59"/>
    <col min="5901" max="5901" width="10.140625" style="59" customWidth="1"/>
    <col min="5902" max="5904" width="10" style="59" bestFit="1" customWidth="1"/>
    <col min="5905" max="6144" width="9.140625" style="59"/>
    <col min="6145" max="6145" width="11" style="59" customWidth="1"/>
    <col min="6146" max="6146" width="8.42578125" style="59" customWidth="1"/>
    <col min="6147" max="6147" width="11.140625" style="59" customWidth="1"/>
    <col min="6148" max="6148" width="10.140625" style="59" customWidth="1"/>
    <col min="6149" max="6149" width="10.28515625" style="59" customWidth="1"/>
    <col min="6150" max="6150" width="10.85546875" style="59" bestFit="1" customWidth="1"/>
    <col min="6151" max="6151" width="11.28515625" style="59" bestFit="1" customWidth="1"/>
    <col min="6152" max="6152" width="9.140625" style="59" bestFit="1" customWidth="1"/>
    <col min="6153" max="6153" width="11" style="59" customWidth="1"/>
    <col min="6154" max="6154" width="10.28515625" style="59" customWidth="1"/>
    <col min="6155" max="6156" width="9.140625" style="59"/>
    <col min="6157" max="6157" width="10.140625" style="59" customWidth="1"/>
    <col min="6158" max="6160" width="10" style="59" bestFit="1" customWidth="1"/>
    <col min="6161" max="6400" width="9.140625" style="59"/>
    <col min="6401" max="6401" width="11" style="59" customWidth="1"/>
    <col min="6402" max="6402" width="8.42578125" style="59" customWidth="1"/>
    <col min="6403" max="6403" width="11.140625" style="59" customWidth="1"/>
    <col min="6404" max="6404" width="10.140625" style="59" customWidth="1"/>
    <col min="6405" max="6405" width="10.28515625" style="59" customWidth="1"/>
    <col min="6406" max="6406" width="10.85546875" style="59" bestFit="1" customWidth="1"/>
    <col min="6407" max="6407" width="11.28515625" style="59" bestFit="1" customWidth="1"/>
    <col min="6408" max="6408" width="9.140625" style="59" bestFit="1" customWidth="1"/>
    <col min="6409" max="6409" width="11" style="59" customWidth="1"/>
    <col min="6410" max="6410" width="10.28515625" style="59" customWidth="1"/>
    <col min="6411" max="6412" width="9.140625" style="59"/>
    <col min="6413" max="6413" width="10.140625" style="59" customWidth="1"/>
    <col min="6414" max="6416" width="10" style="59" bestFit="1" customWidth="1"/>
    <col min="6417" max="6656" width="9.140625" style="59"/>
    <col min="6657" max="6657" width="11" style="59" customWidth="1"/>
    <col min="6658" max="6658" width="8.42578125" style="59" customWidth="1"/>
    <col min="6659" max="6659" width="11.140625" style="59" customWidth="1"/>
    <col min="6660" max="6660" width="10.140625" style="59" customWidth="1"/>
    <col min="6661" max="6661" width="10.28515625" style="59" customWidth="1"/>
    <col min="6662" max="6662" width="10.85546875" style="59" bestFit="1" customWidth="1"/>
    <col min="6663" max="6663" width="11.28515625" style="59" bestFit="1" customWidth="1"/>
    <col min="6664" max="6664" width="9.140625" style="59" bestFit="1" customWidth="1"/>
    <col min="6665" max="6665" width="11" style="59" customWidth="1"/>
    <col min="6666" max="6666" width="10.28515625" style="59" customWidth="1"/>
    <col min="6667" max="6668" width="9.140625" style="59"/>
    <col min="6669" max="6669" width="10.140625" style="59" customWidth="1"/>
    <col min="6670" max="6672" width="10" style="59" bestFit="1" customWidth="1"/>
    <col min="6673" max="6912" width="9.140625" style="59"/>
    <col min="6913" max="6913" width="11" style="59" customWidth="1"/>
    <col min="6914" max="6914" width="8.42578125" style="59" customWidth="1"/>
    <col min="6915" max="6915" width="11.140625" style="59" customWidth="1"/>
    <col min="6916" max="6916" width="10.140625" style="59" customWidth="1"/>
    <col min="6917" max="6917" width="10.28515625" style="59" customWidth="1"/>
    <col min="6918" max="6918" width="10.85546875" style="59" bestFit="1" customWidth="1"/>
    <col min="6919" max="6919" width="11.28515625" style="59" bestFit="1" customWidth="1"/>
    <col min="6920" max="6920" width="9.140625" style="59" bestFit="1" customWidth="1"/>
    <col min="6921" max="6921" width="11" style="59" customWidth="1"/>
    <col min="6922" max="6922" width="10.28515625" style="59" customWidth="1"/>
    <col min="6923" max="6924" width="9.140625" style="59"/>
    <col min="6925" max="6925" width="10.140625" style="59" customWidth="1"/>
    <col min="6926" max="6928" width="10" style="59" bestFit="1" customWidth="1"/>
    <col min="6929" max="7168" width="9.140625" style="59"/>
    <col min="7169" max="7169" width="11" style="59" customWidth="1"/>
    <col min="7170" max="7170" width="8.42578125" style="59" customWidth="1"/>
    <col min="7171" max="7171" width="11.140625" style="59" customWidth="1"/>
    <col min="7172" max="7172" width="10.140625" style="59" customWidth="1"/>
    <col min="7173" max="7173" width="10.28515625" style="59" customWidth="1"/>
    <col min="7174" max="7174" width="10.85546875" style="59" bestFit="1" customWidth="1"/>
    <col min="7175" max="7175" width="11.28515625" style="59" bestFit="1" customWidth="1"/>
    <col min="7176" max="7176" width="9.140625" style="59" bestFit="1" customWidth="1"/>
    <col min="7177" max="7177" width="11" style="59" customWidth="1"/>
    <col min="7178" max="7178" width="10.28515625" style="59" customWidth="1"/>
    <col min="7179" max="7180" width="9.140625" style="59"/>
    <col min="7181" max="7181" width="10.140625" style="59" customWidth="1"/>
    <col min="7182" max="7184" width="10" style="59" bestFit="1" customWidth="1"/>
    <col min="7185" max="7424" width="9.140625" style="59"/>
    <col min="7425" max="7425" width="11" style="59" customWidth="1"/>
    <col min="7426" max="7426" width="8.42578125" style="59" customWidth="1"/>
    <col min="7427" max="7427" width="11.140625" style="59" customWidth="1"/>
    <col min="7428" max="7428" width="10.140625" style="59" customWidth="1"/>
    <col min="7429" max="7429" width="10.28515625" style="59" customWidth="1"/>
    <col min="7430" max="7430" width="10.85546875" style="59" bestFit="1" customWidth="1"/>
    <col min="7431" max="7431" width="11.28515625" style="59" bestFit="1" customWidth="1"/>
    <col min="7432" max="7432" width="9.140625" style="59" bestFit="1" customWidth="1"/>
    <col min="7433" max="7433" width="11" style="59" customWidth="1"/>
    <col min="7434" max="7434" width="10.28515625" style="59" customWidth="1"/>
    <col min="7435" max="7436" width="9.140625" style="59"/>
    <col min="7437" max="7437" width="10.140625" style="59" customWidth="1"/>
    <col min="7438" max="7440" width="10" style="59" bestFit="1" customWidth="1"/>
    <col min="7441" max="7680" width="9.140625" style="59"/>
    <col min="7681" max="7681" width="11" style="59" customWidth="1"/>
    <col min="7682" max="7682" width="8.42578125" style="59" customWidth="1"/>
    <col min="7683" max="7683" width="11.140625" style="59" customWidth="1"/>
    <col min="7684" max="7684" width="10.140625" style="59" customWidth="1"/>
    <col min="7685" max="7685" width="10.28515625" style="59" customWidth="1"/>
    <col min="7686" max="7686" width="10.85546875" style="59" bestFit="1" customWidth="1"/>
    <col min="7687" max="7687" width="11.28515625" style="59" bestFit="1" customWidth="1"/>
    <col min="7688" max="7688" width="9.140625" style="59" bestFit="1" customWidth="1"/>
    <col min="7689" max="7689" width="11" style="59" customWidth="1"/>
    <col min="7690" max="7690" width="10.28515625" style="59" customWidth="1"/>
    <col min="7691" max="7692" width="9.140625" style="59"/>
    <col min="7693" max="7693" width="10.140625" style="59" customWidth="1"/>
    <col min="7694" max="7696" width="10" style="59" bestFit="1" customWidth="1"/>
    <col min="7697" max="7936" width="9.140625" style="59"/>
    <col min="7937" max="7937" width="11" style="59" customWidth="1"/>
    <col min="7938" max="7938" width="8.42578125" style="59" customWidth="1"/>
    <col min="7939" max="7939" width="11.140625" style="59" customWidth="1"/>
    <col min="7940" max="7940" width="10.140625" style="59" customWidth="1"/>
    <col min="7941" max="7941" width="10.28515625" style="59" customWidth="1"/>
    <col min="7942" max="7942" width="10.85546875" style="59" bestFit="1" customWidth="1"/>
    <col min="7943" max="7943" width="11.28515625" style="59" bestFit="1" customWidth="1"/>
    <col min="7944" max="7944" width="9.140625" style="59" bestFit="1" customWidth="1"/>
    <col min="7945" max="7945" width="11" style="59" customWidth="1"/>
    <col min="7946" max="7946" width="10.28515625" style="59" customWidth="1"/>
    <col min="7947" max="7948" width="9.140625" style="59"/>
    <col min="7949" max="7949" width="10.140625" style="59" customWidth="1"/>
    <col min="7950" max="7952" width="10" style="59" bestFit="1" customWidth="1"/>
    <col min="7953" max="8192" width="9.140625" style="59"/>
    <col min="8193" max="8193" width="11" style="59" customWidth="1"/>
    <col min="8194" max="8194" width="8.42578125" style="59" customWidth="1"/>
    <col min="8195" max="8195" width="11.140625" style="59" customWidth="1"/>
    <col min="8196" max="8196" width="10.140625" style="59" customWidth="1"/>
    <col min="8197" max="8197" width="10.28515625" style="59" customWidth="1"/>
    <col min="8198" max="8198" width="10.85546875" style="59" bestFit="1" customWidth="1"/>
    <col min="8199" max="8199" width="11.28515625" style="59" bestFit="1" customWidth="1"/>
    <col min="8200" max="8200" width="9.140625" style="59" bestFit="1" customWidth="1"/>
    <col min="8201" max="8201" width="11" style="59" customWidth="1"/>
    <col min="8202" max="8202" width="10.28515625" style="59" customWidth="1"/>
    <col min="8203" max="8204" width="9.140625" style="59"/>
    <col min="8205" max="8205" width="10.140625" style="59" customWidth="1"/>
    <col min="8206" max="8208" width="10" style="59" bestFit="1" customWidth="1"/>
    <col min="8209" max="8448" width="9.140625" style="59"/>
    <col min="8449" max="8449" width="11" style="59" customWidth="1"/>
    <col min="8450" max="8450" width="8.42578125" style="59" customWidth="1"/>
    <col min="8451" max="8451" width="11.140625" style="59" customWidth="1"/>
    <col min="8452" max="8452" width="10.140625" style="59" customWidth="1"/>
    <col min="8453" max="8453" width="10.28515625" style="59" customWidth="1"/>
    <col min="8454" max="8454" width="10.85546875" style="59" bestFit="1" customWidth="1"/>
    <col min="8455" max="8455" width="11.28515625" style="59" bestFit="1" customWidth="1"/>
    <col min="8456" max="8456" width="9.140625" style="59" bestFit="1" customWidth="1"/>
    <col min="8457" max="8457" width="11" style="59" customWidth="1"/>
    <col min="8458" max="8458" width="10.28515625" style="59" customWidth="1"/>
    <col min="8459" max="8460" width="9.140625" style="59"/>
    <col min="8461" max="8461" width="10.140625" style="59" customWidth="1"/>
    <col min="8462" max="8464" width="10" style="59" bestFit="1" customWidth="1"/>
    <col min="8465" max="8704" width="9.140625" style="59"/>
    <col min="8705" max="8705" width="11" style="59" customWidth="1"/>
    <col min="8706" max="8706" width="8.42578125" style="59" customWidth="1"/>
    <col min="8707" max="8707" width="11.140625" style="59" customWidth="1"/>
    <col min="8708" max="8708" width="10.140625" style="59" customWidth="1"/>
    <col min="8709" max="8709" width="10.28515625" style="59" customWidth="1"/>
    <col min="8710" max="8710" width="10.85546875" style="59" bestFit="1" customWidth="1"/>
    <col min="8711" max="8711" width="11.28515625" style="59" bestFit="1" customWidth="1"/>
    <col min="8712" max="8712" width="9.140625" style="59" bestFit="1" customWidth="1"/>
    <col min="8713" max="8713" width="11" style="59" customWidth="1"/>
    <col min="8714" max="8714" width="10.28515625" style="59" customWidth="1"/>
    <col min="8715" max="8716" width="9.140625" style="59"/>
    <col min="8717" max="8717" width="10.140625" style="59" customWidth="1"/>
    <col min="8718" max="8720" width="10" style="59" bestFit="1" customWidth="1"/>
    <col min="8721" max="8960" width="9.140625" style="59"/>
    <col min="8961" max="8961" width="11" style="59" customWidth="1"/>
    <col min="8962" max="8962" width="8.42578125" style="59" customWidth="1"/>
    <col min="8963" max="8963" width="11.140625" style="59" customWidth="1"/>
    <col min="8964" max="8964" width="10.140625" style="59" customWidth="1"/>
    <col min="8965" max="8965" width="10.28515625" style="59" customWidth="1"/>
    <col min="8966" max="8966" width="10.85546875" style="59" bestFit="1" customWidth="1"/>
    <col min="8967" max="8967" width="11.28515625" style="59" bestFit="1" customWidth="1"/>
    <col min="8968" max="8968" width="9.140625" style="59" bestFit="1" customWidth="1"/>
    <col min="8969" max="8969" width="11" style="59" customWidth="1"/>
    <col min="8970" max="8970" width="10.28515625" style="59" customWidth="1"/>
    <col min="8971" max="8972" width="9.140625" style="59"/>
    <col min="8973" max="8973" width="10.140625" style="59" customWidth="1"/>
    <col min="8974" max="8976" width="10" style="59" bestFit="1" customWidth="1"/>
    <col min="8977" max="9216" width="9.140625" style="59"/>
    <col min="9217" max="9217" width="11" style="59" customWidth="1"/>
    <col min="9218" max="9218" width="8.42578125" style="59" customWidth="1"/>
    <col min="9219" max="9219" width="11.140625" style="59" customWidth="1"/>
    <col min="9220" max="9220" width="10.140625" style="59" customWidth="1"/>
    <col min="9221" max="9221" width="10.28515625" style="59" customWidth="1"/>
    <col min="9222" max="9222" width="10.85546875" style="59" bestFit="1" customWidth="1"/>
    <col min="9223" max="9223" width="11.28515625" style="59" bestFit="1" customWidth="1"/>
    <col min="9224" max="9224" width="9.140625" style="59" bestFit="1" customWidth="1"/>
    <col min="9225" max="9225" width="11" style="59" customWidth="1"/>
    <col min="9226" max="9226" width="10.28515625" style="59" customWidth="1"/>
    <col min="9227" max="9228" width="9.140625" style="59"/>
    <col min="9229" max="9229" width="10.140625" style="59" customWidth="1"/>
    <col min="9230" max="9232" width="10" style="59" bestFit="1" customWidth="1"/>
    <col min="9233" max="9472" width="9.140625" style="59"/>
    <col min="9473" max="9473" width="11" style="59" customWidth="1"/>
    <col min="9474" max="9474" width="8.42578125" style="59" customWidth="1"/>
    <col min="9475" max="9475" width="11.140625" style="59" customWidth="1"/>
    <col min="9476" max="9476" width="10.140625" style="59" customWidth="1"/>
    <col min="9477" max="9477" width="10.28515625" style="59" customWidth="1"/>
    <col min="9478" max="9478" width="10.85546875" style="59" bestFit="1" customWidth="1"/>
    <col min="9479" max="9479" width="11.28515625" style="59" bestFit="1" customWidth="1"/>
    <col min="9480" max="9480" width="9.140625" style="59" bestFit="1" customWidth="1"/>
    <col min="9481" max="9481" width="11" style="59" customWidth="1"/>
    <col min="9482" max="9482" width="10.28515625" style="59" customWidth="1"/>
    <col min="9483" max="9484" width="9.140625" style="59"/>
    <col min="9485" max="9485" width="10.140625" style="59" customWidth="1"/>
    <col min="9486" max="9488" width="10" style="59" bestFit="1" customWidth="1"/>
    <col min="9489" max="9728" width="9.140625" style="59"/>
    <col min="9729" max="9729" width="11" style="59" customWidth="1"/>
    <col min="9730" max="9730" width="8.42578125" style="59" customWidth="1"/>
    <col min="9731" max="9731" width="11.140625" style="59" customWidth="1"/>
    <col min="9732" max="9732" width="10.140625" style="59" customWidth="1"/>
    <col min="9733" max="9733" width="10.28515625" style="59" customWidth="1"/>
    <col min="9734" max="9734" width="10.85546875" style="59" bestFit="1" customWidth="1"/>
    <col min="9735" max="9735" width="11.28515625" style="59" bestFit="1" customWidth="1"/>
    <col min="9736" max="9736" width="9.140625" style="59" bestFit="1" customWidth="1"/>
    <col min="9737" max="9737" width="11" style="59" customWidth="1"/>
    <col min="9738" max="9738" width="10.28515625" style="59" customWidth="1"/>
    <col min="9739" max="9740" width="9.140625" style="59"/>
    <col min="9741" max="9741" width="10.140625" style="59" customWidth="1"/>
    <col min="9742" max="9744" width="10" style="59" bestFit="1" customWidth="1"/>
    <col min="9745" max="9984" width="9.140625" style="59"/>
    <col min="9985" max="9985" width="11" style="59" customWidth="1"/>
    <col min="9986" max="9986" width="8.42578125" style="59" customWidth="1"/>
    <col min="9987" max="9987" width="11.140625" style="59" customWidth="1"/>
    <col min="9988" max="9988" width="10.140625" style="59" customWidth="1"/>
    <col min="9989" max="9989" width="10.28515625" style="59" customWidth="1"/>
    <col min="9990" max="9990" width="10.85546875" style="59" bestFit="1" customWidth="1"/>
    <col min="9991" max="9991" width="11.28515625" style="59" bestFit="1" customWidth="1"/>
    <col min="9992" max="9992" width="9.140625" style="59" bestFit="1" customWidth="1"/>
    <col min="9993" max="9993" width="11" style="59" customWidth="1"/>
    <col min="9994" max="9994" width="10.28515625" style="59" customWidth="1"/>
    <col min="9995" max="9996" width="9.140625" style="59"/>
    <col min="9997" max="9997" width="10.140625" style="59" customWidth="1"/>
    <col min="9998" max="10000" width="10" style="59" bestFit="1" customWidth="1"/>
    <col min="10001" max="10240" width="9.140625" style="59"/>
    <col min="10241" max="10241" width="11" style="59" customWidth="1"/>
    <col min="10242" max="10242" width="8.42578125" style="59" customWidth="1"/>
    <col min="10243" max="10243" width="11.140625" style="59" customWidth="1"/>
    <col min="10244" max="10244" width="10.140625" style="59" customWidth="1"/>
    <col min="10245" max="10245" width="10.28515625" style="59" customWidth="1"/>
    <col min="10246" max="10246" width="10.85546875" style="59" bestFit="1" customWidth="1"/>
    <col min="10247" max="10247" width="11.28515625" style="59" bestFit="1" customWidth="1"/>
    <col min="10248" max="10248" width="9.140625" style="59" bestFit="1" customWidth="1"/>
    <col min="10249" max="10249" width="11" style="59" customWidth="1"/>
    <col min="10250" max="10250" width="10.28515625" style="59" customWidth="1"/>
    <col min="10251" max="10252" width="9.140625" style="59"/>
    <col min="10253" max="10253" width="10.140625" style="59" customWidth="1"/>
    <col min="10254" max="10256" width="10" style="59" bestFit="1" customWidth="1"/>
    <col min="10257" max="10496" width="9.140625" style="59"/>
    <col min="10497" max="10497" width="11" style="59" customWidth="1"/>
    <col min="10498" max="10498" width="8.42578125" style="59" customWidth="1"/>
    <col min="10499" max="10499" width="11.140625" style="59" customWidth="1"/>
    <col min="10500" max="10500" width="10.140625" style="59" customWidth="1"/>
    <col min="10501" max="10501" width="10.28515625" style="59" customWidth="1"/>
    <col min="10502" max="10502" width="10.85546875" style="59" bestFit="1" customWidth="1"/>
    <col min="10503" max="10503" width="11.28515625" style="59" bestFit="1" customWidth="1"/>
    <col min="10504" max="10504" width="9.140625" style="59" bestFit="1" customWidth="1"/>
    <col min="10505" max="10505" width="11" style="59" customWidth="1"/>
    <col min="10506" max="10506" width="10.28515625" style="59" customWidth="1"/>
    <col min="10507" max="10508" width="9.140625" style="59"/>
    <col min="10509" max="10509" width="10.140625" style="59" customWidth="1"/>
    <col min="10510" max="10512" width="10" style="59" bestFit="1" customWidth="1"/>
    <col min="10513" max="10752" width="9.140625" style="59"/>
    <col min="10753" max="10753" width="11" style="59" customWidth="1"/>
    <col min="10754" max="10754" width="8.42578125" style="59" customWidth="1"/>
    <col min="10755" max="10755" width="11.140625" style="59" customWidth="1"/>
    <col min="10756" max="10756" width="10.140625" style="59" customWidth="1"/>
    <col min="10757" max="10757" width="10.28515625" style="59" customWidth="1"/>
    <col min="10758" max="10758" width="10.85546875" style="59" bestFit="1" customWidth="1"/>
    <col min="10759" max="10759" width="11.28515625" style="59" bestFit="1" customWidth="1"/>
    <col min="10760" max="10760" width="9.140625" style="59" bestFit="1" customWidth="1"/>
    <col min="10761" max="10761" width="11" style="59" customWidth="1"/>
    <col min="10762" max="10762" width="10.28515625" style="59" customWidth="1"/>
    <col min="10763" max="10764" width="9.140625" style="59"/>
    <col min="10765" max="10765" width="10.140625" style="59" customWidth="1"/>
    <col min="10766" max="10768" width="10" style="59" bestFit="1" customWidth="1"/>
    <col min="10769" max="11008" width="9.140625" style="59"/>
    <col min="11009" max="11009" width="11" style="59" customWidth="1"/>
    <col min="11010" max="11010" width="8.42578125" style="59" customWidth="1"/>
    <col min="11011" max="11011" width="11.140625" style="59" customWidth="1"/>
    <col min="11012" max="11012" width="10.140625" style="59" customWidth="1"/>
    <col min="11013" max="11013" width="10.28515625" style="59" customWidth="1"/>
    <col min="11014" max="11014" width="10.85546875" style="59" bestFit="1" customWidth="1"/>
    <col min="11015" max="11015" width="11.28515625" style="59" bestFit="1" customWidth="1"/>
    <col min="11016" max="11016" width="9.140625" style="59" bestFit="1" customWidth="1"/>
    <col min="11017" max="11017" width="11" style="59" customWidth="1"/>
    <col min="11018" max="11018" width="10.28515625" style="59" customWidth="1"/>
    <col min="11019" max="11020" width="9.140625" style="59"/>
    <col min="11021" max="11021" width="10.140625" style="59" customWidth="1"/>
    <col min="11022" max="11024" width="10" style="59" bestFit="1" customWidth="1"/>
    <col min="11025" max="11264" width="9.140625" style="59"/>
    <col min="11265" max="11265" width="11" style="59" customWidth="1"/>
    <col min="11266" max="11266" width="8.42578125" style="59" customWidth="1"/>
    <col min="11267" max="11267" width="11.140625" style="59" customWidth="1"/>
    <col min="11268" max="11268" width="10.140625" style="59" customWidth="1"/>
    <col min="11269" max="11269" width="10.28515625" style="59" customWidth="1"/>
    <col min="11270" max="11270" width="10.85546875" style="59" bestFit="1" customWidth="1"/>
    <col min="11271" max="11271" width="11.28515625" style="59" bestFit="1" customWidth="1"/>
    <col min="11272" max="11272" width="9.140625" style="59" bestFit="1" customWidth="1"/>
    <col min="11273" max="11273" width="11" style="59" customWidth="1"/>
    <col min="11274" max="11274" width="10.28515625" style="59" customWidth="1"/>
    <col min="11275" max="11276" width="9.140625" style="59"/>
    <col min="11277" max="11277" width="10.140625" style="59" customWidth="1"/>
    <col min="11278" max="11280" width="10" style="59" bestFit="1" customWidth="1"/>
    <col min="11281" max="11520" width="9.140625" style="59"/>
    <col min="11521" max="11521" width="11" style="59" customWidth="1"/>
    <col min="11522" max="11522" width="8.42578125" style="59" customWidth="1"/>
    <col min="11523" max="11523" width="11.140625" style="59" customWidth="1"/>
    <col min="11524" max="11524" width="10.140625" style="59" customWidth="1"/>
    <col min="11525" max="11525" width="10.28515625" style="59" customWidth="1"/>
    <col min="11526" max="11526" width="10.85546875" style="59" bestFit="1" customWidth="1"/>
    <col min="11527" max="11527" width="11.28515625" style="59" bestFit="1" customWidth="1"/>
    <col min="11528" max="11528" width="9.140625" style="59" bestFit="1" customWidth="1"/>
    <col min="11529" max="11529" width="11" style="59" customWidth="1"/>
    <col min="11530" max="11530" width="10.28515625" style="59" customWidth="1"/>
    <col min="11531" max="11532" width="9.140625" style="59"/>
    <col min="11533" max="11533" width="10.140625" style="59" customWidth="1"/>
    <col min="11534" max="11536" width="10" style="59" bestFit="1" customWidth="1"/>
    <col min="11537" max="11776" width="9.140625" style="59"/>
    <col min="11777" max="11777" width="11" style="59" customWidth="1"/>
    <col min="11778" max="11778" width="8.42578125" style="59" customWidth="1"/>
    <col min="11779" max="11779" width="11.140625" style="59" customWidth="1"/>
    <col min="11780" max="11780" width="10.140625" style="59" customWidth="1"/>
    <col min="11781" max="11781" width="10.28515625" style="59" customWidth="1"/>
    <col min="11782" max="11782" width="10.85546875" style="59" bestFit="1" customWidth="1"/>
    <col min="11783" max="11783" width="11.28515625" style="59" bestFit="1" customWidth="1"/>
    <col min="11784" max="11784" width="9.140625" style="59" bestFit="1" customWidth="1"/>
    <col min="11785" max="11785" width="11" style="59" customWidth="1"/>
    <col min="11786" max="11786" width="10.28515625" style="59" customWidth="1"/>
    <col min="11787" max="11788" width="9.140625" style="59"/>
    <col min="11789" max="11789" width="10.140625" style="59" customWidth="1"/>
    <col min="11790" max="11792" width="10" style="59" bestFit="1" customWidth="1"/>
    <col min="11793" max="12032" width="9.140625" style="59"/>
    <col min="12033" max="12033" width="11" style="59" customWidth="1"/>
    <col min="12034" max="12034" width="8.42578125" style="59" customWidth="1"/>
    <col min="12035" max="12035" width="11.140625" style="59" customWidth="1"/>
    <col min="12036" max="12036" width="10.140625" style="59" customWidth="1"/>
    <col min="12037" max="12037" width="10.28515625" style="59" customWidth="1"/>
    <col min="12038" max="12038" width="10.85546875" style="59" bestFit="1" customWidth="1"/>
    <col min="12039" max="12039" width="11.28515625" style="59" bestFit="1" customWidth="1"/>
    <col min="12040" max="12040" width="9.140625" style="59" bestFit="1" customWidth="1"/>
    <col min="12041" max="12041" width="11" style="59" customWidth="1"/>
    <col min="12042" max="12042" width="10.28515625" style="59" customWidth="1"/>
    <col min="12043" max="12044" width="9.140625" style="59"/>
    <col min="12045" max="12045" width="10.140625" style="59" customWidth="1"/>
    <col min="12046" max="12048" width="10" style="59" bestFit="1" customWidth="1"/>
    <col min="12049" max="12288" width="9.140625" style="59"/>
    <col min="12289" max="12289" width="11" style="59" customWidth="1"/>
    <col min="12290" max="12290" width="8.42578125" style="59" customWidth="1"/>
    <col min="12291" max="12291" width="11.140625" style="59" customWidth="1"/>
    <col min="12292" max="12292" width="10.140625" style="59" customWidth="1"/>
    <col min="12293" max="12293" width="10.28515625" style="59" customWidth="1"/>
    <col min="12294" max="12294" width="10.85546875" style="59" bestFit="1" customWidth="1"/>
    <col min="12295" max="12295" width="11.28515625" style="59" bestFit="1" customWidth="1"/>
    <col min="12296" max="12296" width="9.140625" style="59" bestFit="1" customWidth="1"/>
    <col min="12297" max="12297" width="11" style="59" customWidth="1"/>
    <col min="12298" max="12298" width="10.28515625" style="59" customWidth="1"/>
    <col min="12299" max="12300" width="9.140625" style="59"/>
    <col min="12301" max="12301" width="10.140625" style="59" customWidth="1"/>
    <col min="12302" max="12304" width="10" style="59" bestFit="1" customWidth="1"/>
    <col min="12305" max="12544" width="9.140625" style="59"/>
    <col min="12545" max="12545" width="11" style="59" customWidth="1"/>
    <col min="12546" max="12546" width="8.42578125" style="59" customWidth="1"/>
    <col min="12547" max="12547" width="11.140625" style="59" customWidth="1"/>
    <col min="12548" max="12548" width="10.140625" style="59" customWidth="1"/>
    <col min="12549" max="12549" width="10.28515625" style="59" customWidth="1"/>
    <col min="12550" max="12550" width="10.85546875" style="59" bestFit="1" customWidth="1"/>
    <col min="12551" max="12551" width="11.28515625" style="59" bestFit="1" customWidth="1"/>
    <col min="12552" max="12552" width="9.140625" style="59" bestFit="1" customWidth="1"/>
    <col min="12553" max="12553" width="11" style="59" customWidth="1"/>
    <col min="12554" max="12554" width="10.28515625" style="59" customWidth="1"/>
    <col min="12555" max="12556" width="9.140625" style="59"/>
    <col min="12557" max="12557" width="10.140625" style="59" customWidth="1"/>
    <col min="12558" max="12560" width="10" style="59" bestFit="1" customWidth="1"/>
    <col min="12561" max="12800" width="9.140625" style="59"/>
    <col min="12801" max="12801" width="11" style="59" customWidth="1"/>
    <col min="12802" max="12802" width="8.42578125" style="59" customWidth="1"/>
    <col min="12803" max="12803" width="11.140625" style="59" customWidth="1"/>
    <col min="12804" max="12804" width="10.140625" style="59" customWidth="1"/>
    <col min="12805" max="12805" width="10.28515625" style="59" customWidth="1"/>
    <col min="12806" max="12806" width="10.85546875" style="59" bestFit="1" customWidth="1"/>
    <col min="12807" max="12807" width="11.28515625" style="59" bestFit="1" customWidth="1"/>
    <col min="12808" max="12808" width="9.140625" style="59" bestFit="1" customWidth="1"/>
    <col min="12809" max="12809" width="11" style="59" customWidth="1"/>
    <col min="12810" max="12810" width="10.28515625" style="59" customWidth="1"/>
    <col min="12811" max="12812" width="9.140625" style="59"/>
    <col min="12813" max="12813" width="10.140625" style="59" customWidth="1"/>
    <col min="12814" max="12816" width="10" style="59" bestFit="1" customWidth="1"/>
    <col min="12817" max="13056" width="9.140625" style="59"/>
    <col min="13057" max="13057" width="11" style="59" customWidth="1"/>
    <col min="13058" max="13058" width="8.42578125" style="59" customWidth="1"/>
    <col min="13059" max="13059" width="11.140625" style="59" customWidth="1"/>
    <col min="13060" max="13060" width="10.140625" style="59" customWidth="1"/>
    <col min="13061" max="13061" width="10.28515625" style="59" customWidth="1"/>
    <col min="13062" max="13062" width="10.85546875" style="59" bestFit="1" customWidth="1"/>
    <col min="13063" max="13063" width="11.28515625" style="59" bestFit="1" customWidth="1"/>
    <col min="13064" max="13064" width="9.140625" style="59" bestFit="1" customWidth="1"/>
    <col min="13065" max="13065" width="11" style="59" customWidth="1"/>
    <col min="13066" max="13066" width="10.28515625" style="59" customWidth="1"/>
    <col min="13067" max="13068" width="9.140625" style="59"/>
    <col min="13069" max="13069" width="10.140625" style="59" customWidth="1"/>
    <col min="13070" max="13072" width="10" style="59" bestFit="1" customWidth="1"/>
    <col min="13073" max="13312" width="9.140625" style="59"/>
    <col min="13313" max="13313" width="11" style="59" customWidth="1"/>
    <col min="13314" max="13314" width="8.42578125" style="59" customWidth="1"/>
    <col min="13315" max="13315" width="11.140625" style="59" customWidth="1"/>
    <col min="13316" max="13316" width="10.140625" style="59" customWidth="1"/>
    <col min="13317" max="13317" width="10.28515625" style="59" customWidth="1"/>
    <col min="13318" max="13318" width="10.85546875" style="59" bestFit="1" customWidth="1"/>
    <col min="13319" max="13319" width="11.28515625" style="59" bestFit="1" customWidth="1"/>
    <col min="13320" max="13320" width="9.140625" style="59" bestFit="1" customWidth="1"/>
    <col min="13321" max="13321" width="11" style="59" customWidth="1"/>
    <col min="13322" max="13322" width="10.28515625" style="59" customWidth="1"/>
    <col min="13323" max="13324" width="9.140625" style="59"/>
    <col min="13325" max="13325" width="10.140625" style="59" customWidth="1"/>
    <col min="13326" max="13328" width="10" style="59" bestFit="1" customWidth="1"/>
    <col min="13329" max="13568" width="9.140625" style="59"/>
    <col min="13569" max="13569" width="11" style="59" customWidth="1"/>
    <col min="13570" max="13570" width="8.42578125" style="59" customWidth="1"/>
    <col min="13571" max="13571" width="11.140625" style="59" customWidth="1"/>
    <col min="13572" max="13572" width="10.140625" style="59" customWidth="1"/>
    <col min="13573" max="13573" width="10.28515625" style="59" customWidth="1"/>
    <col min="13574" max="13574" width="10.85546875" style="59" bestFit="1" customWidth="1"/>
    <col min="13575" max="13575" width="11.28515625" style="59" bestFit="1" customWidth="1"/>
    <col min="13576" max="13576" width="9.140625" style="59" bestFit="1" customWidth="1"/>
    <col min="13577" max="13577" width="11" style="59" customWidth="1"/>
    <col min="13578" max="13578" width="10.28515625" style="59" customWidth="1"/>
    <col min="13579" max="13580" width="9.140625" style="59"/>
    <col min="13581" max="13581" width="10.140625" style="59" customWidth="1"/>
    <col min="13582" max="13584" width="10" style="59" bestFit="1" customWidth="1"/>
    <col min="13585" max="13824" width="9.140625" style="59"/>
    <col min="13825" max="13825" width="11" style="59" customWidth="1"/>
    <col min="13826" max="13826" width="8.42578125" style="59" customWidth="1"/>
    <col min="13827" max="13827" width="11.140625" style="59" customWidth="1"/>
    <col min="13828" max="13828" width="10.140625" style="59" customWidth="1"/>
    <col min="13829" max="13829" width="10.28515625" style="59" customWidth="1"/>
    <col min="13830" max="13830" width="10.85546875" style="59" bestFit="1" customWidth="1"/>
    <col min="13831" max="13831" width="11.28515625" style="59" bestFit="1" customWidth="1"/>
    <col min="13832" max="13832" width="9.140625" style="59" bestFit="1" customWidth="1"/>
    <col min="13833" max="13833" width="11" style="59" customWidth="1"/>
    <col min="13834" max="13834" width="10.28515625" style="59" customWidth="1"/>
    <col min="13835" max="13836" width="9.140625" style="59"/>
    <col min="13837" max="13837" width="10.140625" style="59" customWidth="1"/>
    <col min="13838" max="13840" width="10" style="59" bestFit="1" customWidth="1"/>
    <col min="13841" max="14080" width="9.140625" style="59"/>
    <col min="14081" max="14081" width="11" style="59" customWidth="1"/>
    <col min="14082" max="14082" width="8.42578125" style="59" customWidth="1"/>
    <col min="14083" max="14083" width="11.140625" style="59" customWidth="1"/>
    <col min="14084" max="14084" width="10.140625" style="59" customWidth="1"/>
    <col min="14085" max="14085" width="10.28515625" style="59" customWidth="1"/>
    <col min="14086" max="14086" width="10.85546875" style="59" bestFit="1" customWidth="1"/>
    <col min="14087" max="14087" width="11.28515625" style="59" bestFit="1" customWidth="1"/>
    <col min="14088" max="14088" width="9.140625" style="59" bestFit="1" customWidth="1"/>
    <col min="14089" max="14089" width="11" style="59" customWidth="1"/>
    <col min="14090" max="14090" width="10.28515625" style="59" customWidth="1"/>
    <col min="14091" max="14092" width="9.140625" style="59"/>
    <col min="14093" max="14093" width="10.140625" style="59" customWidth="1"/>
    <col min="14094" max="14096" width="10" style="59" bestFit="1" customWidth="1"/>
    <col min="14097" max="14336" width="9.140625" style="59"/>
    <col min="14337" max="14337" width="11" style="59" customWidth="1"/>
    <col min="14338" max="14338" width="8.42578125" style="59" customWidth="1"/>
    <col min="14339" max="14339" width="11.140625" style="59" customWidth="1"/>
    <col min="14340" max="14340" width="10.140625" style="59" customWidth="1"/>
    <col min="14341" max="14341" width="10.28515625" style="59" customWidth="1"/>
    <col min="14342" max="14342" width="10.85546875" style="59" bestFit="1" customWidth="1"/>
    <col min="14343" max="14343" width="11.28515625" style="59" bestFit="1" customWidth="1"/>
    <col min="14344" max="14344" width="9.140625" style="59" bestFit="1" customWidth="1"/>
    <col min="14345" max="14345" width="11" style="59" customWidth="1"/>
    <col min="14346" max="14346" width="10.28515625" style="59" customWidth="1"/>
    <col min="14347" max="14348" width="9.140625" style="59"/>
    <col min="14349" max="14349" width="10.140625" style="59" customWidth="1"/>
    <col min="14350" max="14352" width="10" style="59" bestFit="1" customWidth="1"/>
    <col min="14353" max="14592" width="9.140625" style="59"/>
    <col min="14593" max="14593" width="11" style="59" customWidth="1"/>
    <col min="14594" max="14594" width="8.42578125" style="59" customWidth="1"/>
    <col min="14595" max="14595" width="11.140625" style="59" customWidth="1"/>
    <col min="14596" max="14596" width="10.140625" style="59" customWidth="1"/>
    <col min="14597" max="14597" width="10.28515625" style="59" customWidth="1"/>
    <col min="14598" max="14598" width="10.85546875" style="59" bestFit="1" customWidth="1"/>
    <col min="14599" max="14599" width="11.28515625" style="59" bestFit="1" customWidth="1"/>
    <col min="14600" max="14600" width="9.140625" style="59" bestFit="1" customWidth="1"/>
    <col min="14601" max="14601" width="11" style="59" customWidth="1"/>
    <col min="14602" max="14602" width="10.28515625" style="59" customWidth="1"/>
    <col min="14603" max="14604" width="9.140625" style="59"/>
    <col min="14605" max="14605" width="10.140625" style="59" customWidth="1"/>
    <col min="14606" max="14608" width="10" style="59" bestFit="1" customWidth="1"/>
    <col min="14609" max="14848" width="9.140625" style="59"/>
    <col min="14849" max="14849" width="11" style="59" customWidth="1"/>
    <col min="14850" max="14850" width="8.42578125" style="59" customWidth="1"/>
    <col min="14851" max="14851" width="11.140625" style="59" customWidth="1"/>
    <col min="14852" max="14852" width="10.140625" style="59" customWidth="1"/>
    <col min="14853" max="14853" width="10.28515625" style="59" customWidth="1"/>
    <col min="14854" max="14854" width="10.85546875" style="59" bestFit="1" customWidth="1"/>
    <col min="14855" max="14855" width="11.28515625" style="59" bestFit="1" customWidth="1"/>
    <col min="14856" max="14856" width="9.140625" style="59" bestFit="1" customWidth="1"/>
    <col min="14857" max="14857" width="11" style="59" customWidth="1"/>
    <col min="14858" max="14858" width="10.28515625" style="59" customWidth="1"/>
    <col min="14859" max="14860" width="9.140625" style="59"/>
    <col min="14861" max="14861" width="10.140625" style="59" customWidth="1"/>
    <col min="14862" max="14864" width="10" style="59" bestFit="1" customWidth="1"/>
    <col min="14865" max="15104" width="9.140625" style="59"/>
    <col min="15105" max="15105" width="11" style="59" customWidth="1"/>
    <col min="15106" max="15106" width="8.42578125" style="59" customWidth="1"/>
    <col min="15107" max="15107" width="11.140625" style="59" customWidth="1"/>
    <col min="15108" max="15108" width="10.140625" style="59" customWidth="1"/>
    <col min="15109" max="15109" width="10.28515625" style="59" customWidth="1"/>
    <col min="15110" max="15110" width="10.85546875" style="59" bestFit="1" customWidth="1"/>
    <col min="15111" max="15111" width="11.28515625" style="59" bestFit="1" customWidth="1"/>
    <col min="15112" max="15112" width="9.140625" style="59" bestFit="1" customWidth="1"/>
    <col min="15113" max="15113" width="11" style="59" customWidth="1"/>
    <col min="15114" max="15114" width="10.28515625" style="59" customWidth="1"/>
    <col min="15115" max="15116" width="9.140625" style="59"/>
    <col min="15117" max="15117" width="10.140625" style="59" customWidth="1"/>
    <col min="15118" max="15120" width="10" style="59" bestFit="1" customWidth="1"/>
    <col min="15121" max="15360" width="9.140625" style="59"/>
    <col min="15361" max="15361" width="11" style="59" customWidth="1"/>
    <col min="15362" max="15362" width="8.42578125" style="59" customWidth="1"/>
    <col min="15363" max="15363" width="11.140625" style="59" customWidth="1"/>
    <col min="15364" max="15364" width="10.140625" style="59" customWidth="1"/>
    <col min="15365" max="15365" width="10.28515625" style="59" customWidth="1"/>
    <col min="15366" max="15366" width="10.85546875" style="59" bestFit="1" customWidth="1"/>
    <col min="15367" max="15367" width="11.28515625" style="59" bestFit="1" customWidth="1"/>
    <col min="15368" max="15368" width="9.140625" style="59" bestFit="1" customWidth="1"/>
    <col min="15369" max="15369" width="11" style="59" customWidth="1"/>
    <col min="15370" max="15370" width="10.28515625" style="59" customWidth="1"/>
    <col min="15371" max="15372" width="9.140625" style="59"/>
    <col min="15373" max="15373" width="10.140625" style="59" customWidth="1"/>
    <col min="15374" max="15376" width="10" style="59" bestFit="1" customWidth="1"/>
    <col min="15377" max="15616" width="9.140625" style="59"/>
    <col min="15617" max="15617" width="11" style="59" customWidth="1"/>
    <col min="15618" max="15618" width="8.42578125" style="59" customWidth="1"/>
    <col min="15619" max="15619" width="11.140625" style="59" customWidth="1"/>
    <col min="15620" max="15620" width="10.140625" style="59" customWidth="1"/>
    <col min="15621" max="15621" width="10.28515625" style="59" customWidth="1"/>
    <col min="15622" max="15622" width="10.85546875" style="59" bestFit="1" customWidth="1"/>
    <col min="15623" max="15623" width="11.28515625" style="59" bestFit="1" customWidth="1"/>
    <col min="15624" max="15624" width="9.140625" style="59" bestFit="1" customWidth="1"/>
    <col min="15625" max="15625" width="11" style="59" customWidth="1"/>
    <col min="15626" max="15626" width="10.28515625" style="59" customWidth="1"/>
    <col min="15627" max="15628" width="9.140625" style="59"/>
    <col min="15629" max="15629" width="10.140625" style="59" customWidth="1"/>
    <col min="15630" max="15632" width="10" style="59" bestFit="1" customWidth="1"/>
    <col min="15633" max="15872" width="9.140625" style="59"/>
    <col min="15873" max="15873" width="11" style="59" customWidth="1"/>
    <col min="15874" max="15874" width="8.42578125" style="59" customWidth="1"/>
    <col min="15875" max="15875" width="11.140625" style="59" customWidth="1"/>
    <col min="15876" max="15876" width="10.140625" style="59" customWidth="1"/>
    <col min="15877" max="15877" width="10.28515625" style="59" customWidth="1"/>
    <col min="15878" max="15878" width="10.85546875" style="59" bestFit="1" customWidth="1"/>
    <col min="15879" max="15879" width="11.28515625" style="59" bestFit="1" customWidth="1"/>
    <col min="15880" max="15880" width="9.140625" style="59" bestFit="1" customWidth="1"/>
    <col min="15881" max="15881" width="11" style="59" customWidth="1"/>
    <col min="15882" max="15882" width="10.28515625" style="59" customWidth="1"/>
    <col min="15883" max="15884" width="9.140625" style="59"/>
    <col min="15885" max="15885" width="10.140625" style="59" customWidth="1"/>
    <col min="15886" max="15888" width="10" style="59" bestFit="1" customWidth="1"/>
    <col min="15889" max="16128" width="9.140625" style="59"/>
    <col min="16129" max="16129" width="11" style="59" customWidth="1"/>
    <col min="16130" max="16130" width="8.42578125" style="59" customWidth="1"/>
    <col min="16131" max="16131" width="11.140625" style="59" customWidth="1"/>
    <col min="16132" max="16132" width="10.140625" style="59" customWidth="1"/>
    <col min="16133" max="16133" width="10.28515625" style="59" customWidth="1"/>
    <col min="16134" max="16134" width="10.85546875" style="59" bestFit="1" customWidth="1"/>
    <col min="16135" max="16135" width="11.28515625" style="59" bestFit="1" customWidth="1"/>
    <col min="16136" max="16136" width="9.140625" style="59" bestFit="1" customWidth="1"/>
    <col min="16137" max="16137" width="11" style="59" customWidth="1"/>
    <col min="16138" max="16138" width="10.28515625" style="59" customWidth="1"/>
    <col min="16139" max="16140" width="9.140625" style="59"/>
    <col min="16141" max="16141" width="10.140625" style="59" customWidth="1"/>
    <col min="16142" max="16144" width="10" style="59" bestFit="1" customWidth="1"/>
    <col min="16145" max="16384" width="9.140625" style="59"/>
  </cols>
  <sheetData>
    <row r="3" spans="1:25">
      <c r="A3" s="84" t="s">
        <v>151</v>
      </c>
      <c r="B3" s="85">
        <v>44681</v>
      </c>
    </row>
    <row r="4" spans="1:25">
      <c r="C4" s="59" t="s">
        <v>152</v>
      </c>
    </row>
    <row r="5" spans="1:25">
      <c r="C5" s="59" t="s">
        <v>153</v>
      </c>
      <c r="E5" s="59" t="s">
        <v>154</v>
      </c>
      <c r="H5" s="59" t="s">
        <v>155</v>
      </c>
      <c r="J5" s="59" t="s">
        <v>156</v>
      </c>
      <c r="M5" s="86" t="s">
        <v>157</v>
      </c>
    </row>
    <row r="6" spans="1:25" s="87" customFormat="1">
      <c r="C6" s="88"/>
      <c r="J6" s="87" t="s">
        <v>158</v>
      </c>
      <c r="P6" s="89"/>
      <c r="R6" s="59"/>
      <c r="S6" s="59"/>
      <c r="T6" s="59"/>
      <c r="U6" s="59"/>
      <c r="V6" s="59"/>
      <c r="W6" s="59"/>
      <c r="X6" s="59"/>
      <c r="Y6" s="59"/>
    </row>
    <row r="7" spans="1:25">
      <c r="A7" s="88"/>
      <c r="B7" s="88"/>
      <c r="D7" s="90"/>
      <c r="J7" s="91"/>
    </row>
    <row r="8" spans="1:25" s="87" customFormat="1">
      <c r="C8" s="88"/>
      <c r="D8" s="88"/>
      <c r="E8" s="88"/>
      <c r="F8" s="88"/>
      <c r="G8" s="88"/>
      <c r="H8" s="88"/>
      <c r="N8" s="88"/>
      <c r="O8" s="88"/>
      <c r="P8" s="92"/>
      <c r="R8" s="59"/>
      <c r="S8" s="59"/>
      <c r="T8" s="59"/>
      <c r="U8" s="59"/>
      <c r="V8" s="59"/>
      <c r="W8" s="59"/>
      <c r="X8" s="59"/>
      <c r="Y8" s="59"/>
    </row>
    <row r="9" spans="1:25">
      <c r="A9" s="93" t="s">
        <v>159</v>
      </c>
      <c r="B9" s="94" t="s">
        <v>131</v>
      </c>
      <c r="C9" s="95" t="s">
        <v>160</v>
      </c>
      <c r="D9" s="95" t="s">
        <v>161</v>
      </c>
      <c r="E9" s="95" t="s">
        <v>162</v>
      </c>
      <c r="F9" s="95" t="s">
        <v>163</v>
      </c>
      <c r="G9" s="93" t="s">
        <v>159</v>
      </c>
      <c r="H9" s="96" t="s">
        <v>131</v>
      </c>
      <c r="I9" s="97" t="s">
        <v>160</v>
      </c>
      <c r="J9" s="97" t="s">
        <v>161</v>
      </c>
      <c r="K9" s="97" t="s">
        <v>162</v>
      </c>
      <c r="L9" s="95" t="s">
        <v>163</v>
      </c>
    </row>
    <row r="10" spans="1:25">
      <c r="A10" s="93" t="s">
        <v>618</v>
      </c>
      <c r="B10" s="97">
        <v>16792392.399999999</v>
      </c>
      <c r="C10" s="98">
        <v>6204166.5199999996</v>
      </c>
      <c r="D10" s="98">
        <v>6204166.5199999996</v>
      </c>
      <c r="E10" s="99">
        <v>5472454.5499999998</v>
      </c>
      <c r="F10" s="99">
        <f>B10-C10</f>
        <v>10588225.879999999</v>
      </c>
      <c r="G10" s="93" t="s">
        <v>613</v>
      </c>
      <c r="H10" s="97">
        <v>1708531.12</v>
      </c>
      <c r="I10" s="45">
        <v>1622321.38</v>
      </c>
      <c r="J10" s="45">
        <v>1622321.38</v>
      </c>
      <c r="K10" s="100">
        <v>1423669.92</v>
      </c>
      <c r="L10" s="99">
        <f>H10-I10</f>
        <v>86209.740000000224</v>
      </c>
    </row>
    <row r="11" spans="1:25">
      <c r="A11" s="93" t="s">
        <v>619</v>
      </c>
      <c r="B11" s="97">
        <v>3279578.59</v>
      </c>
      <c r="C11" s="98">
        <v>906356.56</v>
      </c>
      <c r="D11" s="98">
        <v>906356.56</v>
      </c>
      <c r="E11" s="98">
        <v>814226.27</v>
      </c>
      <c r="F11" s="99">
        <f>B11-C11</f>
        <v>2373222.0299999998</v>
      </c>
      <c r="G11" s="93" t="s">
        <v>614</v>
      </c>
      <c r="H11" s="97">
        <v>1009065.41</v>
      </c>
      <c r="I11" s="45">
        <v>926866.65</v>
      </c>
      <c r="J11" s="45">
        <v>926866.65</v>
      </c>
      <c r="K11" s="100">
        <v>805943.72</v>
      </c>
      <c r="L11" s="99">
        <f>H11-I11</f>
        <v>82198.760000000009</v>
      </c>
    </row>
    <row r="12" spans="1:25">
      <c r="A12" s="95" t="s">
        <v>620</v>
      </c>
      <c r="B12" s="101">
        <v>2656709.65</v>
      </c>
      <c r="C12" s="98">
        <v>745251.1</v>
      </c>
      <c r="D12" s="98">
        <v>745251.1</v>
      </c>
      <c r="E12" s="99">
        <v>671993.4</v>
      </c>
      <c r="F12" s="99">
        <f>B12-C12</f>
        <v>1911458.5499999998</v>
      </c>
      <c r="G12" s="95" t="s">
        <v>615</v>
      </c>
      <c r="H12" s="97">
        <v>461454.28</v>
      </c>
      <c r="I12" s="45">
        <v>436156.46</v>
      </c>
      <c r="J12" s="45">
        <v>436156.46</v>
      </c>
      <c r="K12" s="100">
        <v>389827.68</v>
      </c>
      <c r="L12" s="99">
        <f>H12-I12</f>
        <v>25297.820000000007</v>
      </c>
    </row>
    <row r="13" spans="1:25">
      <c r="A13" s="95" t="s">
        <v>621</v>
      </c>
      <c r="B13" s="101">
        <v>1745255.89</v>
      </c>
      <c r="C13" s="98">
        <v>432532.65</v>
      </c>
      <c r="D13" s="98">
        <v>432532.65</v>
      </c>
      <c r="E13" s="99">
        <v>389649.85</v>
      </c>
      <c r="F13" s="99">
        <f>B13-C13</f>
        <v>1312723.2399999998</v>
      </c>
      <c r="G13" s="95" t="s">
        <v>616</v>
      </c>
      <c r="H13" s="98">
        <v>41701.4</v>
      </c>
      <c r="I13" s="98">
        <v>40914.370000000003</v>
      </c>
      <c r="J13" s="98">
        <v>40914.370000000003</v>
      </c>
      <c r="K13" s="98">
        <v>37060.53</v>
      </c>
      <c r="L13" s="99">
        <f>H13-I13</f>
        <v>787.02999999999884</v>
      </c>
    </row>
    <row r="14" spans="1:25">
      <c r="A14" s="95" t="s">
        <v>622</v>
      </c>
      <c r="B14" s="101">
        <v>536319.06999999995</v>
      </c>
      <c r="C14" s="98">
        <v>154137.06</v>
      </c>
      <c r="D14" s="98">
        <v>154137.06</v>
      </c>
      <c r="E14" s="99">
        <v>138467.03</v>
      </c>
      <c r="F14" s="99">
        <f>B14-C14</f>
        <v>382182.00999999995</v>
      </c>
      <c r="G14" s="117" t="s">
        <v>1223</v>
      </c>
      <c r="H14" s="97">
        <v>127198.79</v>
      </c>
      <c r="I14" s="45">
        <v>122933.91</v>
      </c>
      <c r="J14" s="45">
        <v>122933.91</v>
      </c>
      <c r="K14" s="100">
        <v>108865.41</v>
      </c>
      <c r="L14" s="99">
        <f>H14-I14</f>
        <v>4264.8799999999901</v>
      </c>
    </row>
    <row r="15" spans="1:25" s="107" customFormat="1">
      <c r="A15" s="102" t="s">
        <v>164</v>
      </c>
      <c r="B15" s="103">
        <f>SUM(B10:B14)</f>
        <v>25010255.599999998</v>
      </c>
      <c r="C15" s="104">
        <f>SUM(C10:C14)</f>
        <v>8442443.8900000006</v>
      </c>
      <c r="D15" s="104">
        <f>SUM(D10:D14)</f>
        <v>8442443.8900000006</v>
      </c>
      <c r="E15" s="105">
        <f>SUM(E10:E14)</f>
        <v>7486791.1000000006</v>
      </c>
      <c r="F15" s="103">
        <f>SUM(F10:F14)</f>
        <v>16567811.709999997</v>
      </c>
      <c r="G15" s="102" t="s">
        <v>165</v>
      </c>
      <c r="H15" s="103">
        <f>SUM(H10:H14)</f>
        <v>3347951.0000000005</v>
      </c>
      <c r="I15" s="104">
        <f>SUM(I10:I14)</f>
        <v>3149192.77</v>
      </c>
      <c r="J15" s="104">
        <f>SUM(J10:J14)</f>
        <v>3149192.77</v>
      </c>
      <c r="K15" s="106">
        <f>SUM(K10:K14)</f>
        <v>2765367.26</v>
      </c>
      <c r="L15" s="103">
        <f>SUM(L10:L14)</f>
        <v>198758.23000000021</v>
      </c>
    </row>
    <row r="16" spans="1:25" s="107" customFormat="1">
      <c r="A16" s="108"/>
      <c r="B16" s="109"/>
      <c r="C16" s="110"/>
      <c r="D16" s="110"/>
      <c r="E16" s="111"/>
      <c r="F16" s="109"/>
      <c r="G16" s="108"/>
      <c r="H16" s="109"/>
      <c r="I16" s="110"/>
      <c r="J16" s="110"/>
      <c r="K16" s="111"/>
      <c r="L16" s="109"/>
      <c r="M16" s="84"/>
      <c r="N16" s="112"/>
      <c r="O16" s="112"/>
      <c r="P16" s="112"/>
    </row>
    <row r="17" spans="1:16" s="107" customFormat="1">
      <c r="A17" s="108"/>
      <c r="C17" s="109" t="s">
        <v>166</v>
      </c>
      <c r="D17" s="110">
        <f>D15</f>
        <v>8442443.8900000006</v>
      </c>
      <c r="E17" s="113">
        <f>D17/E37</f>
        <v>0.72832199089994598</v>
      </c>
      <c r="F17" s="109"/>
      <c r="G17" s="108"/>
      <c r="H17" s="109"/>
      <c r="I17" s="110" t="s">
        <v>167</v>
      </c>
      <c r="J17" s="110">
        <f>J15</f>
        <v>3149192.77</v>
      </c>
      <c r="K17" s="113">
        <f>J17/E37</f>
        <v>0.27167800910005402</v>
      </c>
      <c r="L17" s="109"/>
      <c r="M17" s="84"/>
      <c r="N17" s="112"/>
      <c r="O17" s="112"/>
      <c r="P17" s="112"/>
    </row>
    <row r="18" spans="1:16" s="107" customFormat="1">
      <c r="A18" s="108"/>
      <c r="B18" s="109"/>
      <c r="C18" s="110"/>
      <c r="D18" s="110"/>
      <c r="E18" s="111"/>
      <c r="F18" s="109"/>
      <c r="G18" s="108"/>
      <c r="H18" s="109"/>
      <c r="I18" s="110"/>
      <c r="J18" s="110"/>
      <c r="K18" s="111"/>
      <c r="L18" s="109"/>
      <c r="M18" s="84"/>
      <c r="N18" s="112"/>
      <c r="O18" s="112"/>
      <c r="P18" s="112"/>
    </row>
    <row r="19" spans="1:16">
      <c r="A19" s="88" t="s">
        <v>618</v>
      </c>
      <c r="B19" s="97">
        <v>1185430.76</v>
      </c>
      <c r="C19" s="98">
        <v>34712.99</v>
      </c>
      <c r="D19" s="98">
        <v>34712.99</v>
      </c>
      <c r="E19" s="98">
        <v>28781.63</v>
      </c>
      <c r="F19" s="99">
        <f t="shared" ref="F19:F24" si="0">B19-C19</f>
        <v>1150717.77</v>
      </c>
      <c r="G19" s="93" t="s">
        <v>613</v>
      </c>
      <c r="H19" s="97">
        <v>4600700.34</v>
      </c>
      <c r="I19" s="45">
        <v>177598.68</v>
      </c>
      <c r="J19" s="45">
        <v>177598.68</v>
      </c>
      <c r="K19" s="100">
        <v>152205.76000000001</v>
      </c>
      <c r="L19" s="99">
        <f t="shared" ref="L19:L24" si="1">H19-I19</f>
        <v>4423101.66</v>
      </c>
    </row>
    <row r="20" spans="1:16">
      <c r="A20" s="88" t="s">
        <v>619</v>
      </c>
      <c r="B20" s="97">
        <v>617959.6</v>
      </c>
      <c r="C20" s="98"/>
      <c r="D20" s="98"/>
      <c r="E20" s="98"/>
      <c r="F20" s="99">
        <f t="shared" si="0"/>
        <v>617959.6</v>
      </c>
      <c r="G20" s="93" t="s">
        <v>614</v>
      </c>
      <c r="H20" s="97">
        <v>1009065.41</v>
      </c>
      <c r="I20" s="45">
        <v>926866.65</v>
      </c>
      <c r="J20" s="45">
        <v>926866.65</v>
      </c>
      <c r="K20" s="100">
        <v>805943.72</v>
      </c>
      <c r="L20" s="99">
        <f t="shared" si="1"/>
        <v>82198.760000000009</v>
      </c>
    </row>
    <row r="21" spans="1:16">
      <c r="A21" s="87" t="s">
        <v>620</v>
      </c>
      <c r="B21" s="101">
        <v>517613.46</v>
      </c>
      <c r="C21" s="98">
        <v>23722.28</v>
      </c>
      <c r="D21" s="98">
        <v>23722.28</v>
      </c>
      <c r="E21" s="98">
        <v>10089.629999999999</v>
      </c>
      <c r="F21" s="99">
        <f t="shared" si="0"/>
        <v>493891.18000000005</v>
      </c>
      <c r="G21" s="95" t="s">
        <v>615</v>
      </c>
      <c r="H21" s="97">
        <v>1855534.32</v>
      </c>
      <c r="I21" s="45">
        <v>49937.41</v>
      </c>
      <c r="J21" s="45">
        <v>49937.41</v>
      </c>
      <c r="K21" s="100">
        <v>49937.41</v>
      </c>
      <c r="L21" s="99">
        <f t="shared" si="1"/>
        <v>1805596.9100000001</v>
      </c>
    </row>
    <row r="22" spans="1:16">
      <c r="A22" s="87" t="s">
        <v>622</v>
      </c>
      <c r="B22" s="101">
        <v>93277.52</v>
      </c>
      <c r="C22" s="98"/>
      <c r="D22" s="98"/>
      <c r="E22" s="98"/>
      <c r="F22" s="99">
        <f t="shared" si="0"/>
        <v>93277.52</v>
      </c>
      <c r="G22" s="93" t="s">
        <v>617</v>
      </c>
      <c r="H22" s="97">
        <v>127503.81</v>
      </c>
      <c r="I22" s="45">
        <v>7901.37</v>
      </c>
      <c r="J22" s="45">
        <v>7901.37</v>
      </c>
      <c r="K22" s="100">
        <v>7901.37</v>
      </c>
      <c r="L22" s="99">
        <f t="shared" si="1"/>
        <v>119602.44</v>
      </c>
    </row>
    <row r="23" spans="1:16">
      <c r="A23" s="87" t="s">
        <v>487</v>
      </c>
      <c r="B23" s="418">
        <v>310191.01</v>
      </c>
      <c r="C23" s="250"/>
      <c r="D23" s="250"/>
      <c r="E23" s="250"/>
      <c r="F23" s="99">
        <f t="shared" si="0"/>
        <v>310191.01</v>
      </c>
      <c r="G23" s="93" t="s">
        <v>682</v>
      </c>
      <c r="H23" s="97">
        <v>221861.92</v>
      </c>
      <c r="I23" s="45">
        <v>86581.54</v>
      </c>
      <c r="J23" s="45">
        <v>86581.54</v>
      </c>
      <c r="K23" s="100">
        <v>79476.649999999994</v>
      </c>
      <c r="L23" s="99">
        <f t="shared" si="1"/>
        <v>135280.38</v>
      </c>
    </row>
    <row r="24" spans="1:16">
      <c r="A24" s="95" t="s">
        <v>488</v>
      </c>
      <c r="B24" s="98">
        <v>3070</v>
      </c>
      <c r="C24" s="226"/>
      <c r="D24" s="226"/>
      <c r="E24" s="226"/>
      <c r="F24" s="99">
        <f t="shared" si="0"/>
        <v>3070</v>
      </c>
      <c r="G24" s="95" t="s">
        <v>1193</v>
      </c>
      <c r="H24" s="98">
        <v>439164.66</v>
      </c>
      <c r="I24" s="98">
        <v>27988.99</v>
      </c>
      <c r="J24" s="98">
        <v>27988.99</v>
      </c>
      <c r="K24" s="98">
        <v>27988.99</v>
      </c>
      <c r="L24" s="99">
        <f t="shared" si="1"/>
        <v>411175.67</v>
      </c>
    </row>
    <row r="25" spans="1:16">
      <c r="A25" s="117" t="s">
        <v>1194</v>
      </c>
      <c r="B25" s="98"/>
      <c r="C25" s="60"/>
      <c r="D25" s="60"/>
      <c r="E25" s="60"/>
      <c r="F25" s="99">
        <f>B25-C25</f>
        <v>0</v>
      </c>
      <c r="G25" s="117" t="s">
        <v>1192</v>
      </c>
      <c r="H25" s="98"/>
      <c r="I25" s="98"/>
      <c r="J25" s="98"/>
      <c r="K25" s="98"/>
      <c r="L25" s="99">
        <f>H25-I25</f>
        <v>0</v>
      </c>
    </row>
    <row r="26" spans="1:16">
      <c r="A26" s="114" t="s">
        <v>168</v>
      </c>
      <c r="B26" s="103">
        <f>SUM(B19:B25)</f>
        <v>2727542.3499999996</v>
      </c>
      <c r="C26" s="103">
        <f t="shared" ref="C26:F26" si="2">SUM(C19:C25)</f>
        <v>58435.27</v>
      </c>
      <c r="D26" s="103">
        <f>SUM(D19:D25)</f>
        <v>58435.27</v>
      </c>
      <c r="E26" s="103">
        <f t="shared" si="2"/>
        <v>38871.26</v>
      </c>
      <c r="F26" s="103">
        <f t="shared" si="2"/>
        <v>2669107.08</v>
      </c>
      <c r="G26" s="114" t="s">
        <v>169</v>
      </c>
      <c r="H26" s="103">
        <f>SUM(H19:H25)</f>
        <v>8253830.46</v>
      </c>
      <c r="I26" s="104">
        <f>SUM(I19:I24)</f>
        <v>1276874.6400000001</v>
      </c>
      <c r="J26" s="104">
        <f>SUM(J19:J24)</f>
        <v>1276874.6400000001</v>
      </c>
      <c r="K26" s="103">
        <f>SUM(K19:K24)</f>
        <v>1123453.8999999999</v>
      </c>
      <c r="L26" s="103">
        <f>SUM(L19:L24)</f>
        <v>6976955.8200000003</v>
      </c>
    </row>
    <row r="27" spans="1:16">
      <c r="C27" s="115"/>
      <c r="D27" s="115"/>
      <c r="E27" s="115"/>
      <c r="F27" s="115"/>
      <c r="G27" s="472" t="s">
        <v>1195</v>
      </c>
      <c r="H27" s="116"/>
      <c r="I27" s="115"/>
      <c r="J27" s="115"/>
      <c r="K27" s="115"/>
      <c r="L27" s="115"/>
    </row>
    <row r="28" spans="1:16">
      <c r="B28" s="60"/>
      <c r="C28" s="86" t="s">
        <v>486</v>
      </c>
      <c r="D28" s="115">
        <f>D26</f>
        <v>58435.27</v>
      </c>
      <c r="G28" s="117"/>
    </row>
    <row r="31" spans="1:16">
      <c r="A31" s="59" t="s">
        <v>170</v>
      </c>
      <c r="B31" s="87" t="s">
        <v>171</v>
      </c>
      <c r="C31" s="59" t="s">
        <v>172</v>
      </c>
      <c r="D31" s="59" t="s">
        <v>173</v>
      </c>
      <c r="E31" s="59" t="s">
        <v>174</v>
      </c>
      <c r="F31" s="59" t="s">
        <v>175</v>
      </c>
      <c r="H31" s="95" t="s">
        <v>170</v>
      </c>
      <c r="I31" s="95" t="s">
        <v>160</v>
      </c>
      <c r="J31" s="95" t="s">
        <v>161</v>
      </c>
      <c r="K31" s="95" t="s">
        <v>162</v>
      </c>
    </row>
    <row r="32" spans="1:16">
      <c r="A32" s="59" t="s">
        <v>176</v>
      </c>
      <c r="B32" s="59">
        <v>2221</v>
      </c>
      <c r="C32" s="118">
        <f>B32/B37</f>
        <v>0.58217562254259503</v>
      </c>
      <c r="D32" s="61">
        <f>C32*J34</f>
        <v>7525753.1669646138</v>
      </c>
      <c r="E32" s="60">
        <f>D10+J10</f>
        <v>7826487.8999999994</v>
      </c>
      <c r="F32" s="119">
        <f>D32-E32</f>
        <v>-300734.73303538561</v>
      </c>
      <c r="H32" s="95" t="s">
        <v>177</v>
      </c>
      <c r="I32" s="98">
        <f>C15+I15</f>
        <v>11591636.66</v>
      </c>
      <c r="J32" s="98">
        <f>D15+J15</f>
        <v>11591636.66</v>
      </c>
      <c r="K32" s="98">
        <f>E15+K15</f>
        <v>10252158.359999999</v>
      </c>
      <c r="N32" s="60"/>
    </row>
    <row r="33" spans="1:14">
      <c r="A33" s="59" t="s">
        <v>178</v>
      </c>
      <c r="B33" s="59">
        <v>648</v>
      </c>
      <c r="C33" s="118">
        <f>B33/B37</f>
        <v>0.16985583224115333</v>
      </c>
      <c r="D33" s="61">
        <f>C33*J34</f>
        <v>2195717.2679842724</v>
      </c>
      <c r="E33" s="60">
        <f>D11+J11</f>
        <v>1833223.21</v>
      </c>
      <c r="F33" s="119">
        <f>D33-E33</f>
        <v>362494.05798427248</v>
      </c>
      <c r="H33" s="95" t="s">
        <v>179</v>
      </c>
      <c r="I33" s="98">
        <f>C26+I26</f>
        <v>1335309.9100000001</v>
      </c>
      <c r="J33" s="98">
        <f>D26+J26</f>
        <v>1335309.9100000001</v>
      </c>
      <c r="K33" s="98">
        <f>E26+K26</f>
        <v>1162325.1599999999</v>
      </c>
      <c r="N33" s="61"/>
    </row>
    <row r="34" spans="1:14">
      <c r="A34" s="59" t="s">
        <v>180</v>
      </c>
      <c r="B34" s="59">
        <v>480</v>
      </c>
      <c r="C34" s="118">
        <f>B34/B37</f>
        <v>0.12581913499344691</v>
      </c>
      <c r="D34" s="61">
        <f>C34*J34</f>
        <v>1626457.2355439055</v>
      </c>
      <c r="E34" s="60">
        <f>D12+J12</f>
        <v>1181407.56</v>
      </c>
      <c r="F34" s="119">
        <f>D34-E34</f>
        <v>445049.67554390547</v>
      </c>
      <c r="H34" s="120" t="s">
        <v>181</v>
      </c>
      <c r="I34" s="121">
        <f>I32+I33</f>
        <v>12926946.57</v>
      </c>
      <c r="J34" s="121">
        <f>J32+J33</f>
        <v>12926946.57</v>
      </c>
      <c r="K34" s="98">
        <f>K32+K33</f>
        <v>11414483.52</v>
      </c>
    </row>
    <row r="35" spans="1:14">
      <c r="A35" s="59" t="s">
        <v>182</v>
      </c>
      <c r="B35" s="59">
        <v>143</v>
      </c>
      <c r="C35" s="118">
        <f>B35/B37</f>
        <v>3.7483617300131063E-2</v>
      </c>
      <c r="D35" s="61">
        <f>C35*J34</f>
        <v>484548.71808912192</v>
      </c>
      <c r="E35" s="60">
        <f>D13+J13</f>
        <v>473447.02</v>
      </c>
      <c r="F35" s="119">
        <f>D35-E35</f>
        <v>11101.698089121899</v>
      </c>
      <c r="J35" s="119"/>
    </row>
    <row r="36" spans="1:14">
      <c r="A36" s="59" t="s">
        <v>183</v>
      </c>
      <c r="B36" s="59">
        <v>323</v>
      </c>
      <c r="C36" s="118">
        <f>B36/B37</f>
        <v>8.4665792922673663E-2</v>
      </c>
      <c r="D36" s="61">
        <f>C36*J34</f>
        <v>1094470.1814180866</v>
      </c>
      <c r="E36" s="60">
        <f>D14+J14</f>
        <v>277070.96999999997</v>
      </c>
      <c r="F36" s="119">
        <f>D36-E36</f>
        <v>817399.21141808666</v>
      </c>
    </row>
    <row r="37" spans="1:14">
      <c r="A37" s="122" t="s">
        <v>184</v>
      </c>
      <c r="B37" s="123">
        <f>SUM(B32:B36)</f>
        <v>3815</v>
      </c>
      <c r="C37" s="124">
        <f>SUM(C32:C36)</f>
        <v>0.99999999999999989</v>
      </c>
      <c r="D37" s="125">
        <f>SUM(D32:D36)</f>
        <v>12926946.57</v>
      </c>
      <c r="E37" s="126">
        <f>SUM(E32:E36)</f>
        <v>11591636.66</v>
      </c>
      <c r="F37" s="126">
        <f>SUM(F32:F36)</f>
        <v>1335309.9100000008</v>
      </c>
      <c r="G37" s="119"/>
      <c r="K37" s="60"/>
    </row>
    <row r="38" spans="1:14">
      <c r="D38" s="127">
        <f>SUM(E38:F38)</f>
        <v>1</v>
      </c>
      <c r="E38" s="128">
        <f>E37/D37</f>
        <v>0.89670337826730884</v>
      </c>
      <c r="F38" s="128">
        <f>F37/D37</f>
        <v>0.10329662173269126</v>
      </c>
      <c r="G38" s="119"/>
      <c r="H38" s="119"/>
    </row>
    <row r="39" spans="1:14">
      <c r="G39" s="59" t="s">
        <v>185</v>
      </c>
      <c r="H39" s="59" t="s">
        <v>186</v>
      </c>
      <c r="K39" s="60"/>
    </row>
    <row r="40" spans="1:14">
      <c r="A40" s="59" t="s">
        <v>187</v>
      </c>
      <c r="B40" s="61">
        <f>Míni!D20</f>
        <v>9796718.7100000009</v>
      </c>
      <c r="C40" s="128">
        <f>D17/B40</f>
        <v>0.8617624063639161</v>
      </c>
      <c r="D40" s="59" t="s">
        <v>482</v>
      </c>
      <c r="G40" s="60">
        <f>D17</f>
        <v>8442443.8900000006</v>
      </c>
      <c r="H40" s="129">
        <f>E17</f>
        <v>0.72832199089994598</v>
      </c>
    </row>
    <row r="41" spans="1:14">
      <c r="B41" s="60"/>
      <c r="C41" s="128">
        <f>J17/B40</f>
        <v>0.32145383196370242</v>
      </c>
      <c r="D41" s="59" t="s">
        <v>584</v>
      </c>
      <c r="G41" s="60">
        <f>J17</f>
        <v>3149192.77</v>
      </c>
      <c r="H41" s="129">
        <f>K17</f>
        <v>0.27167800910005402</v>
      </c>
      <c r="K41" s="63"/>
      <c r="L41" s="63"/>
    </row>
    <row r="42" spans="1:14">
      <c r="B42" s="130"/>
      <c r="C42" s="133">
        <f>SUM(C40:C41)</f>
        <v>1.1832162383276186</v>
      </c>
      <c r="D42" s="131"/>
      <c r="E42" s="131"/>
      <c r="F42" s="132" t="s">
        <v>188</v>
      </c>
      <c r="G42" s="131">
        <f>SUM(G40:G41)</f>
        <v>11591636.66</v>
      </c>
      <c r="H42" s="133">
        <f>SUM(H40:H41)</f>
        <v>1</v>
      </c>
      <c r="K42" s="63"/>
      <c r="L42" s="63"/>
    </row>
    <row r="43" spans="1:14">
      <c r="B43" s="84"/>
      <c r="C43" s="112"/>
      <c r="D43" s="112"/>
      <c r="E43" s="112"/>
      <c r="K43" s="63"/>
      <c r="L43" s="63"/>
    </row>
    <row r="44" spans="1:14">
      <c r="B44" s="84"/>
      <c r="C44" s="112"/>
      <c r="D44" s="112"/>
      <c r="E44" s="112"/>
      <c r="K44" s="63"/>
      <c r="L44" s="63"/>
    </row>
    <row r="45" spans="1:14">
      <c r="B45" s="84"/>
      <c r="C45" s="112"/>
      <c r="D45" s="112"/>
      <c r="E45" s="112"/>
      <c r="K45" s="63"/>
      <c r="L45" s="63"/>
    </row>
    <row r="46" spans="1:14">
      <c r="B46" s="84"/>
      <c r="C46" s="112"/>
      <c r="D46" s="112"/>
      <c r="E46" s="112"/>
      <c r="K46" s="63"/>
      <c r="L46" s="63"/>
    </row>
    <row r="47" spans="1:14">
      <c r="B47" s="84"/>
      <c r="C47" s="112"/>
      <c r="D47" s="112"/>
      <c r="E47" s="112"/>
      <c r="K47" s="63"/>
      <c r="L47" s="63"/>
    </row>
    <row r="48" spans="1:14">
      <c r="B48" s="84"/>
      <c r="C48" s="112"/>
      <c r="D48" s="112"/>
      <c r="E48" s="112"/>
      <c r="K48" s="63"/>
      <c r="L48" s="63"/>
    </row>
    <row r="49" spans="1:10">
      <c r="A49" s="59" t="s">
        <v>99</v>
      </c>
      <c r="E49" s="59" t="s">
        <v>100</v>
      </c>
      <c r="J49" s="59" t="s">
        <v>101</v>
      </c>
    </row>
    <row r="50" spans="1:10">
      <c r="A50" s="59" t="s">
        <v>102</v>
      </c>
      <c r="E50" s="59" t="s">
        <v>103</v>
      </c>
      <c r="J50" s="59" t="s">
        <v>104</v>
      </c>
    </row>
    <row r="55" spans="1:10" ht="11.25">
      <c r="A55" s="2"/>
    </row>
    <row r="56" spans="1:10" ht="11.25">
      <c r="A56" s="453"/>
    </row>
    <row r="57" spans="1:10" ht="11.25">
      <c r="A57" s="453"/>
    </row>
    <row r="58" spans="1:10" ht="11.25">
      <c r="A58" s="453"/>
    </row>
    <row r="59" spans="1:10" ht="11.25">
      <c r="A59" s="453"/>
    </row>
    <row r="60" spans="1:10" ht="11.25">
      <c r="A60" s="453"/>
    </row>
    <row r="61" spans="1:10" ht="11.25">
      <c r="A61" s="453"/>
    </row>
    <row r="62" spans="1:10" ht="11.25">
      <c r="A62" s="453"/>
    </row>
    <row r="63" spans="1:10" ht="11.25">
      <c r="A63" s="453"/>
    </row>
    <row r="64" spans="1:10" ht="11.25">
      <c r="A64" s="453"/>
    </row>
    <row r="65" spans="1:1" ht="11.25">
      <c r="A65" s="453"/>
    </row>
    <row r="66" spans="1:1" ht="11.25">
      <c r="A66" s="453"/>
    </row>
    <row r="67" spans="1:1" ht="11.25">
      <c r="A67" s="453"/>
    </row>
    <row r="68" spans="1:1" ht="11.25">
      <c r="A68" s="453"/>
    </row>
    <row r="69" spans="1:1" ht="11.25">
      <c r="A69" s="453"/>
    </row>
    <row r="70" spans="1:1" ht="11.25">
      <c r="A70" s="453"/>
    </row>
    <row r="71" spans="1:1" ht="11.25">
      <c r="A71" s="2"/>
    </row>
    <row r="72" spans="1:1" ht="11.25">
      <c r="A72" s="453"/>
    </row>
    <row r="73" spans="1:1" ht="11.25">
      <c r="A73" s="453"/>
    </row>
    <row r="74" spans="1:1" ht="11.25">
      <c r="A74" s="453"/>
    </row>
    <row r="75" spans="1:1" ht="11.25">
      <c r="A75" s="453"/>
    </row>
    <row r="76" spans="1:1" ht="11.25">
      <c r="A76" s="453"/>
    </row>
    <row r="77" spans="1:1" ht="11.25">
      <c r="A77" s="453"/>
    </row>
    <row r="78" spans="1:1" ht="11.25">
      <c r="A78" s="453"/>
    </row>
    <row r="79" spans="1:1" ht="11.25">
      <c r="A79" s="2"/>
    </row>
    <row r="80" spans="1:1" ht="11.25">
      <c r="A80" s="453"/>
    </row>
    <row r="81" spans="1:1" ht="11.25">
      <c r="A81" s="453"/>
    </row>
    <row r="82" spans="1:1" ht="11.25">
      <c r="A82" s="453"/>
    </row>
    <row r="83" spans="1:1" ht="11.25">
      <c r="A83" s="453"/>
    </row>
    <row r="84" spans="1:1" ht="11.25">
      <c r="A84" s="453"/>
    </row>
    <row r="85" spans="1:1" ht="11.25">
      <c r="A85" s="453"/>
    </row>
    <row r="86" spans="1:1" ht="11.25">
      <c r="A86" s="2"/>
    </row>
    <row r="87" spans="1:1" ht="11.25">
      <c r="A87" s="453"/>
    </row>
    <row r="88" spans="1:1" ht="11.25">
      <c r="A88" s="453"/>
    </row>
    <row r="89" spans="1:1" ht="11.25">
      <c r="A89" s="453"/>
    </row>
    <row r="90" spans="1:1" ht="11.25">
      <c r="A90" s="453"/>
    </row>
    <row r="91" spans="1:1" ht="11.25">
      <c r="A91" s="453"/>
    </row>
    <row r="92" spans="1:1" ht="11.25">
      <c r="A92" s="2"/>
    </row>
    <row r="93" spans="1:1" ht="11.25">
      <c r="A93" s="453"/>
    </row>
    <row r="94" spans="1:1" ht="11.25">
      <c r="A94" s="453"/>
    </row>
    <row r="95" spans="1:1" ht="11.25">
      <c r="A95" s="2"/>
    </row>
    <row r="96" spans="1:1" ht="11.25">
      <c r="A96" s="453"/>
    </row>
    <row r="97" spans="1:1" ht="11.25">
      <c r="A97" s="453"/>
    </row>
    <row r="98" spans="1:1" ht="11.25">
      <c r="A98" s="453"/>
    </row>
    <row r="99" spans="1:1" ht="11.25">
      <c r="A99" s="453"/>
    </row>
    <row r="100" spans="1:1" ht="11.25">
      <c r="A100" s="2"/>
    </row>
    <row r="101" spans="1:1" ht="11.25">
      <c r="A101" s="453"/>
    </row>
    <row r="102" spans="1:1" ht="11.25">
      <c r="A102" s="453"/>
    </row>
    <row r="103" spans="1:1" ht="11.25">
      <c r="A103" s="453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88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1" width="11.7109375" customWidth="1"/>
    <col min="12" max="12" width="13.7109375" customWidth="1"/>
  </cols>
  <sheetData>
    <row r="1" spans="1:12">
      <c r="A1" s="362" t="s">
        <v>490</v>
      </c>
    </row>
    <row r="2" spans="1:12">
      <c r="A2" s="362" t="s">
        <v>1777</v>
      </c>
    </row>
    <row r="4" spans="1:12">
      <c r="A4" s="362" t="s">
        <v>491</v>
      </c>
      <c r="C4" s="545" t="s">
        <v>492</v>
      </c>
    </row>
    <row r="6" spans="1:12">
      <c r="D6" s="699" t="s">
        <v>493</v>
      </c>
      <c r="E6" s="699" t="s">
        <v>494</v>
      </c>
      <c r="F6" s="699" t="s">
        <v>495</v>
      </c>
      <c r="G6" s="699" t="s">
        <v>496</v>
      </c>
      <c r="H6" s="699" t="s">
        <v>624</v>
      </c>
      <c r="I6" s="699" t="s">
        <v>1224</v>
      </c>
      <c r="J6" s="699" t="s">
        <v>625</v>
      </c>
      <c r="K6" s="699" t="s">
        <v>500</v>
      </c>
      <c r="L6" s="699" t="s">
        <v>501</v>
      </c>
    </row>
    <row r="7" spans="1:12">
      <c r="A7" s="363" t="s">
        <v>502</v>
      </c>
      <c r="D7" s="700"/>
      <c r="E7" s="700"/>
      <c r="F7" s="700"/>
      <c r="G7" s="700"/>
      <c r="H7" s="700"/>
      <c r="I7" s="700"/>
      <c r="J7" s="700"/>
      <c r="K7" s="700"/>
      <c r="L7" s="700"/>
    </row>
    <row r="8" spans="1:12">
      <c r="A8" s="364">
        <v>1</v>
      </c>
      <c r="B8" s="698" t="s">
        <v>503</v>
      </c>
      <c r="C8" s="698"/>
      <c r="D8" s="364" t="s">
        <v>1225</v>
      </c>
      <c r="E8" s="364" t="s">
        <v>1778</v>
      </c>
      <c r="F8" s="364" t="s">
        <v>1779</v>
      </c>
      <c r="G8" s="364" t="s">
        <v>1780</v>
      </c>
      <c r="H8" s="364" t="s">
        <v>1781</v>
      </c>
      <c r="I8" s="364" t="s">
        <v>1226</v>
      </c>
      <c r="J8" s="364" t="s">
        <v>1782</v>
      </c>
      <c r="K8" s="364" t="s">
        <v>1779</v>
      </c>
      <c r="L8" s="364" t="s">
        <v>1783</v>
      </c>
    </row>
    <row r="9" spans="1:12">
      <c r="A9" s="364">
        <v>20</v>
      </c>
      <c r="B9" s="698" t="s">
        <v>504</v>
      </c>
      <c r="C9" s="698"/>
      <c r="D9" s="364" t="s">
        <v>1227</v>
      </c>
      <c r="E9" s="364" t="s">
        <v>1784</v>
      </c>
      <c r="F9" s="364" t="s">
        <v>505</v>
      </c>
      <c r="G9" s="364" t="s">
        <v>1785</v>
      </c>
      <c r="H9" s="364" t="s">
        <v>1786</v>
      </c>
      <c r="I9" s="364" t="s">
        <v>1228</v>
      </c>
      <c r="J9" s="364" t="s">
        <v>1787</v>
      </c>
      <c r="K9" s="364" t="s">
        <v>505</v>
      </c>
      <c r="L9" s="364" t="s">
        <v>1788</v>
      </c>
    </row>
    <row r="10" spans="1:12">
      <c r="A10" s="364">
        <v>30</v>
      </c>
      <c r="B10" s="698" t="s">
        <v>626</v>
      </c>
      <c r="C10" s="698"/>
      <c r="D10" s="364" t="s">
        <v>505</v>
      </c>
      <c r="E10" s="364" t="s">
        <v>505</v>
      </c>
      <c r="F10" s="364" t="s">
        <v>505</v>
      </c>
      <c r="G10" s="364" t="s">
        <v>505</v>
      </c>
      <c r="H10" s="364" t="s">
        <v>505</v>
      </c>
      <c r="I10" s="364" t="s">
        <v>627</v>
      </c>
      <c r="J10" s="364" t="s">
        <v>627</v>
      </c>
      <c r="K10" s="364" t="s">
        <v>505</v>
      </c>
      <c r="L10" s="364" t="s">
        <v>628</v>
      </c>
    </row>
    <row r="11" spans="1:12">
      <c r="A11" s="364">
        <v>31</v>
      </c>
      <c r="B11" s="698" t="s">
        <v>506</v>
      </c>
      <c r="C11" s="698"/>
      <c r="D11" s="364" t="s">
        <v>1229</v>
      </c>
      <c r="E11" s="364" t="s">
        <v>1789</v>
      </c>
      <c r="F11" s="364" t="s">
        <v>505</v>
      </c>
      <c r="G11" s="364" t="s">
        <v>1790</v>
      </c>
      <c r="H11" s="364" t="s">
        <v>1791</v>
      </c>
      <c r="I11" s="364" t="s">
        <v>1230</v>
      </c>
      <c r="J11" s="364" t="s">
        <v>1792</v>
      </c>
      <c r="K11" s="364" t="s">
        <v>505</v>
      </c>
      <c r="L11" s="364" t="s">
        <v>1793</v>
      </c>
    </row>
    <row r="12" spans="1:12">
      <c r="A12" s="364">
        <v>40</v>
      </c>
      <c r="B12" s="698" t="s">
        <v>507</v>
      </c>
      <c r="C12" s="698"/>
      <c r="D12" s="364" t="s">
        <v>1231</v>
      </c>
      <c r="E12" s="364" t="s">
        <v>1794</v>
      </c>
      <c r="F12" s="364" t="s">
        <v>505</v>
      </c>
      <c r="G12" s="364" t="s">
        <v>1795</v>
      </c>
      <c r="H12" s="364" t="s">
        <v>1796</v>
      </c>
      <c r="I12" s="364" t="s">
        <v>1232</v>
      </c>
      <c r="J12" s="364" t="s">
        <v>1797</v>
      </c>
      <c r="K12" s="364" t="s">
        <v>505</v>
      </c>
      <c r="L12" s="364" t="s">
        <v>1798</v>
      </c>
    </row>
    <row r="13" spans="1:12">
      <c r="A13" s="364">
        <v>50</v>
      </c>
      <c r="B13" s="698" t="s">
        <v>508</v>
      </c>
      <c r="C13" s="698"/>
      <c r="D13" s="364" t="s">
        <v>1233</v>
      </c>
      <c r="E13" s="364" t="s">
        <v>1799</v>
      </c>
      <c r="F13" s="364" t="s">
        <v>505</v>
      </c>
      <c r="G13" s="364" t="s">
        <v>1800</v>
      </c>
      <c r="H13" s="364" t="s">
        <v>1801</v>
      </c>
      <c r="I13" s="364" t="s">
        <v>1234</v>
      </c>
      <c r="J13" s="364" t="s">
        <v>1802</v>
      </c>
      <c r="K13" s="364" t="s">
        <v>505</v>
      </c>
      <c r="L13" s="364" t="s">
        <v>1803</v>
      </c>
    </row>
    <row r="14" spans="1:12">
      <c r="A14" s="364">
        <v>900</v>
      </c>
      <c r="B14" s="698" t="s">
        <v>509</v>
      </c>
      <c r="C14" s="698"/>
      <c r="D14" s="364" t="s">
        <v>510</v>
      </c>
      <c r="E14" s="364" t="s">
        <v>505</v>
      </c>
      <c r="F14" s="364" t="s">
        <v>505</v>
      </c>
      <c r="G14" s="364" t="s">
        <v>510</v>
      </c>
      <c r="H14" s="364" t="s">
        <v>505</v>
      </c>
      <c r="I14" s="364" t="s">
        <v>505</v>
      </c>
      <c r="J14" s="364" t="s">
        <v>505</v>
      </c>
      <c r="K14" s="364" t="s">
        <v>505</v>
      </c>
      <c r="L14" s="364" t="s">
        <v>510</v>
      </c>
    </row>
    <row r="15" spans="1:12">
      <c r="A15" s="364">
        <v>1022</v>
      </c>
      <c r="B15" s="698" t="s">
        <v>511</v>
      </c>
      <c r="C15" s="698"/>
      <c r="D15" s="364" t="s">
        <v>802</v>
      </c>
      <c r="E15" s="364" t="s">
        <v>1804</v>
      </c>
      <c r="F15" s="364" t="s">
        <v>505</v>
      </c>
      <c r="G15" s="364" t="s">
        <v>1805</v>
      </c>
      <c r="H15" s="364" t="s">
        <v>1806</v>
      </c>
      <c r="I15" s="364" t="s">
        <v>505</v>
      </c>
      <c r="J15" s="364" t="s">
        <v>1806</v>
      </c>
      <c r="K15" s="364" t="s">
        <v>505</v>
      </c>
      <c r="L15" s="364" t="s">
        <v>1807</v>
      </c>
    </row>
    <row r="16" spans="1:12">
      <c r="A16" s="364">
        <v>1023</v>
      </c>
      <c r="B16" s="698" t="s">
        <v>512</v>
      </c>
      <c r="C16" s="698"/>
      <c r="D16" s="364" t="s">
        <v>1235</v>
      </c>
      <c r="E16" s="364" t="s">
        <v>1808</v>
      </c>
      <c r="F16" s="364" t="s">
        <v>505</v>
      </c>
      <c r="G16" s="364" t="s">
        <v>1809</v>
      </c>
      <c r="H16" s="364" t="s">
        <v>1810</v>
      </c>
      <c r="I16" s="364" t="s">
        <v>1236</v>
      </c>
      <c r="J16" s="364" t="s">
        <v>1811</v>
      </c>
      <c r="K16" s="364" t="s">
        <v>505</v>
      </c>
      <c r="L16" s="364" t="s">
        <v>1812</v>
      </c>
    </row>
    <row r="17" spans="1:12">
      <c r="A17" s="364">
        <v>1024</v>
      </c>
      <c r="B17" s="698" t="s">
        <v>513</v>
      </c>
      <c r="C17" s="698"/>
      <c r="D17" s="364" t="s">
        <v>1237</v>
      </c>
      <c r="E17" s="364" t="s">
        <v>1813</v>
      </c>
      <c r="F17" s="364" t="s">
        <v>505</v>
      </c>
      <c r="G17" s="364" t="s">
        <v>1814</v>
      </c>
      <c r="H17" s="364" t="s">
        <v>1815</v>
      </c>
      <c r="I17" s="364" t="s">
        <v>1238</v>
      </c>
      <c r="J17" s="364" t="s">
        <v>1816</v>
      </c>
      <c r="K17" s="364" t="s">
        <v>505</v>
      </c>
      <c r="L17" s="364" t="s">
        <v>1817</v>
      </c>
    </row>
    <row r="18" spans="1:12">
      <c r="A18" s="364">
        <v>1025</v>
      </c>
      <c r="B18" s="698" t="s">
        <v>514</v>
      </c>
      <c r="C18" s="698"/>
      <c r="D18" s="364" t="s">
        <v>1239</v>
      </c>
      <c r="E18" s="364" t="s">
        <v>1818</v>
      </c>
      <c r="F18" s="364" t="s">
        <v>505</v>
      </c>
      <c r="G18" s="364" t="s">
        <v>1819</v>
      </c>
      <c r="H18" s="364" t="s">
        <v>1820</v>
      </c>
      <c r="I18" s="364" t="s">
        <v>505</v>
      </c>
      <c r="J18" s="364" t="s">
        <v>1820</v>
      </c>
      <c r="K18" s="364" t="s">
        <v>505</v>
      </c>
      <c r="L18" s="364" t="s">
        <v>1821</v>
      </c>
    </row>
    <row r="19" spans="1:12">
      <c r="A19" s="364">
        <v>1026</v>
      </c>
      <c r="B19" s="698" t="s">
        <v>515</v>
      </c>
      <c r="C19" s="698"/>
      <c r="D19" s="364" t="s">
        <v>1240</v>
      </c>
      <c r="E19" s="364" t="s">
        <v>1822</v>
      </c>
      <c r="F19" s="364" t="s">
        <v>505</v>
      </c>
      <c r="G19" s="364" t="s">
        <v>1823</v>
      </c>
      <c r="H19" s="364" t="s">
        <v>1824</v>
      </c>
      <c r="I19" s="364" t="s">
        <v>1241</v>
      </c>
      <c r="J19" s="364" t="s">
        <v>1825</v>
      </c>
      <c r="K19" s="364" t="s">
        <v>505</v>
      </c>
      <c r="L19" s="364" t="s">
        <v>1826</v>
      </c>
    </row>
    <row r="20" spans="1:12">
      <c r="A20" s="364">
        <v>1031</v>
      </c>
      <c r="B20" s="698" t="s">
        <v>516</v>
      </c>
      <c r="C20" s="698"/>
      <c r="D20" s="364" t="s">
        <v>803</v>
      </c>
      <c r="E20" s="364" t="s">
        <v>1827</v>
      </c>
      <c r="F20" s="364" t="s">
        <v>505</v>
      </c>
      <c r="G20" s="364" t="s">
        <v>1828</v>
      </c>
      <c r="H20" s="364" t="s">
        <v>505</v>
      </c>
      <c r="I20" s="364" t="s">
        <v>505</v>
      </c>
      <c r="J20" s="364" t="s">
        <v>505</v>
      </c>
      <c r="K20" s="364" t="s">
        <v>505</v>
      </c>
      <c r="L20" s="364" t="s">
        <v>1828</v>
      </c>
    </row>
    <row r="21" spans="1:12">
      <c r="A21" s="364">
        <v>1101</v>
      </c>
      <c r="B21" s="698" t="s">
        <v>517</v>
      </c>
      <c r="C21" s="698"/>
      <c r="D21" s="364" t="s">
        <v>804</v>
      </c>
      <c r="E21" s="364" t="s">
        <v>1829</v>
      </c>
      <c r="F21" s="364" t="s">
        <v>505</v>
      </c>
      <c r="G21" s="364" t="s">
        <v>1830</v>
      </c>
      <c r="H21" s="364" t="s">
        <v>505</v>
      </c>
      <c r="I21" s="364" t="s">
        <v>505</v>
      </c>
      <c r="J21" s="364" t="s">
        <v>505</v>
      </c>
      <c r="K21" s="364" t="s">
        <v>505</v>
      </c>
      <c r="L21" s="364" t="s">
        <v>1830</v>
      </c>
    </row>
    <row r="22" spans="1:12">
      <c r="A22" s="364">
        <v>1103</v>
      </c>
      <c r="B22" s="698" t="s">
        <v>518</v>
      </c>
      <c r="C22" s="698"/>
      <c r="D22" s="364" t="s">
        <v>1242</v>
      </c>
      <c r="E22" s="364" t="s">
        <v>1831</v>
      </c>
      <c r="F22" s="364" t="s">
        <v>505</v>
      </c>
      <c r="G22" s="364" t="s">
        <v>1832</v>
      </c>
      <c r="H22" s="364" t="s">
        <v>1833</v>
      </c>
      <c r="I22" s="364" t="s">
        <v>1244</v>
      </c>
      <c r="J22" s="364" t="s">
        <v>1834</v>
      </c>
      <c r="K22" s="364" t="s">
        <v>505</v>
      </c>
      <c r="L22" s="364" t="s">
        <v>1835</v>
      </c>
    </row>
    <row r="23" spans="1:12">
      <c r="A23" s="364">
        <v>1121</v>
      </c>
      <c r="B23" s="698" t="s">
        <v>519</v>
      </c>
      <c r="C23" s="698"/>
      <c r="D23" s="364" t="s">
        <v>1245</v>
      </c>
      <c r="E23" s="364" t="s">
        <v>1836</v>
      </c>
      <c r="F23" s="364" t="s">
        <v>505</v>
      </c>
      <c r="G23" s="364" t="s">
        <v>1837</v>
      </c>
      <c r="H23" s="364" t="s">
        <v>1838</v>
      </c>
      <c r="I23" s="364" t="s">
        <v>1246</v>
      </c>
      <c r="J23" s="364" t="s">
        <v>1839</v>
      </c>
      <c r="K23" s="364" t="s">
        <v>505</v>
      </c>
      <c r="L23" s="364" t="s">
        <v>1840</v>
      </c>
    </row>
    <row r="24" spans="1:12">
      <c r="A24" s="364">
        <v>1122</v>
      </c>
      <c r="B24" s="698" t="s">
        <v>520</v>
      </c>
      <c r="C24" s="698"/>
      <c r="D24" s="364" t="s">
        <v>805</v>
      </c>
      <c r="E24" s="364" t="s">
        <v>1841</v>
      </c>
      <c r="F24" s="364" t="s">
        <v>505</v>
      </c>
      <c r="G24" s="364" t="s">
        <v>1842</v>
      </c>
      <c r="H24" s="364" t="s">
        <v>505</v>
      </c>
      <c r="I24" s="364" t="s">
        <v>629</v>
      </c>
      <c r="J24" s="364" t="s">
        <v>629</v>
      </c>
      <c r="K24" s="364" t="s">
        <v>505</v>
      </c>
      <c r="L24" s="364" t="s">
        <v>1843</v>
      </c>
    </row>
    <row r="25" spans="1:12">
      <c r="A25" s="364">
        <v>1124</v>
      </c>
      <c r="B25" s="698" t="s">
        <v>521</v>
      </c>
      <c r="C25" s="698"/>
      <c r="D25" s="364" t="s">
        <v>1247</v>
      </c>
      <c r="E25" s="364" t="s">
        <v>1844</v>
      </c>
      <c r="F25" s="364" t="s">
        <v>505</v>
      </c>
      <c r="G25" s="364" t="s">
        <v>1845</v>
      </c>
      <c r="H25" s="364" t="s">
        <v>1248</v>
      </c>
      <c r="I25" s="364" t="s">
        <v>1249</v>
      </c>
      <c r="J25" s="364" t="s">
        <v>1250</v>
      </c>
      <c r="K25" s="364" t="s">
        <v>505</v>
      </c>
      <c r="L25" s="364" t="s">
        <v>1846</v>
      </c>
    </row>
    <row r="26" spans="1:12">
      <c r="A26" s="364">
        <v>1180</v>
      </c>
      <c r="B26" s="698" t="s">
        <v>522</v>
      </c>
      <c r="C26" s="698"/>
      <c r="D26" s="364" t="s">
        <v>523</v>
      </c>
      <c r="E26" s="364" t="s">
        <v>505</v>
      </c>
      <c r="F26" s="364" t="s">
        <v>505</v>
      </c>
      <c r="G26" s="364" t="s">
        <v>523</v>
      </c>
      <c r="H26" s="364" t="s">
        <v>505</v>
      </c>
      <c r="I26" s="364" t="s">
        <v>505</v>
      </c>
      <c r="J26" s="364" t="s">
        <v>505</v>
      </c>
      <c r="K26" s="364" t="s">
        <v>505</v>
      </c>
      <c r="L26" s="364" t="s">
        <v>523</v>
      </c>
    </row>
    <row r="27" spans="1:12">
      <c r="A27" s="364">
        <v>1181</v>
      </c>
      <c r="B27" s="698" t="s">
        <v>524</v>
      </c>
      <c r="C27" s="698"/>
      <c r="D27" s="364" t="s">
        <v>806</v>
      </c>
      <c r="E27" s="364" t="s">
        <v>1847</v>
      </c>
      <c r="F27" s="364" t="s">
        <v>505</v>
      </c>
      <c r="G27" s="364" t="s">
        <v>1848</v>
      </c>
      <c r="H27" s="364" t="s">
        <v>505</v>
      </c>
      <c r="I27" s="364" t="s">
        <v>505</v>
      </c>
      <c r="J27" s="364" t="s">
        <v>505</v>
      </c>
      <c r="K27" s="364" t="s">
        <v>505</v>
      </c>
      <c r="L27" s="364" t="s">
        <v>1848</v>
      </c>
    </row>
    <row r="28" spans="1:12">
      <c r="A28" s="364">
        <v>1182</v>
      </c>
      <c r="B28" s="698" t="s">
        <v>525</v>
      </c>
      <c r="C28" s="698"/>
      <c r="D28" s="364" t="s">
        <v>1251</v>
      </c>
      <c r="E28" s="364" t="s">
        <v>1849</v>
      </c>
      <c r="F28" s="364" t="s">
        <v>505</v>
      </c>
      <c r="G28" s="364" t="s">
        <v>1850</v>
      </c>
      <c r="H28" s="364" t="s">
        <v>505</v>
      </c>
      <c r="I28" s="364" t="s">
        <v>1252</v>
      </c>
      <c r="J28" s="364" t="s">
        <v>1252</v>
      </c>
      <c r="K28" s="364" t="s">
        <v>505</v>
      </c>
      <c r="L28" s="364" t="s">
        <v>1851</v>
      </c>
    </row>
    <row r="29" spans="1:12">
      <c r="A29" s="364">
        <v>1184</v>
      </c>
      <c r="B29" s="698" t="s">
        <v>526</v>
      </c>
      <c r="C29" s="698"/>
      <c r="D29" s="364" t="s">
        <v>1253</v>
      </c>
      <c r="E29" s="364" t="s">
        <v>1852</v>
      </c>
      <c r="F29" s="364" t="s">
        <v>505</v>
      </c>
      <c r="G29" s="364" t="s">
        <v>1853</v>
      </c>
      <c r="H29" s="364" t="s">
        <v>1254</v>
      </c>
      <c r="I29" s="364" t="s">
        <v>1255</v>
      </c>
      <c r="J29" s="364" t="s">
        <v>1256</v>
      </c>
      <c r="K29" s="364" t="s">
        <v>505</v>
      </c>
      <c r="L29" s="364" t="s">
        <v>1854</v>
      </c>
    </row>
    <row r="30" spans="1:12">
      <c r="A30" s="364">
        <v>1186</v>
      </c>
      <c r="B30" s="698" t="s">
        <v>527</v>
      </c>
      <c r="C30" s="698"/>
      <c r="D30" s="364" t="s">
        <v>807</v>
      </c>
      <c r="E30" s="364" t="s">
        <v>1855</v>
      </c>
      <c r="F30" s="364" t="s">
        <v>505</v>
      </c>
      <c r="G30" s="364" t="s">
        <v>1856</v>
      </c>
      <c r="H30" s="364" t="s">
        <v>505</v>
      </c>
      <c r="I30" s="364" t="s">
        <v>505</v>
      </c>
      <c r="J30" s="364" t="s">
        <v>505</v>
      </c>
      <c r="K30" s="364" t="s">
        <v>505</v>
      </c>
      <c r="L30" s="364" t="s">
        <v>1856</v>
      </c>
    </row>
    <row r="31" spans="1:12">
      <c r="A31" s="364">
        <v>1187</v>
      </c>
      <c r="B31" s="698" t="s">
        <v>528</v>
      </c>
      <c r="C31" s="698"/>
      <c r="D31" s="364" t="s">
        <v>1257</v>
      </c>
      <c r="E31" s="364" t="s">
        <v>1258</v>
      </c>
      <c r="F31" s="364" t="s">
        <v>505</v>
      </c>
      <c r="G31" s="364" t="s">
        <v>1259</v>
      </c>
      <c r="H31" s="364" t="s">
        <v>505</v>
      </c>
      <c r="I31" s="364" t="s">
        <v>505</v>
      </c>
      <c r="J31" s="364" t="s">
        <v>505</v>
      </c>
      <c r="K31" s="364" t="s">
        <v>505</v>
      </c>
      <c r="L31" s="364" t="s">
        <v>1259</v>
      </c>
    </row>
    <row r="32" spans="1:12">
      <c r="A32" s="364">
        <v>1188</v>
      </c>
      <c r="B32" s="698" t="s">
        <v>529</v>
      </c>
      <c r="C32" s="698"/>
      <c r="D32" s="364" t="s">
        <v>830</v>
      </c>
      <c r="E32" s="364" t="s">
        <v>1857</v>
      </c>
      <c r="F32" s="364" t="s">
        <v>505</v>
      </c>
      <c r="G32" s="364" t="s">
        <v>1858</v>
      </c>
      <c r="H32" s="364" t="s">
        <v>1859</v>
      </c>
      <c r="I32" s="364" t="s">
        <v>1260</v>
      </c>
      <c r="J32" s="364" t="s">
        <v>1860</v>
      </c>
      <c r="K32" s="364" t="s">
        <v>505</v>
      </c>
      <c r="L32" s="364" t="s">
        <v>1861</v>
      </c>
    </row>
    <row r="33" spans="1:12">
      <c r="A33" s="364">
        <v>1190</v>
      </c>
      <c r="B33" s="698" t="s">
        <v>530</v>
      </c>
      <c r="C33" s="698"/>
      <c r="D33" s="364" t="s">
        <v>808</v>
      </c>
      <c r="E33" s="364" t="s">
        <v>1862</v>
      </c>
      <c r="F33" s="364" t="s">
        <v>505</v>
      </c>
      <c r="G33" s="364" t="s">
        <v>1863</v>
      </c>
      <c r="H33" s="364" t="s">
        <v>1864</v>
      </c>
      <c r="I33" s="364" t="s">
        <v>505</v>
      </c>
      <c r="J33" s="364" t="s">
        <v>1864</v>
      </c>
      <c r="K33" s="364" t="s">
        <v>505</v>
      </c>
      <c r="L33" s="364" t="s">
        <v>1865</v>
      </c>
    </row>
    <row r="34" spans="1:12">
      <c r="A34" s="364">
        <v>1500</v>
      </c>
      <c r="B34" s="698" t="s">
        <v>147</v>
      </c>
      <c r="C34" s="698"/>
      <c r="D34" s="364" t="s">
        <v>1261</v>
      </c>
      <c r="E34" s="364" t="s">
        <v>1866</v>
      </c>
      <c r="F34" s="364" t="s">
        <v>505</v>
      </c>
      <c r="G34" s="364" t="s">
        <v>1867</v>
      </c>
      <c r="H34" s="364" t="s">
        <v>1868</v>
      </c>
      <c r="I34" s="364" t="s">
        <v>1262</v>
      </c>
      <c r="J34" s="364" t="s">
        <v>1869</v>
      </c>
      <c r="K34" s="364" t="s">
        <v>505</v>
      </c>
      <c r="L34" s="364" t="s">
        <v>1870</v>
      </c>
    </row>
    <row r="35" spans="1:12">
      <c r="A35" s="364">
        <v>3804</v>
      </c>
      <c r="B35" s="698" t="s">
        <v>1871</v>
      </c>
      <c r="C35" s="698"/>
      <c r="D35" s="364" t="s">
        <v>505</v>
      </c>
      <c r="E35" s="364" t="s">
        <v>1872</v>
      </c>
      <c r="F35" s="364" t="s">
        <v>505</v>
      </c>
      <c r="G35" s="364" t="s">
        <v>1872</v>
      </c>
      <c r="H35" s="364" t="s">
        <v>505</v>
      </c>
      <c r="I35" s="364" t="s">
        <v>505</v>
      </c>
      <c r="J35" s="364" t="s">
        <v>505</v>
      </c>
      <c r="K35" s="364" t="s">
        <v>505</v>
      </c>
      <c r="L35" s="364" t="s">
        <v>1872</v>
      </c>
    </row>
    <row r="36" spans="1:12">
      <c r="A36" s="364">
        <v>3812</v>
      </c>
      <c r="B36" s="698" t="s">
        <v>531</v>
      </c>
      <c r="C36" s="698"/>
      <c r="D36" s="364" t="s">
        <v>809</v>
      </c>
      <c r="E36" s="364" t="s">
        <v>1873</v>
      </c>
      <c r="F36" s="364" t="s">
        <v>505</v>
      </c>
      <c r="G36" s="364" t="s">
        <v>1874</v>
      </c>
      <c r="H36" s="364" t="s">
        <v>505</v>
      </c>
      <c r="I36" s="364" t="s">
        <v>630</v>
      </c>
      <c r="J36" s="364" t="s">
        <v>630</v>
      </c>
      <c r="K36" s="364" t="s">
        <v>505</v>
      </c>
      <c r="L36" s="364" t="s">
        <v>1875</v>
      </c>
    </row>
    <row r="37" spans="1:12">
      <c r="A37" s="364">
        <v>3813</v>
      </c>
      <c r="B37" s="698" t="s">
        <v>532</v>
      </c>
      <c r="C37" s="698"/>
      <c r="D37" s="364" t="s">
        <v>1263</v>
      </c>
      <c r="E37" s="364" t="s">
        <v>1876</v>
      </c>
      <c r="F37" s="364" t="s">
        <v>505</v>
      </c>
      <c r="G37" s="364" t="s">
        <v>1877</v>
      </c>
      <c r="H37" s="364" t="s">
        <v>505</v>
      </c>
      <c r="I37" s="364" t="s">
        <v>505</v>
      </c>
      <c r="J37" s="364" t="s">
        <v>505</v>
      </c>
      <c r="K37" s="364" t="s">
        <v>505</v>
      </c>
      <c r="L37" s="364" t="s">
        <v>1877</v>
      </c>
    </row>
    <row r="38" spans="1:12">
      <c r="A38" s="364">
        <v>3814</v>
      </c>
      <c r="B38" s="698" t="s">
        <v>683</v>
      </c>
      <c r="C38" s="698"/>
      <c r="D38" s="364" t="s">
        <v>810</v>
      </c>
      <c r="E38" s="364" t="s">
        <v>1878</v>
      </c>
      <c r="F38" s="364" t="s">
        <v>505</v>
      </c>
      <c r="G38" s="364" t="s">
        <v>1879</v>
      </c>
      <c r="H38" s="364" t="s">
        <v>505</v>
      </c>
      <c r="I38" s="364" t="s">
        <v>505</v>
      </c>
      <c r="J38" s="364" t="s">
        <v>505</v>
      </c>
      <c r="K38" s="364" t="s">
        <v>505</v>
      </c>
      <c r="L38" s="364" t="s">
        <v>1879</v>
      </c>
    </row>
    <row r="39" spans="1:12">
      <c r="A39" s="364">
        <v>3819</v>
      </c>
      <c r="B39" s="698" t="s">
        <v>533</v>
      </c>
      <c r="C39" s="698"/>
      <c r="D39" s="364" t="s">
        <v>505</v>
      </c>
      <c r="E39" s="364" t="s">
        <v>505</v>
      </c>
      <c r="F39" s="364" t="s">
        <v>505</v>
      </c>
      <c r="G39" s="364" t="s">
        <v>505</v>
      </c>
      <c r="H39" s="364" t="s">
        <v>505</v>
      </c>
      <c r="I39" s="364" t="s">
        <v>686</v>
      </c>
      <c r="J39" s="364" t="s">
        <v>686</v>
      </c>
      <c r="K39" s="364" t="s">
        <v>505</v>
      </c>
      <c r="L39" s="364" t="s">
        <v>1264</v>
      </c>
    </row>
    <row r="40" spans="1:12">
      <c r="A40" s="364">
        <v>3822</v>
      </c>
      <c r="B40" s="698" t="s">
        <v>534</v>
      </c>
      <c r="C40" s="698"/>
      <c r="D40" s="364" t="s">
        <v>684</v>
      </c>
      <c r="E40" s="364" t="s">
        <v>505</v>
      </c>
      <c r="F40" s="364" t="s">
        <v>505</v>
      </c>
      <c r="G40" s="364" t="s">
        <v>684</v>
      </c>
      <c r="H40" s="364" t="s">
        <v>1880</v>
      </c>
      <c r="I40" s="364" t="s">
        <v>505</v>
      </c>
      <c r="J40" s="364" t="s">
        <v>1880</v>
      </c>
      <c r="K40" s="364" t="s">
        <v>505</v>
      </c>
      <c r="L40" s="364" t="s">
        <v>1881</v>
      </c>
    </row>
    <row r="41" spans="1:12">
      <c r="A41" s="364">
        <v>3829</v>
      </c>
      <c r="B41" s="698" t="s">
        <v>631</v>
      </c>
      <c r="C41" s="698"/>
      <c r="D41" s="364" t="s">
        <v>505</v>
      </c>
      <c r="E41" s="364" t="s">
        <v>505</v>
      </c>
      <c r="F41" s="364" t="s">
        <v>505</v>
      </c>
      <c r="G41" s="364" t="s">
        <v>505</v>
      </c>
      <c r="H41" s="364" t="s">
        <v>505</v>
      </c>
      <c r="I41" s="364" t="s">
        <v>632</v>
      </c>
      <c r="J41" s="364" t="s">
        <v>632</v>
      </c>
      <c r="K41" s="364" t="s">
        <v>505</v>
      </c>
      <c r="L41" s="364" t="s">
        <v>633</v>
      </c>
    </row>
    <row r="42" spans="1:12">
      <c r="A42" s="364">
        <v>3831</v>
      </c>
      <c r="B42" s="698" t="s">
        <v>535</v>
      </c>
      <c r="C42" s="698"/>
      <c r="D42" s="364" t="s">
        <v>831</v>
      </c>
      <c r="E42" s="364" t="s">
        <v>1882</v>
      </c>
      <c r="F42" s="364" t="s">
        <v>505</v>
      </c>
      <c r="G42" s="364" t="s">
        <v>1883</v>
      </c>
      <c r="H42" s="364" t="s">
        <v>505</v>
      </c>
      <c r="I42" s="364" t="s">
        <v>1265</v>
      </c>
      <c r="J42" s="364" t="s">
        <v>1265</v>
      </c>
      <c r="K42" s="364" t="s">
        <v>505</v>
      </c>
      <c r="L42" s="364" t="s">
        <v>1884</v>
      </c>
    </row>
    <row r="43" spans="1:12">
      <c r="A43" s="364">
        <v>3832</v>
      </c>
      <c r="B43" s="698" t="s">
        <v>536</v>
      </c>
      <c r="C43" s="698"/>
      <c r="D43" s="364" t="s">
        <v>832</v>
      </c>
      <c r="E43" s="364" t="s">
        <v>1885</v>
      </c>
      <c r="F43" s="364" t="s">
        <v>505</v>
      </c>
      <c r="G43" s="364" t="s">
        <v>1886</v>
      </c>
      <c r="H43" s="364" t="s">
        <v>505</v>
      </c>
      <c r="I43" s="364" t="s">
        <v>1266</v>
      </c>
      <c r="J43" s="364" t="s">
        <v>1266</v>
      </c>
      <c r="K43" s="364" t="s">
        <v>505</v>
      </c>
      <c r="L43" s="364" t="s">
        <v>1887</v>
      </c>
    </row>
    <row r="44" spans="1:12">
      <c r="A44" s="364">
        <v>3833</v>
      </c>
      <c r="B44" s="698" t="s">
        <v>537</v>
      </c>
      <c r="C44" s="698"/>
      <c r="D44" s="364" t="s">
        <v>833</v>
      </c>
      <c r="E44" s="364" t="s">
        <v>1888</v>
      </c>
      <c r="F44" s="364" t="s">
        <v>505</v>
      </c>
      <c r="G44" s="364" t="s">
        <v>1889</v>
      </c>
      <c r="H44" s="364" t="s">
        <v>505</v>
      </c>
      <c r="I44" s="364" t="s">
        <v>1267</v>
      </c>
      <c r="J44" s="364" t="s">
        <v>1267</v>
      </c>
      <c r="K44" s="364" t="s">
        <v>505</v>
      </c>
      <c r="L44" s="364" t="s">
        <v>1890</v>
      </c>
    </row>
    <row r="45" spans="1:12">
      <c r="A45" s="364">
        <v>3838</v>
      </c>
      <c r="B45" s="698" t="s">
        <v>634</v>
      </c>
      <c r="C45" s="698"/>
      <c r="D45" s="364" t="s">
        <v>811</v>
      </c>
      <c r="E45" s="364" t="s">
        <v>1891</v>
      </c>
      <c r="F45" s="364" t="s">
        <v>505</v>
      </c>
      <c r="G45" s="364" t="s">
        <v>1892</v>
      </c>
      <c r="H45" s="364" t="s">
        <v>505</v>
      </c>
      <c r="I45" s="364" t="s">
        <v>505</v>
      </c>
      <c r="J45" s="364" t="s">
        <v>505</v>
      </c>
      <c r="K45" s="364" t="s">
        <v>505</v>
      </c>
      <c r="L45" s="364" t="s">
        <v>1892</v>
      </c>
    </row>
    <row r="46" spans="1:12">
      <c r="A46" s="364">
        <v>3839</v>
      </c>
      <c r="B46" s="698" t="s">
        <v>635</v>
      </c>
      <c r="C46" s="698"/>
      <c r="D46" s="364" t="s">
        <v>812</v>
      </c>
      <c r="E46" s="364" t="s">
        <v>1893</v>
      </c>
      <c r="F46" s="364" t="s">
        <v>505</v>
      </c>
      <c r="G46" s="364" t="s">
        <v>1894</v>
      </c>
      <c r="H46" s="364" t="s">
        <v>505</v>
      </c>
      <c r="I46" s="364" t="s">
        <v>505</v>
      </c>
      <c r="J46" s="364" t="s">
        <v>505</v>
      </c>
      <c r="K46" s="364" t="s">
        <v>505</v>
      </c>
      <c r="L46" s="364" t="s">
        <v>1894</v>
      </c>
    </row>
    <row r="47" spans="1:12">
      <c r="A47" s="364">
        <v>3841</v>
      </c>
      <c r="B47" s="698" t="s">
        <v>685</v>
      </c>
      <c r="C47" s="698"/>
      <c r="D47" s="364" t="s">
        <v>834</v>
      </c>
      <c r="E47" s="364" t="s">
        <v>1895</v>
      </c>
      <c r="F47" s="364" t="s">
        <v>505</v>
      </c>
      <c r="G47" s="364" t="s">
        <v>1896</v>
      </c>
      <c r="H47" s="364" t="s">
        <v>505</v>
      </c>
      <c r="I47" s="364" t="s">
        <v>1268</v>
      </c>
      <c r="J47" s="364" t="s">
        <v>1268</v>
      </c>
      <c r="K47" s="364" t="s">
        <v>505</v>
      </c>
      <c r="L47" s="364" t="s">
        <v>1897</v>
      </c>
    </row>
    <row r="48" spans="1:12">
      <c r="A48" s="364">
        <v>3843</v>
      </c>
      <c r="B48" s="698" t="s">
        <v>813</v>
      </c>
      <c r="C48" s="698"/>
      <c r="D48" s="364" t="s">
        <v>814</v>
      </c>
      <c r="E48" s="364" t="s">
        <v>1898</v>
      </c>
      <c r="F48" s="364" t="s">
        <v>505</v>
      </c>
      <c r="G48" s="364" t="s">
        <v>1899</v>
      </c>
      <c r="H48" s="364" t="s">
        <v>505</v>
      </c>
      <c r="I48" s="364" t="s">
        <v>505</v>
      </c>
      <c r="J48" s="364" t="s">
        <v>505</v>
      </c>
      <c r="K48" s="364" t="s">
        <v>505</v>
      </c>
      <c r="L48" s="364" t="s">
        <v>1899</v>
      </c>
    </row>
    <row r="49" spans="1:12">
      <c r="A49" s="364">
        <v>4000</v>
      </c>
      <c r="B49" s="698" t="s">
        <v>538</v>
      </c>
      <c r="C49" s="698"/>
      <c r="D49" s="364" t="s">
        <v>539</v>
      </c>
      <c r="E49" s="364" t="s">
        <v>505</v>
      </c>
      <c r="F49" s="364" t="s">
        <v>505</v>
      </c>
      <c r="G49" s="364" t="s">
        <v>539</v>
      </c>
      <c r="H49" s="364" t="s">
        <v>505</v>
      </c>
      <c r="I49" s="364" t="s">
        <v>505</v>
      </c>
      <c r="J49" s="364" t="s">
        <v>505</v>
      </c>
      <c r="K49" s="364" t="s">
        <v>505</v>
      </c>
      <c r="L49" s="364" t="s">
        <v>539</v>
      </c>
    </row>
    <row r="50" spans="1:12">
      <c r="A50" s="364">
        <v>4001</v>
      </c>
      <c r="B50" s="698" t="s">
        <v>540</v>
      </c>
      <c r="C50" s="698"/>
      <c r="D50" s="364" t="s">
        <v>1269</v>
      </c>
      <c r="E50" s="364" t="s">
        <v>1900</v>
      </c>
      <c r="F50" s="364" t="s">
        <v>505</v>
      </c>
      <c r="G50" s="364" t="s">
        <v>1901</v>
      </c>
      <c r="H50" s="364" t="s">
        <v>505</v>
      </c>
      <c r="I50" s="364" t="s">
        <v>1270</v>
      </c>
      <c r="J50" s="364" t="s">
        <v>1270</v>
      </c>
      <c r="K50" s="364" t="s">
        <v>505</v>
      </c>
      <c r="L50" s="364" t="s">
        <v>1902</v>
      </c>
    </row>
    <row r="51" spans="1:12">
      <c r="A51" s="364">
        <v>4011</v>
      </c>
      <c r="B51" s="698" t="s">
        <v>541</v>
      </c>
      <c r="C51" s="698"/>
      <c r="D51" s="364" t="s">
        <v>827</v>
      </c>
      <c r="E51" s="364" t="s">
        <v>1903</v>
      </c>
      <c r="F51" s="364" t="s">
        <v>505</v>
      </c>
      <c r="G51" s="364" t="s">
        <v>1904</v>
      </c>
      <c r="H51" s="364" t="s">
        <v>1905</v>
      </c>
      <c r="I51" s="364" t="s">
        <v>636</v>
      </c>
      <c r="J51" s="364" t="s">
        <v>1906</v>
      </c>
      <c r="K51" s="364" t="s">
        <v>505</v>
      </c>
      <c r="L51" s="364" t="s">
        <v>1907</v>
      </c>
    </row>
    <row r="52" spans="1:12">
      <c r="A52" s="364">
        <v>4030</v>
      </c>
      <c r="B52" s="698" t="s">
        <v>542</v>
      </c>
      <c r="C52" s="698"/>
      <c r="D52" s="364" t="s">
        <v>543</v>
      </c>
      <c r="E52" s="364" t="s">
        <v>505</v>
      </c>
      <c r="F52" s="364" t="s">
        <v>505</v>
      </c>
      <c r="G52" s="364" t="s">
        <v>543</v>
      </c>
      <c r="H52" s="364" t="s">
        <v>505</v>
      </c>
      <c r="I52" s="364" t="s">
        <v>505</v>
      </c>
      <c r="J52" s="364" t="s">
        <v>505</v>
      </c>
      <c r="K52" s="364" t="s">
        <v>505</v>
      </c>
      <c r="L52" s="364" t="s">
        <v>543</v>
      </c>
    </row>
    <row r="53" spans="1:12">
      <c r="A53" s="364">
        <v>4050</v>
      </c>
      <c r="B53" s="698" t="s">
        <v>544</v>
      </c>
      <c r="C53" s="698"/>
      <c r="D53" s="364" t="s">
        <v>835</v>
      </c>
      <c r="E53" s="364" t="s">
        <v>1908</v>
      </c>
      <c r="F53" s="364" t="s">
        <v>505</v>
      </c>
      <c r="G53" s="364" t="s">
        <v>1909</v>
      </c>
      <c r="H53" s="364" t="s">
        <v>1910</v>
      </c>
      <c r="I53" s="364" t="s">
        <v>1271</v>
      </c>
      <c r="J53" s="364" t="s">
        <v>1911</v>
      </c>
      <c r="K53" s="364" t="s">
        <v>505</v>
      </c>
      <c r="L53" s="364" t="s">
        <v>1912</v>
      </c>
    </row>
    <row r="54" spans="1:12">
      <c r="A54" s="364">
        <v>4051</v>
      </c>
      <c r="B54" s="698" t="s">
        <v>545</v>
      </c>
      <c r="C54" s="698"/>
      <c r="D54" s="364" t="s">
        <v>815</v>
      </c>
      <c r="E54" s="364" t="s">
        <v>1913</v>
      </c>
      <c r="F54" s="364" t="s">
        <v>505</v>
      </c>
      <c r="G54" s="364" t="s">
        <v>1914</v>
      </c>
      <c r="H54" s="364" t="s">
        <v>505</v>
      </c>
      <c r="I54" s="364" t="s">
        <v>505</v>
      </c>
      <c r="J54" s="364" t="s">
        <v>505</v>
      </c>
      <c r="K54" s="364" t="s">
        <v>505</v>
      </c>
      <c r="L54" s="364" t="s">
        <v>1914</v>
      </c>
    </row>
    <row r="55" spans="1:12">
      <c r="A55" s="364">
        <v>4080</v>
      </c>
      <c r="B55" s="698" t="s">
        <v>546</v>
      </c>
      <c r="C55" s="698"/>
      <c r="D55" s="364" t="s">
        <v>547</v>
      </c>
      <c r="E55" s="364" t="s">
        <v>505</v>
      </c>
      <c r="F55" s="364" t="s">
        <v>505</v>
      </c>
      <c r="G55" s="364" t="s">
        <v>547</v>
      </c>
      <c r="H55" s="364" t="s">
        <v>505</v>
      </c>
      <c r="I55" s="364" t="s">
        <v>505</v>
      </c>
      <c r="J55" s="364" t="s">
        <v>505</v>
      </c>
      <c r="K55" s="364" t="s">
        <v>505</v>
      </c>
      <c r="L55" s="364" t="s">
        <v>547</v>
      </c>
    </row>
    <row r="56" spans="1:12">
      <c r="A56" s="364">
        <v>4090</v>
      </c>
      <c r="B56" s="698" t="s">
        <v>548</v>
      </c>
      <c r="C56" s="698"/>
      <c r="D56" s="364" t="s">
        <v>828</v>
      </c>
      <c r="E56" s="364" t="s">
        <v>1915</v>
      </c>
      <c r="F56" s="364" t="s">
        <v>505</v>
      </c>
      <c r="G56" s="364" t="s">
        <v>1916</v>
      </c>
      <c r="H56" s="364" t="s">
        <v>1917</v>
      </c>
      <c r="I56" s="364" t="s">
        <v>637</v>
      </c>
      <c r="J56" s="364" t="s">
        <v>1918</v>
      </c>
      <c r="K56" s="364" t="s">
        <v>505</v>
      </c>
      <c r="L56" s="364" t="s">
        <v>1919</v>
      </c>
    </row>
    <row r="57" spans="1:12">
      <c r="A57" s="364">
        <v>4160</v>
      </c>
      <c r="B57" s="698" t="s">
        <v>549</v>
      </c>
      <c r="C57" s="698"/>
      <c r="D57" s="364" t="s">
        <v>816</v>
      </c>
      <c r="E57" s="364" t="s">
        <v>1920</v>
      </c>
      <c r="F57" s="364" t="s">
        <v>505</v>
      </c>
      <c r="G57" s="364" t="s">
        <v>1921</v>
      </c>
      <c r="H57" s="364" t="s">
        <v>505</v>
      </c>
      <c r="I57" s="364" t="s">
        <v>505</v>
      </c>
      <c r="J57" s="364" t="s">
        <v>505</v>
      </c>
      <c r="K57" s="364" t="s">
        <v>505</v>
      </c>
      <c r="L57" s="364" t="s">
        <v>1921</v>
      </c>
    </row>
    <row r="58" spans="1:12">
      <c r="A58" s="364">
        <v>4170</v>
      </c>
      <c r="B58" s="698" t="s">
        <v>550</v>
      </c>
      <c r="C58" s="698"/>
      <c r="D58" s="364" t="s">
        <v>836</v>
      </c>
      <c r="E58" s="364" t="s">
        <v>1922</v>
      </c>
      <c r="F58" s="364" t="s">
        <v>505</v>
      </c>
      <c r="G58" s="364" t="s">
        <v>1923</v>
      </c>
      <c r="H58" s="364" t="s">
        <v>1924</v>
      </c>
      <c r="I58" s="364" t="s">
        <v>1272</v>
      </c>
      <c r="J58" s="364" t="s">
        <v>1925</v>
      </c>
      <c r="K58" s="364" t="s">
        <v>505</v>
      </c>
      <c r="L58" s="364" t="s">
        <v>1926</v>
      </c>
    </row>
    <row r="59" spans="1:12">
      <c r="A59" s="364">
        <v>4190</v>
      </c>
      <c r="B59" s="698" t="s">
        <v>551</v>
      </c>
      <c r="C59" s="698"/>
      <c r="D59" s="364" t="s">
        <v>817</v>
      </c>
      <c r="E59" s="364" t="s">
        <v>1927</v>
      </c>
      <c r="F59" s="364" t="s">
        <v>505</v>
      </c>
      <c r="G59" s="364" t="s">
        <v>1928</v>
      </c>
      <c r="H59" s="364" t="s">
        <v>505</v>
      </c>
      <c r="I59" s="364" t="s">
        <v>505</v>
      </c>
      <c r="J59" s="364" t="s">
        <v>505</v>
      </c>
      <c r="K59" s="364" t="s">
        <v>505</v>
      </c>
      <c r="L59" s="364" t="s">
        <v>1928</v>
      </c>
    </row>
    <row r="60" spans="1:12">
      <c r="A60" s="364">
        <v>4220</v>
      </c>
      <c r="B60" s="698" t="s">
        <v>552</v>
      </c>
      <c r="C60" s="698"/>
      <c r="D60" s="364" t="s">
        <v>837</v>
      </c>
      <c r="E60" s="364" t="s">
        <v>1929</v>
      </c>
      <c r="F60" s="364" t="s">
        <v>505</v>
      </c>
      <c r="G60" s="364" t="s">
        <v>1930</v>
      </c>
      <c r="H60" s="364" t="s">
        <v>1931</v>
      </c>
      <c r="I60" s="364" t="s">
        <v>1273</v>
      </c>
      <c r="J60" s="364" t="s">
        <v>1932</v>
      </c>
      <c r="K60" s="364" t="s">
        <v>505</v>
      </c>
      <c r="L60" s="364" t="s">
        <v>1933</v>
      </c>
    </row>
    <row r="61" spans="1:12">
      <c r="A61" s="364">
        <v>4234</v>
      </c>
      <c r="B61" s="698" t="s">
        <v>553</v>
      </c>
      <c r="C61" s="698"/>
      <c r="D61" s="364" t="s">
        <v>554</v>
      </c>
      <c r="E61" s="364" t="s">
        <v>505</v>
      </c>
      <c r="F61" s="364" t="s">
        <v>505</v>
      </c>
      <c r="G61" s="364" t="s">
        <v>554</v>
      </c>
      <c r="H61" s="364" t="s">
        <v>505</v>
      </c>
      <c r="I61" s="364" t="s">
        <v>505</v>
      </c>
      <c r="J61" s="364" t="s">
        <v>505</v>
      </c>
      <c r="K61" s="364" t="s">
        <v>505</v>
      </c>
      <c r="L61" s="364" t="s">
        <v>554</v>
      </c>
    </row>
    <row r="62" spans="1:12">
      <c r="A62" s="364">
        <v>4270</v>
      </c>
      <c r="B62" s="698" t="s">
        <v>555</v>
      </c>
      <c r="C62" s="698"/>
      <c r="D62" s="364" t="s">
        <v>818</v>
      </c>
      <c r="E62" s="364" t="s">
        <v>1934</v>
      </c>
      <c r="F62" s="364" t="s">
        <v>505</v>
      </c>
      <c r="G62" s="364" t="s">
        <v>1935</v>
      </c>
      <c r="H62" s="364" t="s">
        <v>505</v>
      </c>
      <c r="I62" s="364" t="s">
        <v>638</v>
      </c>
      <c r="J62" s="364" t="s">
        <v>638</v>
      </c>
      <c r="K62" s="364" t="s">
        <v>505</v>
      </c>
      <c r="L62" s="364" t="s">
        <v>1936</v>
      </c>
    </row>
    <row r="63" spans="1:12">
      <c r="A63" s="364">
        <v>4290</v>
      </c>
      <c r="B63" s="698" t="s">
        <v>556</v>
      </c>
      <c r="C63" s="698"/>
      <c r="D63" s="364" t="s">
        <v>557</v>
      </c>
      <c r="E63" s="364" t="s">
        <v>505</v>
      </c>
      <c r="F63" s="364" t="s">
        <v>505</v>
      </c>
      <c r="G63" s="364" t="s">
        <v>557</v>
      </c>
      <c r="H63" s="364" t="s">
        <v>505</v>
      </c>
      <c r="I63" s="364" t="s">
        <v>505</v>
      </c>
      <c r="J63" s="364" t="s">
        <v>505</v>
      </c>
      <c r="K63" s="364" t="s">
        <v>505</v>
      </c>
      <c r="L63" s="364" t="s">
        <v>557</v>
      </c>
    </row>
    <row r="64" spans="1:12">
      <c r="A64" s="364">
        <v>4292</v>
      </c>
      <c r="B64" s="698" t="s">
        <v>558</v>
      </c>
      <c r="C64" s="698"/>
      <c r="D64" s="364" t="s">
        <v>819</v>
      </c>
      <c r="E64" s="364" t="s">
        <v>1937</v>
      </c>
      <c r="F64" s="364" t="s">
        <v>505</v>
      </c>
      <c r="G64" s="364" t="s">
        <v>1938</v>
      </c>
      <c r="H64" s="364" t="s">
        <v>505</v>
      </c>
      <c r="I64" s="364" t="s">
        <v>505</v>
      </c>
      <c r="J64" s="364" t="s">
        <v>505</v>
      </c>
      <c r="K64" s="364" t="s">
        <v>505</v>
      </c>
      <c r="L64" s="364" t="s">
        <v>1938</v>
      </c>
    </row>
    <row r="65" spans="1:12">
      <c r="A65" s="364">
        <v>4293</v>
      </c>
      <c r="B65" s="698" t="s">
        <v>559</v>
      </c>
      <c r="C65" s="698"/>
      <c r="D65" s="364" t="s">
        <v>820</v>
      </c>
      <c r="E65" s="364" t="s">
        <v>1939</v>
      </c>
      <c r="F65" s="364" t="s">
        <v>505</v>
      </c>
      <c r="G65" s="364" t="s">
        <v>1940</v>
      </c>
      <c r="H65" s="364" t="s">
        <v>505</v>
      </c>
      <c r="I65" s="364" t="s">
        <v>505</v>
      </c>
      <c r="J65" s="364" t="s">
        <v>505</v>
      </c>
      <c r="K65" s="364" t="s">
        <v>505</v>
      </c>
      <c r="L65" s="364" t="s">
        <v>1940</v>
      </c>
    </row>
    <row r="66" spans="1:12">
      <c r="A66" s="364">
        <v>4294</v>
      </c>
      <c r="B66" s="698" t="s">
        <v>560</v>
      </c>
      <c r="C66" s="698"/>
      <c r="D66" s="364" t="s">
        <v>821</v>
      </c>
      <c r="E66" s="364" t="s">
        <v>1941</v>
      </c>
      <c r="F66" s="364" t="s">
        <v>505</v>
      </c>
      <c r="G66" s="364" t="s">
        <v>1942</v>
      </c>
      <c r="H66" s="364" t="s">
        <v>505</v>
      </c>
      <c r="I66" s="364" t="s">
        <v>639</v>
      </c>
      <c r="J66" s="364" t="s">
        <v>639</v>
      </c>
      <c r="K66" s="364" t="s">
        <v>505</v>
      </c>
      <c r="L66" s="364" t="s">
        <v>1943</v>
      </c>
    </row>
    <row r="67" spans="1:12">
      <c r="A67" s="364">
        <v>4295</v>
      </c>
      <c r="B67" s="698" t="s">
        <v>561</v>
      </c>
      <c r="C67" s="698"/>
      <c r="D67" s="364" t="s">
        <v>829</v>
      </c>
      <c r="E67" s="364" t="s">
        <v>1944</v>
      </c>
      <c r="F67" s="364" t="s">
        <v>505</v>
      </c>
      <c r="G67" s="364" t="s">
        <v>1945</v>
      </c>
      <c r="H67" s="364" t="s">
        <v>505</v>
      </c>
      <c r="I67" s="364" t="s">
        <v>1168</v>
      </c>
      <c r="J67" s="364" t="s">
        <v>1168</v>
      </c>
      <c r="K67" s="364" t="s">
        <v>505</v>
      </c>
      <c r="L67" s="364" t="s">
        <v>1946</v>
      </c>
    </row>
    <row r="68" spans="1:12">
      <c r="A68" s="364">
        <v>4297</v>
      </c>
      <c r="B68" s="698" t="s">
        <v>1947</v>
      </c>
      <c r="C68" s="698"/>
      <c r="D68" s="364" t="s">
        <v>505</v>
      </c>
      <c r="E68" s="364" t="s">
        <v>1948</v>
      </c>
      <c r="F68" s="364" t="s">
        <v>505</v>
      </c>
      <c r="G68" s="364" t="s">
        <v>1948</v>
      </c>
      <c r="H68" s="364" t="s">
        <v>505</v>
      </c>
      <c r="I68" s="364" t="s">
        <v>505</v>
      </c>
      <c r="J68" s="364" t="s">
        <v>505</v>
      </c>
      <c r="K68" s="364" t="s">
        <v>505</v>
      </c>
      <c r="L68" s="364" t="s">
        <v>1948</v>
      </c>
    </row>
    <row r="69" spans="1:12">
      <c r="A69" s="364">
        <v>4500</v>
      </c>
      <c r="B69" s="698" t="s">
        <v>562</v>
      </c>
      <c r="C69" s="698"/>
      <c r="D69" s="364" t="s">
        <v>1274</v>
      </c>
      <c r="E69" s="364" t="s">
        <v>1949</v>
      </c>
      <c r="F69" s="364" t="s">
        <v>505</v>
      </c>
      <c r="G69" s="364" t="s">
        <v>1950</v>
      </c>
      <c r="H69" s="364" t="s">
        <v>1951</v>
      </c>
      <c r="I69" s="364" t="s">
        <v>1275</v>
      </c>
      <c r="J69" s="364" t="s">
        <v>1952</v>
      </c>
      <c r="K69" s="364" t="s">
        <v>505</v>
      </c>
      <c r="L69" s="364" t="s">
        <v>1953</v>
      </c>
    </row>
    <row r="70" spans="1:12">
      <c r="A70" s="364">
        <v>4501</v>
      </c>
      <c r="B70" s="698" t="s">
        <v>563</v>
      </c>
      <c r="C70" s="698"/>
      <c r="D70" s="364" t="s">
        <v>1276</v>
      </c>
      <c r="E70" s="364" t="s">
        <v>1954</v>
      </c>
      <c r="F70" s="364" t="s">
        <v>505</v>
      </c>
      <c r="G70" s="364" t="s">
        <v>1955</v>
      </c>
      <c r="H70" s="364" t="s">
        <v>1956</v>
      </c>
      <c r="I70" s="364" t="s">
        <v>1277</v>
      </c>
      <c r="J70" s="364" t="s">
        <v>1957</v>
      </c>
      <c r="K70" s="364" t="s">
        <v>505</v>
      </c>
      <c r="L70" s="364" t="s">
        <v>1958</v>
      </c>
    </row>
    <row r="71" spans="1:12">
      <c r="A71" s="364">
        <v>4502</v>
      </c>
      <c r="B71" s="698" t="s">
        <v>564</v>
      </c>
      <c r="C71" s="698"/>
      <c r="D71" s="364" t="s">
        <v>838</v>
      </c>
      <c r="E71" s="364" t="s">
        <v>1959</v>
      </c>
      <c r="F71" s="364" t="s">
        <v>505</v>
      </c>
      <c r="G71" s="364" t="s">
        <v>1960</v>
      </c>
      <c r="H71" s="364" t="s">
        <v>1961</v>
      </c>
      <c r="I71" s="364" t="s">
        <v>1278</v>
      </c>
      <c r="J71" s="364" t="s">
        <v>1962</v>
      </c>
      <c r="K71" s="364" t="s">
        <v>505</v>
      </c>
      <c r="L71" s="364" t="s">
        <v>1963</v>
      </c>
    </row>
    <row r="72" spans="1:12">
      <c r="A72" s="364">
        <v>4503</v>
      </c>
      <c r="B72" s="698" t="s">
        <v>565</v>
      </c>
      <c r="C72" s="698"/>
      <c r="D72" s="364" t="s">
        <v>1279</v>
      </c>
      <c r="E72" s="364" t="s">
        <v>1964</v>
      </c>
      <c r="F72" s="364" t="s">
        <v>505</v>
      </c>
      <c r="G72" s="364" t="s">
        <v>1965</v>
      </c>
      <c r="H72" s="364" t="s">
        <v>1966</v>
      </c>
      <c r="I72" s="364" t="s">
        <v>1280</v>
      </c>
      <c r="J72" s="364" t="s">
        <v>1967</v>
      </c>
      <c r="K72" s="364" t="s">
        <v>505</v>
      </c>
      <c r="L72" s="364" t="s">
        <v>1968</v>
      </c>
    </row>
    <row r="73" spans="1:12">
      <c r="A73" s="364">
        <v>4504</v>
      </c>
      <c r="B73" s="698" t="s">
        <v>566</v>
      </c>
      <c r="C73" s="698"/>
      <c r="D73" s="364" t="s">
        <v>839</v>
      </c>
      <c r="E73" s="364" t="s">
        <v>1969</v>
      </c>
      <c r="F73" s="364" t="s">
        <v>505</v>
      </c>
      <c r="G73" s="364" t="s">
        <v>1970</v>
      </c>
      <c r="H73" s="364" t="s">
        <v>505</v>
      </c>
      <c r="I73" s="364" t="s">
        <v>1281</v>
      </c>
      <c r="J73" s="364" t="s">
        <v>1281</v>
      </c>
      <c r="K73" s="364" t="s">
        <v>505</v>
      </c>
      <c r="L73" s="364" t="s">
        <v>1971</v>
      </c>
    </row>
    <row r="74" spans="1:12">
      <c r="A74" s="364">
        <v>4505</v>
      </c>
      <c r="B74" s="698" t="s">
        <v>567</v>
      </c>
      <c r="C74" s="698"/>
      <c r="D74" s="364" t="s">
        <v>1282</v>
      </c>
      <c r="E74" s="364" t="s">
        <v>1972</v>
      </c>
      <c r="F74" s="364" t="s">
        <v>505</v>
      </c>
      <c r="G74" s="364" t="s">
        <v>1973</v>
      </c>
      <c r="H74" s="364" t="s">
        <v>1974</v>
      </c>
      <c r="I74" s="364" t="s">
        <v>1283</v>
      </c>
      <c r="J74" s="364" t="s">
        <v>1975</v>
      </c>
      <c r="K74" s="364" t="s">
        <v>505</v>
      </c>
      <c r="L74" s="364" t="s">
        <v>1976</v>
      </c>
    </row>
    <row r="75" spans="1:12">
      <c r="A75" s="364">
        <v>4506</v>
      </c>
      <c r="B75" s="698" t="s">
        <v>568</v>
      </c>
      <c r="C75" s="698"/>
      <c r="D75" s="364" t="s">
        <v>1284</v>
      </c>
      <c r="E75" s="364" t="s">
        <v>1977</v>
      </c>
      <c r="F75" s="364" t="s">
        <v>505</v>
      </c>
      <c r="G75" s="364" t="s">
        <v>1978</v>
      </c>
      <c r="H75" s="364" t="s">
        <v>505</v>
      </c>
      <c r="I75" s="364" t="s">
        <v>822</v>
      </c>
      <c r="J75" s="364" t="s">
        <v>822</v>
      </c>
      <c r="K75" s="364" t="s">
        <v>505</v>
      </c>
      <c r="L75" s="364" t="s">
        <v>1979</v>
      </c>
    </row>
    <row r="76" spans="1:12">
      <c r="A76" s="364">
        <v>4507</v>
      </c>
      <c r="B76" s="698" t="s">
        <v>569</v>
      </c>
      <c r="C76" s="698"/>
      <c r="D76" s="364" t="s">
        <v>823</v>
      </c>
      <c r="E76" s="364" t="s">
        <v>1980</v>
      </c>
      <c r="F76" s="364" t="s">
        <v>505</v>
      </c>
      <c r="G76" s="364" t="s">
        <v>1981</v>
      </c>
      <c r="H76" s="364" t="s">
        <v>505</v>
      </c>
      <c r="I76" s="364" t="s">
        <v>505</v>
      </c>
      <c r="J76" s="364" t="s">
        <v>505</v>
      </c>
      <c r="K76" s="364" t="s">
        <v>505</v>
      </c>
      <c r="L76" s="364" t="s">
        <v>1981</v>
      </c>
    </row>
    <row r="77" spans="1:12">
      <c r="A77" s="364">
        <v>4509</v>
      </c>
      <c r="B77" s="698" t="s">
        <v>570</v>
      </c>
      <c r="C77" s="698"/>
      <c r="D77" s="364" t="s">
        <v>824</v>
      </c>
      <c r="E77" s="364" t="s">
        <v>1982</v>
      </c>
      <c r="F77" s="364" t="s">
        <v>505</v>
      </c>
      <c r="G77" s="364" t="s">
        <v>1983</v>
      </c>
      <c r="H77" s="364" t="s">
        <v>505</v>
      </c>
      <c r="I77" s="364" t="s">
        <v>505</v>
      </c>
      <c r="J77" s="364" t="s">
        <v>505</v>
      </c>
      <c r="K77" s="364" t="s">
        <v>505</v>
      </c>
      <c r="L77" s="364" t="s">
        <v>1983</v>
      </c>
    </row>
    <row r="78" spans="1:12">
      <c r="A78" s="364">
        <v>4510</v>
      </c>
      <c r="B78" s="698" t="s">
        <v>640</v>
      </c>
      <c r="C78" s="698"/>
      <c r="D78" s="364" t="s">
        <v>505</v>
      </c>
      <c r="E78" s="364" t="s">
        <v>505</v>
      </c>
      <c r="F78" s="364" t="s">
        <v>505</v>
      </c>
      <c r="G78" s="364" t="s">
        <v>505</v>
      </c>
      <c r="H78" s="364" t="s">
        <v>505</v>
      </c>
      <c r="I78" s="364" t="s">
        <v>641</v>
      </c>
      <c r="J78" s="364" t="s">
        <v>641</v>
      </c>
      <c r="K78" s="364" t="s">
        <v>505</v>
      </c>
      <c r="L78" s="364" t="s">
        <v>642</v>
      </c>
    </row>
    <row r="79" spans="1:12">
      <c r="A79" s="364">
        <v>4511</v>
      </c>
      <c r="B79" s="698" t="s">
        <v>571</v>
      </c>
      <c r="C79" s="698"/>
      <c r="D79" s="364" t="s">
        <v>1285</v>
      </c>
      <c r="E79" s="364" t="s">
        <v>1984</v>
      </c>
      <c r="F79" s="364" t="s">
        <v>505</v>
      </c>
      <c r="G79" s="364" t="s">
        <v>1985</v>
      </c>
      <c r="H79" s="364" t="s">
        <v>1986</v>
      </c>
      <c r="I79" s="364" t="s">
        <v>1286</v>
      </c>
      <c r="J79" s="364" t="s">
        <v>1987</v>
      </c>
      <c r="K79" s="364" t="s">
        <v>505</v>
      </c>
      <c r="L79" s="364" t="s">
        <v>1988</v>
      </c>
    </row>
    <row r="80" spans="1:12">
      <c r="A80" s="364">
        <v>4512</v>
      </c>
      <c r="B80" s="698" t="s">
        <v>572</v>
      </c>
      <c r="C80" s="698"/>
      <c r="D80" s="364" t="s">
        <v>825</v>
      </c>
      <c r="E80" s="364" t="s">
        <v>1989</v>
      </c>
      <c r="F80" s="364" t="s">
        <v>505</v>
      </c>
      <c r="G80" s="364" t="s">
        <v>1990</v>
      </c>
      <c r="H80" s="364" t="s">
        <v>505</v>
      </c>
      <c r="I80" s="364" t="s">
        <v>505</v>
      </c>
      <c r="J80" s="364" t="s">
        <v>505</v>
      </c>
      <c r="K80" s="364" t="s">
        <v>505</v>
      </c>
      <c r="L80" s="364" t="s">
        <v>1990</v>
      </c>
    </row>
    <row r="81" spans="1:12">
      <c r="A81" s="364">
        <v>4710</v>
      </c>
      <c r="B81" s="698" t="s">
        <v>643</v>
      </c>
      <c r="C81" s="698"/>
      <c r="D81" s="364" t="s">
        <v>505</v>
      </c>
      <c r="E81" s="364" t="s">
        <v>505</v>
      </c>
      <c r="F81" s="364" t="s">
        <v>505</v>
      </c>
      <c r="G81" s="364" t="s">
        <v>505</v>
      </c>
      <c r="H81" s="364" t="s">
        <v>505</v>
      </c>
      <c r="I81" s="364" t="s">
        <v>644</v>
      </c>
      <c r="J81" s="364" t="s">
        <v>644</v>
      </c>
      <c r="K81" s="364" t="s">
        <v>505</v>
      </c>
      <c r="L81" s="364" t="s">
        <v>645</v>
      </c>
    </row>
    <row r="82" spans="1:12">
      <c r="A82" s="364">
        <v>4931</v>
      </c>
      <c r="B82" s="698" t="s">
        <v>559</v>
      </c>
      <c r="C82" s="698"/>
      <c r="D82" s="364" t="s">
        <v>505</v>
      </c>
      <c r="E82" s="364" t="s">
        <v>505</v>
      </c>
      <c r="F82" s="364" t="s">
        <v>505</v>
      </c>
      <c r="G82" s="364" t="s">
        <v>505</v>
      </c>
      <c r="H82" s="364" t="s">
        <v>505</v>
      </c>
      <c r="I82" s="364" t="s">
        <v>646</v>
      </c>
      <c r="J82" s="364" t="s">
        <v>646</v>
      </c>
      <c r="K82" s="364" t="s">
        <v>505</v>
      </c>
      <c r="L82" s="364" t="s">
        <v>647</v>
      </c>
    </row>
    <row r="83" spans="1:12">
      <c r="A83" s="364">
        <v>4986</v>
      </c>
      <c r="B83" s="698" t="s">
        <v>573</v>
      </c>
      <c r="C83" s="698"/>
      <c r="D83" s="364" t="s">
        <v>826</v>
      </c>
      <c r="E83" s="364" t="s">
        <v>505</v>
      </c>
      <c r="F83" s="364" t="s">
        <v>505</v>
      </c>
      <c r="G83" s="364" t="s">
        <v>826</v>
      </c>
      <c r="H83" s="364" t="s">
        <v>505</v>
      </c>
      <c r="I83" s="364" t="s">
        <v>505</v>
      </c>
      <c r="J83" s="364" t="s">
        <v>505</v>
      </c>
      <c r="K83" s="364" t="s">
        <v>505</v>
      </c>
      <c r="L83" s="364" t="s">
        <v>826</v>
      </c>
    </row>
    <row r="84" spans="1:12">
      <c r="A84" s="364">
        <v>8001</v>
      </c>
      <c r="B84" s="698" t="s">
        <v>574</v>
      </c>
      <c r="C84" s="698"/>
      <c r="D84" s="364" t="s">
        <v>1287</v>
      </c>
      <c r="E84" s="364" t="s">
        <v>505</v>
      </c>
      <c r="F84" s="364" t="s">
        <v>505</v>
      </c>
      <c r="G84" s="364" t="s">
        <v>1287</v>
      </c>
      <c r="H84" s="364" t="s">
        <v>505</v>
      </c>
      <c r="I84" s="364" t="s">
        <v>505</v>
      </c>
      <c r="J84" s="364" t="s">
        <v>505</v>
      </c>
      <c r="K84" s="364" t="s">
        <v>505</v>
      </c>
      <c r="L84" s="364" t="s">
        <v>1287</v>
      </c>
    </row>
    <row r="85" spans="1:12">
      <c r="A85" s="364">
        <v>8024</v>
      </c>
      <c r="B85" s="698" t="s">
        <v>575</v>
      </c>
      <c r="C85" s="698"/>
      <c r="D85" s="364" t="s">
        <v>576</v>
      </c>
      <c r="E85" s="364" t="s">
        <v>505</v>
      </c>
      <c r="F85" s="364" t="s">
        <v>505</v>
      </c>
      <c r="G85" s="364" t="s">
        <v>576</v>
      </c>
      <c r="H85" s="364" t="s">
        <v>505</v>
      </c>
      <c r="I85" s="364" t="s">
        <v>505</v>
      </c>
      <c r="J85" s="364" t="s">
        <v>505</v>
      </c>
      <c r="K85" s="364" t="s">
        <v>505</v>
      </c>
      <c r="L85" s="364" t="s">
        <v>576</v>
      </c>
    </row>
    <row r="86" spans="1:12">
      <c r="A86" s="364">
        <v>8050</v>
      </c>
      <c r="B86" s="698" t="s">
        <v>577</v>
      </c>
      <c r="C86" s="698"/>
      <c r="D86" s="364" t="s">
        <v>1288</v>
      </c>
      <c r="E86" s="364" t="s">
        <v>505</v>
      </c>
      <c r="F86" s="364" t="s">
        <v>505</v>
      </c>
      <c r="G86" s="364" t="s">
        <v>1288</v>
      </c>
      <c r="H86" s="364" t="s">
        <v>505</v>
      </c>
      <c r="I86" s="364" t="s">
        <v>505</v>
      </c>
      <c r="J86" s="364" t="s">
        <v>505</v>
      </c>
      <c r="K86" s="364" t="s">
        <v>505</v>
      </c>
      <c r="L86" s="364" t="s">
        <v>1288</v>
      </c>
    </row>
    <row r="88" spans="1:12">
      <c r="A88" s="701" t="s">
        <v>181</v>
      </c>
      <c r="B88" s="701"/>
      <c r="C88" s="701"/>
      <c r="D88" s="365" t="s">
        <v>1289</v>
      </c>
      <c r="E88" s="365" t="s">
        <v>1991</v>
      </c>
      <c r="F88" s="365" t="s">
        <v>1779</v>
      </c>
      <c r="G88" s="365" t="s">
        <v>1992</v>
      </c>
      <c r="H88" s="365" t="s">
        <v>1993</v>
      </c>
      <c r="I88" s="365" t="s">
        <v>1290</v>
      </c>
      <c r="J88" s="365" t="s">
        <v>1994</v>
      </c>
      <c r="K88" s="365" t="s">
        <v>1779</v>
      </c>
      <c r="L88" s="365" t="s">
        <v>1995</v>
      </c>
    </row>
  </sheetData>
  <mergeCells count="89">
    <mergeCell ref="A88:C88"/>
    <mergeCell ref="B79:C79"/>
    <mergeCell ref="B80:C80"/>
    <mergeCell ref="B81:C81"/>
    <mergeCell ref="B84:C84"/>
    <mergeCell ref="B82:C82"/>
    <mergeCell ref="B83:C83"/>
    <mergeCell ref="B85:C85"/>
    <mergeCell ref="B86:C86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77:C77"/>
    <mergeCell ref="B78:C78"/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76:C76"/>
    <mergeCell ref="B65:C65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D6:D7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B11:C11"/>
    <mergeCell ref="B12:C12"/>
    <mergeCell ref="B13:C13"/>
    <mergeCell ref="B10:C10"/>
    <mergeCell ref="B14:C1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82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1" max="11" width="11.7109375" customWidth="1"/>
    <col min="12" max="12" width="13.7109375" customWidth="1"/>
  </cols>
  <sheetData>
    <row r="1" spans="1:12">
      <c r="A1" s="362" t="s">
        <v>490</v>
      </c>
    </row>
    <row r="2" spans="1:12">
      <c r="A2" s="362" t="s">
        <v>1777</v>
      </c>
    </row>
    <row r="4" spans="1:12">
      <c r="A4" s="362" t="s">
        <v>491</v>
      </c>
      <c r="C4" s="545" t="s">
        <v>492</v>
      </c>
    </row>
    <row r="6" spans="1:12">
      <c r="D6" s="699" t="s">
        <v>493</v>
      </c>
      <c r="E6" s="699" t="s">
        <v>494</v>
      </c>
      <c r="F6" s="699" t="s">
        <v>495</v>
      </c>
      <c r="G6" s="699" t="s">
        <v>496</v>
      </c>
      <c r="H6" s="699" t="s">
        <v>497</v>
      </c>
      <c r="I6" s="699" t="s">
        <v>498</v>
      </c>
      <c r="J6" s="699" t="s">
        <v>499</v>
      </c>
      <c r="K6" s="699" t="s">
        <v>500</v>
      </c>
      <c r="L6" s="699" t="s">
        <v>501</v>
      </c>
    </row>
    <row r="7" spans="1:12">
      <c r="A7" s="363" t="s">
        <v>502</v>
      </c>
      <c r="D7" s="700"/>
      <c r="E7" s="700"/>
      <c r="F7" s="700"/>
      <c r="G7" s="700"/>
      <c r="H7" s="700"/>
      <c r="I7" s="700"/>
      <c r="J7" s="700"/>
      <c r="K7" s="700"/>
      <c r="L7" s="700"/>
    </row>
    <row r="8" spans="1:12">
      <c r="A8" s="364">
        <v>1</v>
      </c>
      <c r="B8" s="698" t="s">
        <v>503</v>
      </c>
      <c r="C8" s="698"/>
      <c r="D8" s="364" t="s">
        <v>1225</v>
      </c>
      <c r="E8" s="364" t="s">
        <v>1778</v>
      </c>
      <c r="F8" s="364" t="s">
        <v>1779</v>
      </c>
      <c r="G8" s="364" t="s">
        <v>1780</v>
      </c>
      <c r="H8" s="364" t="s">
        <v>1996</v>
      </c>
      <c r="I8" s="364" t="s">
        <v>1997</v>
      </c>
      <c r="J8" s="364" t="s">
        <v>1998</v>
      </c>
      <c r="K8" s="364" t="s">
        <v>1779</v>
      </c>
      <c r="L8" s="364" t="s">
        <v>1999</v>
      </c>
    </row>
    <row r="9" spans="1:12">
      <c r="A9" s="364">
        <v>20</v>
      </c>
      <c r="B9" s="698" t="s">
        <v>504</v>
      </c>
      <c r="C9" s="698"/>
      <c r="D9" s="364" t="s">
        <v>1227</v>
      </c>
      <c r="E9" s="364" t="s">
        <v>1784</v>
      </c>
      <c r="F9" s="364" t="s">
        <v>505</v>
      </c>
      <c r="G9" s="364" t="s">
        <v>1785</v>
      </c>
      <c r="H9" s="364" t="s">
        <v>2000</v>
      </c>
      <c r="I9" s="364" t="s">
        <v>2001</v>
      </c>
      <c r="J9" s="364" t="s">
        <v>2002</v>
      </c>
      <c r="K9" s="364" t="s">
        <v>505</v>
      </c>
      <c r="L9" s="364" t="s">
        <v>2003</v>
      </c>
    </row>
    <row r="10" spans="1:12">
      <c r="A10" s="364">
        <v>31</v>
      </c>
      <c r="B10" s="698" t="s">
        <v>506</v>
      </c>
      <c r="C10" s="698"/>
      <c r="D10" s="364" t="s">
        <v>1229</v>
      </c>
      <c r="E10" s="364" t="s">
        <v>1789</v>
      </c>
      <c r="F10" s="364" t="s">
        <v>505</v>
      </c>
      <c r="G10" s="364" t="s">
        <v>1790</v>
      </c>
      <c r="H10" s="364" t="s">
        <v>1791</v>
      </c>
      <c r="I10" s="364" t="s">
        <v>505</v>
      </c>
      <c r="J10" s="364" t="s">
        <v>1791</v>
      </c>
      <c r="K10" s="364" t="s">
        <v>505</v>
      </c>
      <c r="L10" s="364" t="s">
        <v>2004</v>
      </c>
    </row>
    <row r="11" spans="1:12">
      <c r="A11" s="364">
        <v>40</v>
      </c>
      <c r="B11" s="698" t="s">
        <v>507</v>
      </c>
      <c r="C11" s="698"/>
      <c r="D11" s="364" t="s">
        <v>1231</v>
      </c>
      <c r="E11" s="364" t="s">
        <v>1794</v>
      </c>
      <c r="F11" s="364" t="s">
        <v>505</v>
      </c>
      <c r="G11" s="364" t="s">
        <v>1795</v>
      </c>
      <c r="H11" s="364" t="s">
        <v>2005</v>
      </c>
      <c r="I11" s="364" t="s">
        <v>1291</v>
      </c>
      <c r="J11" s="364" t="s">
        <v>2006</v>
      </c>
      <c r="K11" s="364" t="s">
        <v>505</v>
      </c>
      <c r="L11" s="364" t="s">
        <v>2007</v>
      </c>
    </row>
    <row r="12" spans="1:12">
      <c r="A12" s="364">
        <v>50</v>
      </c>
      <c r="B12" s="698" t="s">
        <v>508</v>
      </c>
      <c r="C12" s="698"/>
      <c r="D12" s="364" t="s">
        <v>1233</v>
      </c>
      <c r="E12" s="364" t="s">
        <v>1799</v>
      </c>
      <c r="F12" s="364" t="s">
        <v>505</v>
      </c>
      <c r="G12" s="364" t="s">
        <v>1800</v>
      </c>
      <c r="H12" s="364" t="s">
        <v>2008</v>
      </c>
      <c r="I12" s="364" t="s">
        <v>2009</v>
      </c>
      <c r="J12" s="364" t="s">
        <v>2010</v>
      </c>
      <c r="K12" s="364" t="s">
        <v>505</v>
      </c>
      <c r="L12" s="364" t="s">
        <v>2011</v>
      </c>
    </row>
    <row r="13" spans="1:12">
      <c r="A13" s="364">
        <v>900</v>
      </c>
      <c r="B13" s="698" t="s">
        <v>509</v>
      </c>
      <c r="C13" s="698"/>
      <c r="D13" s="364" t="s">
        <v>510</v>
      </c>
      <c r="E13" s="364" t="s">
        <v>505</v>
      </c>
      <c r="F13" s="364" t="s">
        <v>505</v>
      </c>
      <c r="G13" s="364" t="s">
        <v>510</v>
      </c>
      <c r="H13" s="364" t="s">
        <v>505</v>
      </c>
      <c r="I13" s="364" t="s">
        <v>505</v>
      </c>
      <c r="J13" s="364" t="s">
        <v>505</v>
      </c>
      <c r="K13" s="364" t="s">
        <v>505</v>
      </c>
      <c r="L13" s="364" t="s">
        <v>510</v>
      </c>
    </row>
    <row r="14" spans="1:12">
      <c r="A14" s="364">
        <v>1022</v>
      </c>
      <c r="B14" s="698" t="s">
        <v>511</v>
      </c>
      <c r="C14" s="698"/>
      <c r="D14" s="364" t="s">
        <v>802</v>
      </c>
      <c r="E14" s="364" t="s">
        <v>1804</v>
      </c>
      <c r="F14" s="364" t="s">
        <v>505</v>
      </c>
      <c r="G14" s="364" t="s">
        <v>1805</v>
      </c>
      <c r="H14" s="364" t="s">
        <v>505</v>
      </c>
      <c r="I14" s="364" t="s">
        <v>505</v>
      </c>
      <c r="J14" s="364" t="s">
        <v>505</v>
      </c>
      <c r="K14" s="364" t="s">
        <v>505</v>
      </c>
      <c r="L14" s="364" t="s">
        <v>1805</v>
      </c>
    </row>
    <row r="15" spans="1:12">
      <c r="A15" s="364">
        <v>1023</v>
      </c>
      <c r="B15" s="698" t="s">
        <v>512</v>
      </c>
      <c r="C15" s="698"/>
      <c r="D15" s="364" t="s">
        <v>1235</v>
      </c>
      <c r="E15" s="364" t="s">
        <v>1808</v>
      </c>
      <c r="F15" s="364" t="s">
        <v>505</v>
      </c>
      <c r="G15" s="364" t="s">
        <v>1809</v>
      </c>
      <c r="H15" s="364" t="s">
        <v>2012</v>
      </c>
      <c r="I15" s="364" t="s">
        <v>505</v>
      </c>
      <c r="J15" s="364" t="s">
        <v>2012</v>
      </c>
      <c r="K15" s="364" t="s">
        <v>505</v>
      </c>
      <c r="L15" s="364" t="s">
        <v>2013</v>
      </c>
    </row>
    <row r="16" spans="1:12">
      <c r="A16" s="364">
        <v>1024</v>
      </c>
      <c r="B16" s="698" t="s">
        <v>513</v>
      </c>
      <c r="C16" s="698"/>
      <c r="D16" s="364" t="s">
        <v>1237</v>
      </c>
      <c r="E16" s="364" t="s">
        <v>1813</v>
      </c>
      <c r="F16" s="364" t="s">
        <v>505</v>
      </c>
      <c r="G16" s="364" t="s">
        <v>1814</v>
      </c>
      <c r="H16" s="364" t="s">
        <v>2014</v>
      </c>
      <c r="I16" s="364" t="s">
        <v>505</v>
      </c>
      <c r="J16" s="364" t="s">
        <v>2014</v>
      </c>
      <c r="K16" s="364" t="s">
        <v>505</v>
      </c>
      <c r="L16" s="364" t="s">
        <v>2015</v>
      </c>
    </row>
    <row r="17" spans="1:12">
      <c r="A17" s="364">
        <v>1025</v>
      </c>
      <c r="B17" s="698" t="s">
        <v>514</v>
      </c>
      <c r="C17" s="698"/>
      <c r="D17" s="364" t="s">
        <v>1239</v>
      </c>
      <c r="E17" s="364" t="s">
        <v>1818</v>
      </c>
      <c r="F17" s="364" t="s">
        <v>505</v>
      </c>
      <c r="G17" s="364" t="s">
        <v>1819</v>
      </c>
      <c r="H17" s="364" t="s">
        <v>1820</v>
      </c>
      <c r="I17" s="364" t="s">
        <v>505</v>
      </c>
      <c r="J17" s="364" t="s">
        <v>1820</v>
      </c>
      <c r="K17" s="364" t="s">
        <v>505</v>
      </c>
      <c r="L17" s="364" t="s">
        <v>1821</v>
      </c>
    </row>
    <row r="18" spans="1:12">
      <c r="A18" s="364">
        <v>1026</v>
      </c>
      <c r="B18" s="698" t="s">
        <v>515</v>
      </c>
      <c r="C18" s="698"/>
      <c r="D18" s="364" t="s">
        <v>1240</v>
      </c>
      <c r="E18" s="364" t="s">
        <v>1822</v>
      </c>
      <c r="F18" s="364" t="s">
        <v>505</v>
      </c>
      <c r="G18" s="364" t="s">
        <v>1823</v>
      </c>
      <c r="H18" s="364" t="s">
        <v>2016</v>
      </c>
      <c r="I18" s="364" t="s">
        <v>505</v>
      </c>
      <c r="J18" s="364" t="s">
        <v>2016</v>
      </c>
      <c r="K18" s="364" t="s">
        <v>505</v>
      </c>
      <c r="L18" s="364" t="s">
        <v>2017</v>
      </c>
    </row>
    <row r="19" spans="1:12">
      <c r="A19" s="364">
        <v>1031</v>
      </c>
      <c r="B19" s="698" t="s">
        <v>516</v>
      </c>
      <c r="C19" s="698"/>
      <c r="D19" s="364" t="s">
        <v>803</v>
      </c>
      <c r="E19" s="364" t="s">
        <v>1827</v>
      </c>
      <c r="F19" s="364" t="s">
        <v>505</v>
      </c>
      <c r="G19" s="364" t="s">
        <v>1828</v>
      </c>
      <c r="H19" s="364" t="s">
        <v>505</v>
      </c>
      <c r="I19" s="364" t="s">
        <v>505</v>
      </c>
      <c r="J19" s="364" t="s">
        <v>505</v>
      </c>
      <c r="K19" s="364" t="s">
        <v>505</v>
      </c>
      <c r="L19" s="364" t="s">
        <v>1828</v>
      </c>
    </row>
    <row r="20" spans="1:12">
      <c r="A20" s="364">
        <v>1101</v>
      </c>
      <c r="B20" s="698" t="s">
        <v>517</v>
      </c>
      <c r="C20" s="698"/>
      <c r="D20" s="364" t="s">
        <v>804</v>
      </c>
      <c r="E20" s="364" t="s">
        <v>1829</v>
      </c>
      <c r="F20" s="364" t="s">
        <v>505</v>
      </c>
      <c r="G20" s="364" t="s">
        <v>1830</v>
      </c>
      <c r="H20" s="364" t="s">
        <v>505</v>
      </c>
      <c r="I20" s="364" t="s">
        <v>505</v>
      </c>
      <c r="J20" s="364" t="s">
        <v>505</v>
      </c>
      <c r="K20" s="364" t="s">
        <v>505</v>
      </c>
      <c r="L20" s="364" t="s">
        <v>1830</v>
      </c>
    </row>
    <row r="21" spans="1:12">
      <c r="A21" s="364">
        <v>1103</v>
      </c>
      <c r="B21" s="698" t="s">
        <v>518</v>
      </c>
      <c r="C21" s="698"/>
      <c r="D21" s="364" t="s">
        <v>1242</v>
      </c>
      <c r="E21" s="364" t="s">
        <v>1831</v>
      </c>
      <c r="F21" s="364" t="s">
        <v>505</v>
      </c>
      <c r="G21" s="364" t="s">
        <v>1832</v>
      </c>
      <c r="H21" s="364" t="s">
        <v>1833</v>
      </c>
      <c r="I21" s="364" t="s">
        <v>1292</v>
      </c>
      <c r="J21" s="364" t="s">
        <v>2018</v>
      </c>
      <c r="K21" s="364" t="s">
        <v>505</v>
      </c>
      <c r="L21" s="364" t="s">
        <v>2019</v>
      </c>
    </row>
    <row r="22" spans="1:12">
      <c r="A22" s="364">
        <v>1121</v>
      </c>
      <c r="B22" s="698" t="s">
        <v>519</v>
      </c>
      <c r="C22" s="698"/>
      <c r="D22" s="364" t="s">
        <v>1245</v>
      </c>
      <c r="E22" s="364" t="s">
        <v>1836</v>
      </c>
      <c r="F22" s="364" t="s">
        <v>505</v>
      </c>
      <c r="G22" s="364" t="s">
        <v>1837</v>
      </c>
      <c r="H22" s="364" t="s">
        <v>2020</v>
      </c>
      <c r="I22" s="364" t="s">
        <v>1293</v>
      </c>
      <c r="J22" s="364" t="s">
        <v>2021</v>
      </c>
      <c r="K22" s="364" t="s">
        <v>505</v>
      </c>
      <c r="L22" s="364" t="s">
        <v>2022</v>
      </c>
    </row>
    <row r="23" spans="1:12">
      <c r="A23" s="364">
        <v>1122</v>
      </c>
      <c r="B23" s="698" t="s">
        <v>520</v>
      </c>
      <c r="C23" s="698"/>
      <c r="D23" s="364" t="s">
        <v>805</v>
      </c>
      <c r="E23" s="364" t="s">
        <v>1841</v>
      </c>
      <c r="F23" s="364" t="s">
        <v>505</v>
      </c>
      <c r="G23" s="364" t="s">
        <v>1842</v>
      </c>
      <c r="H23" s="364" t="s">
        <v>505</v>
      </c>
      <c r="I23" s="364" t="s">
        <v>505</v>
      </c>
      <c r="J23" s="364" t="s">
        <v>505</v>
      </c>
      <c r="K23" s="364" t="s">
        <v>505</v>
      </c>
      <c r="L23" s="364" t="s">
        <v>1842</v>
      </c>
    </row>
    <row r="24" spans="1:12">
      <c r="A24" s="364">
        <v>1124</v>
      </c>
      <c r="B24" s="698" t="s">
        <v>521</v>
      </c>
      <c r="C24" s="698"/>
      <c r="D24" s="364" t="s">
        <v>1247</v>
      </c>
      <c r="E24" s="364" t="s">
        <v>1844</v>
      </c>
      <c r="F24" s="364" t="s">
        <v>505</v>
      </c>
      <c r="G24" s="364" t="s">
        <v>1845</v>
      </c>
      <c r="H24" s="364" t="s">
        <v>2023</v>
      </c>
      <c r="I24" s="364" t="s">
        <v>505</v>
      </c>
      <c r="J24" s="364" t="s">
        <v>2023</v>
      </c>
      <c r="K24" s="364" t="s">
        <v>505</v>
      </c>
      <c r="L24" s="364" t="s">
        <v>2024</v>
      </c>
    </row>
    <row r="25" spans="1:12">
      <c r="A25" s="364">
        <v>1180</v>
      </c>
      <c r="B25" s="698" t="s">
        <v>522</v>
      </c>
      <c r="C25" s="698"/>
      <c r="D25" s="364" t="s">
        <v>523</v>
      </c>
      <c r="E25" s="364" t="s">
        <v>505</v>
      </c>
      <c r="F25" s="364" t="s">
        <v>505</v>
      </c>
      <c r="G25" s="364" t="s">
        <v>523</v>
      </c>
      <c r="H25" s="364" t="s">
        <v>505</v>
      </c>
      <c r="I25" s="364" t="s">
        <v>505</v>
      </c>
      <c r="J25" s="364" t="s">
        <v>505</v>
      </c>
      <c r="K25" s="364" t="s">
        <v>505</v>
      </c>
      <c r="L25" s="364" t="s">
        <v>523</v>
      </c>
    </row>
    <row r="26" spans="1:12">
      <c r="A26" s="364">
        <v>1181</v>
      </c>
      <c r="B26" s="698" t="s">
        <v>524</v>
      </c>
      <c r="C26" s="698"/>
      <c r="D26" s="364" t="s">
        <v>806</v>
      </c>
      <c r="E26" s="364" t="s">
        <v>1847</v>
      </c>
      <c r="F26" s="364" t="s">
        <v>505</v>
      </c>
      <c r="G26" s="364" t="s">
        <v>1848</v>
      </c>
      <c r="H26" s="364" t="s">
        <v>505</v>
      </c>
      <c r="I26" s="364" t="s">
        <v>505</v>
      </c>
      <c r="J26" s="364" t="s">
        <v>505</v>
      </c>
      <c r="K26" s="364" t="s">
        <v>505</v>
      </c>
      <c r="L26" s="364" t="s">
        <v>1848</v>
      </c>
    </row>
    <row r="27" spans="1:12">
      <c r="A27" s="364">
        <v>1182</v>
      </c>
      <c r="B27" s="698" t="s">
        <v>525</v>
      </c>
      <c r="C27" s="698"/>
      <c r="D27" s="364" t="s">
        <v>1251</v>
      </c>
      <c r="E27" s="364" t="s">
        <v>1849</v>
      </c>
      <c r="F27" s="364" t="s">
        <v>505</v>
      </c>
      <c r="G27" s="364" t="s">
        <v>1850</v>
      </c>
      <c r="H27" s="364" t="s">
        <v>505</v>
      </c>
      <c r="I27" s="364" t="s">
        <v>505</v>
      </c>
      <c r="J27" s="364" t="s">
        <v>505</v>
      </c>
      <c r="K27" s="364" t="s">
        <v>505</v>
      </c>
      <c r="L27" s="364" t="s">
        <v>1850</v>
      </c>
    </row>
    <row r="28" spans="1:12">
      <c r="A28" s="364">
        <v>1184</v>
      </c>
      <c r="B28" s="698" t="s">
        <v>526</v>
      </c>
      <c r="C28" s="698"/>
      <c r="D28" s="364" t="s">
        <v>1253</v>
      </c>
      <c r="E28" s="364" t="s">
        <v>1852</v>
      </c>
      <c r="F28" s="364" t="s">
        <v>505</v>
      </c>
      <c r="G28" s="364" t="s">
        <v>1853</v>
      </c>
      <c r="H28" s="364" t="s">
        <v>2025</v>
      </c>
      <c r="I28" s="364" t="s">
        <v>505</v>
      </c>
      <c r="J28" s="364" t="s">
        <v>2025</v>
      </c>
      <c r="K28" s="364" t="s">
        <v>505</v>
      </c>
      <c r="L28" s="364" t="s">
        <v>2026</v>
      </c>
    </row>
    <row r="29" spans="1:12">
      <c r="A29" s="364">
        <v>1186</v>
      </c>
      <c r="B29" s="698" t="s">
        <v>527</v>
      </c>
      <c r="C29" s="698"/>
      <c r="D29" s="364" t="s">
        <v>807</v>
      </c>
      <c r="E29" s="364" t="s">
        <v>1855</v>
      </c>
      <c r="F29" s="364" t="s">
        <v>505</v>
      </c>
      <c r="G29" s="364" t="s">
        <v>1856</v>
      </c>
      <c r="H29" s="364" t="s">
        <v>505</v>
      </c>
      <c r="I29" s="364" t="s">
        <v>505</v>
      </c>
      <c r="J29" s="364" t="s">
        <v>505</v>
      </c>
      <c r="K29" s="364" t="s">
        <v>505</v>
      </c>
      <c r="L29" s="364" t="s">
        <v>1856</v>
      </c>
    </row>
    <row r="30" spans="1:12">
      <c r="A30" s="364">
        <v>1187</v>
      </c>
      <c r="B30" s="698" t="s">
        <v>528</v>
      </c>
      <c r="C30" s="698"/>
      <c r="D30" s="364" t="s">
        <v>1257</v>
      </c>
      <c r="E30" s="364" t="s">
        <v>1258</v>
      </c>
      <c r="F30" s="364" t="s">
        <v>505</v>
      </c>
      <c r="G30" s="364" t="s">
        <v>1259</v>
      </c>
      <c r="H30" s="364" t="s">
        <v>505</v>
      </c>
      <c r="I30" s="364" t="s">
        <v>505</v>
      </c>
      <c r="J30" s="364" t="s">
        <v>505</v>
      </c>
      <c r="K30" s="364" t="s">
        <v>505</v>
      </c>
      <c r="L30" s="364" t="s">
        <v>1259</v>
      </c>
    </row>
    <row r="31" spans="1:12">
      <c r="A31" s="364">
        <v>1188</v>
      </c>
      <c r="B31" s="698" t="s">
        <v>529</v>
      </c>
      <c r="C31" s="698"/>
      <c r="D31" s="364" t="s">
        <v>830</v>
      </c>
      <c r="E31" s="364" t="s">
        <v>1857</v>
      </c>
      <c r="F31" s="364" t="s">
        <v>505</v>
      </c>
      <c r="G31" s="364" t="s">
        <v>1858</v>
      </c>
      <c r="H31" s="364" t="s">
        <v>2027</v>
      </c>
      <c r="I31" s="364" t="s">
        <v>505</v>
      </c>
      <c r="J31" s="364" t="s">
        <v>2027</v>
      </c>
      <c r="K31" s="364" t="s">
        <v>505</v>
      </c>
      <c r="L31" s="364" t="s">
        <v>2028</v>
      </c>
    </row>
    <row r="32" spans="1:12">
      <c r="A32" s="364">
        <v>1190</v>
      </c>
      <c r="B32" s="698" t="s">
        <v>530</v>
      </c>
      <c r="C32" s="698"/>
      <c r="D32" s="364" t="s">
        <v>808</v>
      </c>
      <c r="E32" s="364" t="s">
        <v>1862</v>
      </c>
      <c r="F32" s="364" t="s">
        <v>505</v>
      </c>
      <c r="G32" s="364" t="s">
        <v>1863</v>
      </c>
      <c r="H32" s="364" t="s">
        <v>1864</v>
      </c>
      <c r="I32" s="364" t="s">
        <v>505</v>
      </c>
      <c r="J32" s="364" t="s">
        <v>1864</v>
      </c>
      <c r="K32" s="364" t="s">
        <v>505</v>
      </c>
      <c r="L32" s="364" t="s">
        <v>1865</v>
      </c>
    </row>
    <row r="33" spans="1:12">
      <c r="A33" s="364">
        <v>1500</v>
      </c>
      <c r="B33" s="698" t="s">
        <v>147</v>
      </c>
      <c r="C33" s="698"/>
      <c r="D33" s="364" t="s">
        <v>1261</v>
      </c>
      <c r="E33" s="364" t="s">
        <v>1866</v>
      </c>
      <c r="F33" s="364" t="s">
        <v>505</v>
      </c>
      <c r="G33" s="364" t="s">
        <v>1867</v>
      </c>
      <c r="H33" s="364" t="s">
        <v>2029</v>
      </c>
      <c r="I33" s="364" t="s">
        <v>505</v>
      </c>
      <c r="J33" s="364" t="s">
        <v>2029</v>
      </c>
      <c r="K33" s="364" t="s">
        <v>505</v>
      </c>
      <c r="L33" s="364" t="s">
        <v>2030</v>
      </c>
    </row>
    <row r="34" spans="1:12">
      <c r="A34" s="364">
        <v>3804</v>
      </c>
      <c r="B34" s="698" t="s">
        <v>1871</v>
      </c>
      <c r="C34" s="698"/>
      <c r="D34" s="364" t="s">
        <v>505</v>
      </c>
      <c r="E34" s="364" t="s">
        <v>1872</v>
      </c>
      <c r="F34" s="364" t="s">
        <v>505</v>
      </c>
      <c r="G34" s="364" t="s">
        <v>1872</v>
      </c>
      <c r="H34" s="364" t="s">
        <v>505</v>
      </c>
      <c r="I34" s="364" t="s">
        <v>505</v>
      </c>
      <c r="J34" s="364" t="s">
        <v>505</v>
      </c>
      <c r="K34" s="364" t="s">
        <v>505</v>
      </c>
      <c r="L34" s="364" t="s">
        <v>1872</v>
      </c>
    </row>
    <row r="35" spans="1:12">
      <c r="A35" s="364">
        <v>3812</v>
      </c>
      <c r="B35" s="698" t="s">
        <v>531</v>
      </c>
      <c r="C35" s="698"/>
      <c r="D35" s="364" t="s">
        <v>809</v>
      </c>
      <c r="E35" s="364" t="s">
        <v>1873</v>
      </c>
      <c r="F35" s="364" t="s">
        <v>505</v>
      </c>
      <c r="G35" s="364" t="s">
        <v>1874</v>
      </c>
      <c r="H35" s="364" t="s">
        <v>505</v>
      </c>
      <c r="I35" s="364" t="s">
        <v>505</v>
      </c>
      <c r="J35" s="364" t="s">
        <v>505</v>
      </c>
      <c r="K35" s="364" t="s">
        <v>505</v>
      </c>
      <c r="L35" s="364" t="s">
        <v>1874</v>
      </c>
    </row>
    <row r="36" spans="1:12">
      <c r="A36" s="364">
        <v>3813</v>
      </c>
      <c r="B36" s="698" t="s">
        <v>532</v>
      </c>
      <c r="C36" s="698"/>
      <c r="D36" s="364" t="s">
        <v>1263</v>
      </c>
      <c r="E36" s="364" t="s">
        <v>1876</v>
      </c>
      <c r="F36" s="364" t="s">
        <v>505</v>
      </c>
      <c r="G36" s="364" t="s">
        <v>1877</v>
      </c>
      <c r="H36" s="364" t="s">
        <v>505</v>
      </c>
      <c r="I36" s="364" t="s">
        <v>505</v>
      </c>
      <c r="J36" s="364" t="s">
        <v>505</v>
      </c>
      <c r="K36" s="364" t="s">
        <v>505</v>
      </c>
      <c r="L36" s="364" t="s">
        <v>1877</v>
      </c>
    </row>
    <row r="37" spans="1:12">
      <c r="A37" s="364">
        <v>3814</v>
      </c>
      <c r="B37" s="698" t="s">
        <v>683</v>
      </c>
      <c r="C37" s="698"/>
      <c r="D37" s="364" t="s">
        <v>810</v>
      </c>
      <c r="E37" s="364" t="s">
        <v>1878</v>
      </c>
      <c r="F37" s="364" t="s">
        <v>505</v>
      </c>
      <c r="G37" s="364" t="s">
        <v>1879</v>
      </c>
      <c r="H37" s="364" t="s">
        <v>505</v>
      </c>
      <c r="I37" s="364" t="s">
        <v>505</v>
      </c>
      <c r="J37" s="364" t="s">
        <v>505</v>
      </c>
      <c r="K37" s="364" t="s">
        <v>505</v>
      </c>
      <c r="L37" s="364" t="s">
        <v>1879</v>
      </c>
    </row>
    <row r="38" spans="1:12">
      <c r="A38" s="364">
        <v>3822</v>
      </c>
      <c r="B38" s="698" t="s">
        <v>534</v>
      </c>
      <c r="C38" s="698"/>
      <c r="D38" s="364" t="s">
        <v>684</v>
      </c>
      <c r="E38" s="364" t="s">
        <v>505</v>
      </c>
      <c r="F38" s="364" t="s">
        <v>505</v>
      </c>
      <c r="G38" s="364" t="s">
        <v>684</v>
      </c>
      <c r="H38" s="364" t="s">
        <v>1880</v>
      </c>
      <c r="I38" s="364" t="s">
        <v>505</v>
      </c>
      <c r="J38" s="364" t="s">
        <v>1880</v>
      </c>
      <c r="K38" s="364" t="s">
        <v>505</v>
      </c>
      <c r="L38" s="364" t="s">
        <v>1881</v>
      </c>
    </row>
    <row r="39" spans="1:12">
      <c r="A39" s="364">
        <v>3831</v>
      </c>
      <c r="B39" s="698" t="s">
        <v>535</v>
      </c>
      <c r="C39" s="698"/>
      <c r="D39" s="364" t="s">
        <v>831</v>
      </c>
      <c r="E39" s="364" t="s">
        <v>1882</v>
      </c>
      <c r="F39" s="364" t="s">
        <v>505</v>
      </c>
      <c r="G39" s="364" t="s">
        <v>1883</v>
      </c>
      <c r="H39" s="364" t="s">
        <v>505</v>
      </c>
      <c r="I39" s="364" t="s">
        <v>2031</v>
      </c>
      <c r="J39" s="364" t="s">
        <v>2031</v>
      </c>
      <c r="K39" s="364" t="s">
        <v>505</v>
      </c>
      <c r="L39" s="364" t="s">
        <v>2032</v>
      </c>
    </row>
    <row r="40" spans="1:12">
      <c r="A40" s="364">
        <v>3832</v>
      </c>
      <c r="B40" s="698" t="s">
        <v>536</v>
      </c>
      <c r="C40" s="698"/>
      <c r="D40" s="364" t="s">
        <v>832</v>
      </c>
      <c r="E40" s="364" t="s">
        <v>1885</v>
      </c>
      <c r="F40" s="364" t="s">
        <v>505</v>
      </c>
      <c r="G40" s="364" t="s">
        <v>1886</v>
      </c>
      <c r="H40" s="364" t="s">
        <v>505</v>
      </c>
      <c r="I40" s="364" t="s">
        <v>505</v>
      </c>
      <c r="J40" s="364" t="s">
        <v>505</v>
      </c>
      <c r="K40" s="364" t="s">
        <v>505</v>
      </c>
      <c r="L40" s="364" t="s">
        <v>1886</v>
      </c>
    </row>
    <row r="41" spans="1:12">
      <c r="A41" s="364">
        <v>3833</v>
      </c>
      <c r="B41" s="698" t="s">
        <v>537</v>
      </c>
      <c r="C41" s="698"/>
      <c r="D41" s="364" t="s">
        <v>833</v>
      </c>
      <c r="E41" s="364" t="s">
        <v>1888</v>
      </c>
      <c r="F41" s="364" t="s">
        <v>505</v>
      </c>
      <c r="G41" s="364" t="s">
        <v>1889</v>
      </c>
      <c r="H41" s="364" t="s">
        <v>505</v>
      </c>
      <c r="I41" s="364" t="s">
        <v>505</v>
      </c>
      <c r="J41" s="364" t="s">
        <v>505</v>
      </c>
      <c r="K41" s="364" t="s">
        <v>505</v>
      </c>
      <c r="L41" s="364" t="s">
        <v>1889</v>
      </c>
    </row>
    <row r="42" spans="1:12">
      <c r="A42" s="364">
        <v>3838</v>
      </c>
      <c r="B42" s="698" t="s">
        <v>634</v>
      </c>
      <c r="C42" s="698"/>
      <c r="D42" s="364" t="s">
        <v>811</v>
      </c>
      <c r="E42" s="364" t="s">
        <v>1891</v>
      </c>
      <c r="F42" s="364" t="s">
        <v>505</v>
      </c>
      <c r="G42" s="364" t="s">
        <v>1892</v>
      </c>
      <c r="H42" s="364" t="s">
        <v>505</v>
      </c>
      <c r="I42" s="364" t="s">
        <v>505</v>
      </c>
      <c r="J42" s="364" t="s">
        <v>505</v>
      </c>
      <c r="K42" s="364" t="s">
        <v>505</v>
      </c>
      <c r="L42" s="364" t="s">
        <v>1892</v>
      </c>
    </row>
    <row r="43" spans="1:12">
      <c r="A43" s="364">
        <v>3839</v>
      </c>
      <c r="B43" s="698" t="s">
        <v>635</v>
      </c>
      <c r="C43" s="698"/>
      <c r="D43" s="364" t="s">
        <v>812</v>
      </c>
      <c r="E43" s="364" t="s">
        <v>1893</v>
      </c>
      <c r="F43" s="364" t="s">
        <v>505</v>
      </c>
      <c r="G43" s="364" t="s">
        <v>1894</v>
      </c>
      <c r="H43" s="364" t="s">
        <v>505</v>
      </c>
      <c r="I43" s="364" t="s">
        <v>505</v>
      </c>
      <c r="J43" s="364" t="s">
        <v>505</v>
      </c>
      <c r="K43" s="364" t="s">
        <v>505</v>
      </c>
      <c r="L43" s="364" t="s">
        <v>1894</v>
      </c>
    </row>
    <row r="44" spans="1:12">
      <c r="A44" s="364">
        <v>3841</v>
      </c>
      <c r="B44" s="698" t="s">
        <v>685</v>
      </c>
      <c r="C44" s="698"/>
      <c r="D44" s="364" t="s">
        <v>834</v>
      </c>
      <c r="E44" s="364" t="s">
        <v>1895</v>
      </c>
      <c r="F44" s="364" t="s">
        <v>505</v>
      </c>
      <c r="G44" s="364" t="s">
        <v>1896</v>
      </c>
      <c r="H44" s="364" t="s">
        <v>505</v>
      </c>
      <c r="I44" s="364" t="s">
        <v>505</v>
      </c>
      <c r="J44" s="364" t="s">
        <v>505</v>
      </c>
      <c r="K44" s="364" t="s">
        <v>505</v>
      </c>
      <c r="L44" s="364" t="s">
        <v>1896</v>
      </c>
    </row>
    <row r="45" spans="1:12">
      <c r="A45" s="364">
        <v>3843</v>
      </c>
      <c r="B45" s="698" t="s">
        <v>813</v>
      </c>
      <c r="C45" s="698"/>
      <c r="D45" s="364" t="s">
        <v>814</v>
      </c>
      <c r="E45" s="364" t="s">
        <v>1898</v>
      </c>
      <c r="F45" s="364" t="s">
        <v>505</v>
      </c>
      <c r="G45" s="364" t="s">
        <v>1899</v>
      </c>
      <c r="H45" s="364" t="s">
        <v>505</v>
      </c>
      <c r="I45" s="364" t="s">
        <v>505</v>
      </c>
      <c r="J45" s="364" t="s">
        <v>505</v>
      </c>
      <c r="K45" s="364" t="s">
        <v>505</v>
      </c>
      <c r="L45" s="364" t="s">
        <v>1899</v>
      </c>
    </row>
    <row r="46" spans="1:12">
      <c r="A46" s="364">
        <v>4000</v>
      </c>
      <c r="B46" s="698" t="s">
        <v>538</v>
      </c>
      <c r="C46" s="698"/>
      <c r="D46" s="364" t="s">
        <v>539</v>
      </c>
      <c r="E46" s="364" t="s">
        <v>505</v>
      </c>
      <c r="F46" s="364" t="s">
        <v>505</v>
      </c>
      <c r="G46" s="364" t="s">
        <v>539</v>
      </c>
      <c r="H46" s="364" t="s">
        <v>505</v>
      </c>
      <c r="I46" s="364" t="s">
        <v>505</v>
      </c>
      <c r="J46" s="364" t="s">
        <v>505</v>
      </c>
      <c r="K46" s="364" t="s">
        <v>505</v>
      </c>
      <c r="L46" s="364" t="s">
        <v>539</v>
      </c>
    </row>
    <row r="47" spans="1:12">
      <c r="A47" s="364">
        <v>4001</v>
      </c>
      <c r="B47" s="698" t="s">
        <v>540</v>
      </c>
      <c r="C47" s="698"/>
      <c r="D47" s="364" t="s">
        <v>1269</v>
      </c>
      <c r="E47" s="364" t="s">
        <v>1900</v>
      </c>
      <c r="F47" s="364" t="s">
        <v>505</v>
      </c>
      <c r="G47" s="364" t="s">
        <v>1901</v>
      </c>
      <c r="H47" s="364" t="s">
        <v>505</v>
      </c>
      <c r="I47" s="364" t="s">
        <v>505</v>
      </c>
      <c r="J47" s="364" t="s">
        <v>505</v>
      </c>
      <c r="K47" s="364" t="s">
        <v>505</v>
      </c>
      <c r="L47" s="364" t="s">
        <v>1901</v>
      </c>
    </row>
    <row r="48" spans="1:12">
      <c r="A48" s="364">
        <v>4011</v>
      </c>
      <c r="B48" s="698" t="s">
        <v>541</v>
      </c>
      <c r="C48" s="698"/>
      <c r="D48" s="364" t="s">
        <v>827</v>
      </c>
      <c r="E48" s="364" t="s">
        <v>1903</v>
      </c>
      <c r="F48" s="364" t="s">
        <v>505</v>
      </c>
      <c r="G48" s="364" t="s">
        <v>1904</v>
      </c>
      <c r="H48" s="364" t="s">
        <v>1905</v>
      </c>
      <c r="I48" s="364" t="s">
        <v>505</v>
      </c>
      <c r="J48" s="364" t="s">
        <v>1905</v>
      </c>
      <c r="K48" s="364" t="s">
        <v>505</v>
      </c>
      <c r="L48" s="364" t="s">
        <v>2033</v>
      </c>
    </row>
    <row r="49" spans="1:12">
      <c r="A49" s="364">
        <v>4030</v>
      </c>
      <c r="B49" s="698" t="s">
        <v>542</v>
      </c>
      <c r="C49" s="698"/>
      <c r="D49" s="364" t="s">
        <v>543</v>
      </c>
      <c r="E49" s="364" t="s">
        <v>505</v>
      </c>
      <c r="F49" s="364" t="s">
        <v>505</v>
      </c>
      <c r="G49" s="364" t="s">
        <v>543</v>
      </c>
      <c r="H49" s="364" t="s">
        <v>505</v>
      </c>
      <c r="I49" s="364" t="s">
        <v>505</v>
      </c>
      <c r="J49" s="364" t="s">
        <v>505</v>
      </c>
      <c r="K49" s="364" t="s">
        <v>505</v>
      </c>
      <c r="L49" s="364" t="s">
        <v>543</v>
      </c>
    </row>
    <row r="50" spans="1:12">
      <c r="A50" s="364">
        <v>4050</v>
      </c>
      <c r="B50" s="698" t="s">
        <v>544</v>
      </c>
      <c r="C50" s="698"/>
      <c r="D50" s="364" t="s">
        <v>835</v>
      </c>
      <c r="E50" s="364" t="s">
        <v>1908</v>
      </c>
      <c r="F50" s="364" t="s">
        <v>505</v>
      </c>
      <c r="G50" s="364" t="s">
        <v>1909</v>
      </c>
      <c r="H50" s="364" t="s">
        <v>2034</v>
      </c>
      <c r="I50" s="364" t="s">
        <v>505</v>
      </c>
      <c r="J50" s="364" t="s">
        <v>2034</v>
      </c>
      <c r="K50" s="364" t="s">
        <v>505</v>
      </c>
      <c r="L50" s="364" t="s">
        <v>2035</v>
      </c>
    </row>
    <row r="51" spans="1:12">
      <c r="A51" s="364">
        <v>4051</v>
      </c>
      <c r="B51" s="698" t="s">
        <v>545</v>
      </c>
      <c r="C51" s="698"/>
      <c r="D51" s="364" t="s">
        <v>815</v>
      </c>
      <c r="E51" s="364" t="s">
        <v>1913</v>
      </c>
      <c r="F51" s="364" t="s">
        <v>505</v>
      </c>
      <c r="G51" s="364" t="s">
        <v>1914</v>
      </c>
      <c r="H51" s="364" t="s">
        <v>505</v>
      </c>
      <c r="I51" s="364" t="s">
        <v>505</v>
      </c>
      <c r="J51" s="364" t="s">
        <v>505</v>
      </c>
      <c r="K51" s="364" t="s">
        <v>505</v>
      </c>
      <c r="L51" s="364" t="s">
        <v>1914</v>
      </c>
    </row>
    <row r="52" spans="1:12">
      <c r="A52" s="364">
        <v>4080</v>
      </c>
      <c r="B52" s="698" t="s">
        <v>546</v>
      </c>
      <c r="C52" s="698"/>
      <c r="D52" s="364" t="s">
        <v>547</v>
      </c>
      <c r="E52" s="364" t="s">
        <v>505</v>
      </c>
      <c r="F52" s="364" t="s">
        <v>505</v>
      </c>
      <c r="G52" s="364" t="s">
        <v>547</v>
      </c>
      <c r="H52" s="364" t="s">
        <v>505</v>
      </c>
      <c r="I52" s="364" t="s">
        <v>505</v>
      </c>
      <c r="J52" s="364" t="s">
        <v>505</v>
      </c>
      <c r="K52" s="364" t="s">
        <v>505</v>
      </c>
      <c r="L52" s="364" t="s">
        <v>547</v>
      </c>
    </row>
    <row r="53" spans="1:12">
      <c r="A53" s="364">
        <v>4090</v>
      </c>
      <c r="B53" s="698" t="s">
        <v>548</v>
      </c>
      <c r="C53" s="698"/>
      <c r="D53" s="364" t="s">
        <v>828</v>
      </c>
      <c r="E53" s="364" t="s">
        <v>1915</v>
      </c>
      <c r="F53" s="364" t="s">
        <v>505</v>
      </c>
      <c r="G53" s="364" t="s">
        <v>1916</v>
      </c>
      <c r="H53" s="364" t="s">
        <v>1917</v>
      </c>
      <c r="I53" s="364" t="s">
        <v>505</v>
      </c>
      <c r="J53" s="364" t="s">
        <v>1917</v>
      </c>
      <c r="K53" s="364" t="s">
        <v>505</v>
      </c>
      <c r="L53" s="364" t="s">
        <v>2036</v>
      </c>
    </row>
    <row r="54" spans="1:12">
      <c r="A54" s="364">
        <v>4160</v>
      </c>
      <c r="B54" s="698" t="s">
        <v>549</v>
      </c>
      <c r="C54" s="698"/>
      <c r="D54" s="364" t="s">
        <v>816</v>
      </c>
      <c r="E54" s="364" t="s">
        <v>1920</v>
      </c>
      <c r="F54" s="364" t="s">
        <v>505</v>
      </c>
      <c r="G54" s="364" t="s">
        <v>1921</v>
      </c>
      <c r="H54" s="364" t="s">
        <v>505</v>
      </c>
      <c r="I54" s="364" t="s">
        <v>505</v>
      </c>
      <c r="J54" s="364" t="s">
        <v>505</v>
      </c>
      <c r="K54" s="364" t="s">
        <v>505</v>
      </c>
      <c r="L54" s="364" t="s">
        <v>1921</v>
      </c>
    </row>
    <row r="55" spans="1:12">
      <c r="A55" s="364">
        <v>4170</v>
      </c>
      <c r="B55" s="698" t="s">
        <v>550</v>
      </c>
      <c r="C55" s="698"/>
      <c r="D55" s="364" t="s">
        <v>836</v>
      </c>
      <c r="E55" s="364" t="s">
        <v>1922</v>
      </c>
      <c r="F55" s="364" t="s">
        <v>505</v>
      </c>
      <c r="G55" s="364" t="s">
        <v>1923</v>
      </c>
      <c r="H55" s="364" t="s">
        <v>2037</v>
      </c>
      <c r="I55" s="364" t="s">
        <v>1167</v>
      </c>
      <c r="J55" s="364" t="s">
        <v>2038</v>
      </c>
      <c r="K55" s="364" t="s">
        <v>505</v>
      </c>
      <c r="L55" s="364" t="s">
        <v>2039</v>
      </c>
    </row>
    <row r="56" spans="1:12">
      <c r="A56" s="364">
        <v>4190</v>
      </c>
      <c r="B56" s="698" t="s">
        <v>551</v>
      </c>
      <c r="C56" s="698"/>
      <c r="D56" s="364" t="s">
        <v>817</v>
      </c>
      <c r="E56" s="364" t="s">
        <v>1927</v>
      </c>
      <c r="F56" s="364" t="s">
        <v>505</v>
      </c>
      <c r="G56" s="364" t="s">
        <v>1928</v>
      </c>
      <c r="H56" s="364" t="s">
        <v>505</v>
      </c>
      <c r="I56" s="364" t="s">
        <v>505</v>
      </c>
      <c r="J56" s="364" t="s">
        <v>505</v>
      </c>
      <c r="K56" s="364" t="s">
        <v>505</v>
      </c>
      <c r="L56" s="364" t="s">
        <v>1928</v>
      </c>
    </row>
    <row r="57" spans="1:12">
      <c r="A57" s="364">
        <v>4220</v>
      </c>
      <c r="B57" s="698" t="s">
        <v>552</v>
      </c>
      <c r="C57" s="698"/>
      <c r="D57" s="364" t="s">
        <v>837</v>
      </c>
      <c r="E57" s="364" t="s">
        <v>1929</v>
      </c>
      <c r="F57" s="364" t="s">
        <v>505</v>
      </c>
      <c r="G57" s="364" t="s">
        <v>1930</v>
      </c>
      <c r="H57" s="364" t="s">
        <v>2040</v>
      </c>
      <c r="I57" s="364" t="s">
        <v>505</v>
      </c>
      <c r="J57" s="364" t="s">
        <v>2040</v>
      </c>
      <c r="K57" s="364" t="s">
        <v>505</v>
      </c>
      <c r="L57" s="364" t="s">
        <v>2041</v>
      </c>
    </row>
    <row r="58" spans="1:12">
      <c r="A58" s="364">
        <v>4234</v>
      </c>
      <c r="B58" s="698" t="s">
        <v>553</v>
      </c>
      <c r="C58" s="698"/>
      <c r="D58" s="364" t="s">
        <v>554</v>
      </c>
      <c r="E58" s="364" t="s">
        <v>505</v>
      </c>
      <c r="F58" s="364" t="s">
        <v>505</v>
      </c>
      <c r="G58" s="364" t="s">
        <v>554</v>
      </c>
      <c r="H58" s="364" t="s">
        <v>505</v>
      </c>
      <c r="I58" s="364" t="s">
        <v>505</v>
      </c>
      <c r="J58" s="364" t="s">
        <v>505</v>
      </c>
      <c r="K58" s="364" t="s">
        <v>505</v>
      </c>
      <c r="L58" s="364" t="s">
        <v>554</v>
      </c>
    </row>
    <row r="59" spans="1:12">
      <c r="A59" s="364">
        <v>4270</v>
      </c>
      <c r="B59" s="698" t="s">
        <v>555</v>
      </c>
      <c r="C59" s="698"/>
      <c r="D59" s="364" t="s">
        <v>818</v>
      </c>
      <c r="E59" s="364" t="s">
        <v>1934</v>
      </c>
      <c r="F59" s="364" t="s">
        <v>505</v>
      </c>
      <c r="G59" s="364" t="s">
        <v>1935</v>
      </c>
      <c r="H59" s="364" t="s">
        <v>505</v>
      </c>
      <c r="I59" s="364" t="s">
        <v>505</v>
      </c>
      <c r="J59" s="364" t="s">
        <v>505</v>
      </c>
      <c r="K59" s="364" t="s">
        <v>505</v>
      </c>
      <c r="L59" s="364" t="s">
        <v>1935</v>
      </c>
    </row>
    <row r="60" spans="1:12">
      <c r="A60" s="364">
        <v>4290</v>
      </c>
      <c r="B60" s="698" t="s">
        <v>556</v>
      </c>
      <c r="C60" s="698"/>
      <c r="D60" s="364" t="s">
        <v>557</v>
      </c>
      <c r="E60" s="364" t="s">
        <v>505</v>
      </c>
      <c r="F60" s="364" t="s">
        <v>505</v>
      </c>
      <c r="G60" s="364" t="s">
        <v>557</v>
      </c>
      <c r="H60" s="364" t="s">
        <v>505</v>
      </c>
      <c r="I60" s="364" t="s">
        <v>505</v>
      </c>
      <c r="J60" s="364" t="s">
        <v>505</v>
      </c>
      <c r="K60" s="364" t="s">
        <v>505</v>
      </c>
      <c r="L60" s="364" t="s">
        <v>557</v>
      </c>
    </row>
    <row r="61" spans="1:12">
      <c r="A61" s="364">
        <v>4292</v>
      </c>
      <c r="B61" s="698" t="s">
        <v>558</v>
      </c>
      <c r="C61" s="698"/>
      <c r="D61" s="364" t="s">
        <v>819</v>
      </c>
      <c r="E61" s="364" t="s">
        <v>1937</v>
      </c>
      <c r="F61" s="364" t="s">
        <v>505</v>
      </c>
      <c r="G61" s="364" t="s">
        <v>1938</v>
      </c>
      <c r="H61" s="364" t="s">
        <v>505</v>
      </c>
      <c r="I61" s="364" t="s">
        <v>505</v>
      </c>
      <c r="J61" s="364" t="s">
        <v>505</v>
      </c>
      <c r="K61" s="364" t="s">
        <v>505</v>
      </c>
      <c r="L61" s="364" t="s">
        <v>1938</v>
      </c>
    </row>
    <row r="62" spans="1:12">
      <c r="A62" s="364">
        <v>4293</v>
      </c>
      <c r="B62" s="698" t="s">
        <v>559</v>
      </c>
      <c r="C62" s="698"/>
      <c r="D62" s="364" t="s">
        <v>820</v>
      </c>
      <c r="E62" s="364" t="s">
        <v>1939</v>
      </c>
      <c r="F62" s="364" t="s">
        <v>505</v>
      </c>
      <c r="G62" s="364" t="s">
        <v>1940</v>
      </c>
      <c r="H62" s="364" t="s">
        <v>505</v>
      </c>
      <c r="I62" s="364" t="s">
        <v>505</v>
      </c>
      <c r="J62" s="364" t="s">
        <v>505</v>
      </c>
      <c r="K62" s="364" t="s">
        <v>505</v>
      </c>
      <c r="L62" s="364" t="s">
        <v>1940</v>
      </c>
    </row>
    <row r="63" spans="1:12">
      <c r="A63" s="364">
        <v>4294</v>
      </c>
      <c r="B63" s="698" t="s">
        <v>560</v>
      </c>
      <c r="C63" s="698"/>
      <c r="D63" s="364" t="s">
        <v>821</v>
      </c>
      <c r="E63" s="364" t="s">
        <v>1941</v>
      </c>
      <c r="F63" s="364" t="s">
        <v>505</v>
      </c>
      <c r="G63" s="364" t="s">
        <v>1942</v>
      </c>
      <c r="H63" s="364" t="s">
        <v>505</v>
      </c>
      <c r="I63" s="364" t="s">
        <v>505</v>
      </c>
      <c r="J63" s="364" t="s">
        <v>505</v>
      </c>
      <c r="K63" s="364" t="s">
        <v>505</v>
      </c>
      <c r="L63" s="364" t="s">
        <v>1942</v>
      </c>
    </row>
    <row r="64" spans="1:12">
      <c r="A64" s="364">
        <v>4295</v>
      </c>
      <c r="B64" s="698" t="s">
        <v>561</v>
      </c>
      <c r="C64" s="698"/>
      <c r="D64" s="364" t="s">
        <v>829</v>
      </c>
      <c r="E64" s="364" t="s">
        <v>1944</v>
      </c>
      <c r="F64" s="364" t="s">
        <v>505</v>
      </c>
      <c r="G64" s="364" t="s">
        <v>1945</v>
      </c>
      <c r="H64" s="364" t="s">
        <v>505</v>
      </c>
      <c r="I64" s="364" t="s">
        <v>2042</v>
      </c>
      <c r="J64" s="364" t="s">
        <v>2042</v>
      </c>
      <c r="K64" s="364" t="s">
        <v>505</v>
      </c>
      <c r="L64" s="364" t="s">
        <v>2043</v>
      </c>
    </row>
    <row r="65" spans="1:12">
      <c r="A65" s="364">
        <v>4297</v>
      </c>
      <c r="B65" s="698" t="s">
        <v>1947</v>
      </c>
      <c r="C65" s="698"/>
      <c r="D65" s="364" t="s">
        <v>505</v>
      </c>
      <c r="E65" s="364" t="s">
        <v>1948</v>
      </c>
      <c r="F65" s="364" t="s">
        <v>505</v>
      </c>
      <c r="G65" s="364" t="s">
        <v>1948</v>
      </c>
      <c r="H65" s="364" t="s">
        <v>505</v>
      </c>
      <c r="I65" s="364" t="s">
        <v>505</v>
      </c>
      <c r="J65" s="364" t="s">
        <v>505</v>
      </c>
      <c r="K65" s="364" t="s">
        <v>505</v>
      </c>
      <c r="L65" s="364" t="s">
        <v>1948</v>
      </c>
    </row>
    <row r="66" spans="1:12">
      <c r="A66" s="364">
        <v>4500</v>
      </c>
      <c r="B66" s="698" t="s">
        <v>562</v>
      </c>
      <c r="C66" s="698"/>
      <c r="D66" s="364" t="s">
        <v>1274</v>
      </c>
      <c r="E66" s="364" t="s">
        <v>1949</v>
      </c>
      <c r="F66" s="364" t="s">
        <v>505</v>
      </c>
      <c r="G66" s="364" t="s">
        <v>1950</v>
      </c>
      <c r="H66" s="364" t="s">
        <v>2044</v>
      </c>
      <c r="I66" s="364" t="s">
        <v>1294</v>
      </c>
      <c r="J66" s="364" t="s">
        <v>2045</v>
      </c>
      <c r="K66" s="364" t="s">
        <v>505</v>
      </c>
      <c r="L66" s="364" t="s">
        <v>2046</v>
      </c>
    </row>
    <row r="67" spans="1:12">
      <c r="A67" s="364">
        <v>4501</v>
      </c>
      <c r="B67" s="698" t="s">
        <v>563</v>
      </c>
      <c r="C67" s="698"/>
      <c r="D67" s="364" t="s">
        <v>1276</v>
      </c>
      <c r="E67" s="364" t="s">
        <v>1954</v>
      </c>
      <c r="F67" s="364" t="s">
        <v>505</v>
      </c>
      <c r="G67" s="364" t="s">
        <v>1955</v>
      </c>
      <c r="H67" s="364" t="s">
        <v>2047</v>
      </c>
      <c r="I67" s="364" t="s">
        <v>505</v>
      </c>
      <c r="J67" s="364" t="s">
        <v>2047</v>
      </c>
      <c r="K67" s="364" t="s">
        <v>505</v>
      </c>
      <c r="L67" s="364" t="s">
        <v>2048</v>
      </c>
    </row>
    <row r="68" spans="1:12">
      <c r="A68" s="364">
        <v>4502</v>
      </c>
      <c r="B68" s="698" t="s">
        <v>564</v>
      </c>
      <c r="C68" s="698"/>
      <c r="D68" s="364" t="s">
        <v>838</v>
      </c>
      <c r="E68" s="364" t="s">
        <v>1959</v>
      </c>
      <c r="F68" s="364" t="s">
        <v>505</v>
      </c>
      <c r="G68" s="364" t="s">
        <v>1960</v>
      </c>
      <c r="H68" s="364" t="s">
        <v>2049</v>
      </c>
      <c r="I68" s="364" t="s">
        <v>1171</v>
      </c>
      <c r="J68" s="364" t="s">
        <v>2050</v>
      </c>
      <c r="K68" s="364" t="s">
        <v>505</v>
      </c>
      <c r="L68" s="364" t="s">
        <v>2051</v>
      </c>
    </row>
    <row r="69" spans="1:12">
      <c r="A69" s="364">
        <v>4503</v>
      </c>
      <c r="B69" s="698" t="s">
        <v>565</v>
      </c>
      <c r="C69" s="698"/>
      <c r="D69" s="364" t="s">
        <v>1279</v>
      </c>
      <c r="E69" s="364" t="s">
        <v>1964</v>
      </c>
      <c r="F69" s="364" t="s">
        <v>505</v>
      </c>
      <c r="G69" s="364" t="s">
        <v>1965</v>
      </c>
      <c r="H69" s="364" t="s">
        <v>2052</v>
      </c>
      <c r="I69" s="364" t="s">
        <v>505</v>
      </c>
      <c r="J69" s="364" t="s">
        <v>2052</v>
      </c>
      <c r="K69" s="364" t="s">
        <v>505</v>
      </c>
      <c r="L69" s="364" t="s">
        <v>2053</v>
      </c>
    </row>
    <row r="70" spans="1:12">
      <c r="A70" s="364">
        <v>4504</v>
      </c>
      <c r="B70" s="698" t="s">
        <v>566</v>
      </c>
      <c r="C70" s="698"/>
      <c r="D70" s="364" t="s">
        <v>839</v>
      </c>
      <c r="E70" s="364" t="s">
        <v>1969</v>
      </c>
      <c r="F70" s="364" t="s">
        <v>505</v>
      </c>
      <c r="G70" s="364" t="s">
        <v>1970</v>
      </c>
      <c r="H70" s="364" t="s">
        <v>505</v>
      </c>
      <c r="I70" s="364" t="s">
        <v>505</v>
      </c>
      <c r="J70" s="364" t="s">
        <v>505</v>
      </c>
      <c r="K70" s="364" t="s">
        <v>505</v>
      </c>
      <c r="L70" s="364" t="s">
        <v>1970</v>
      </c>
    </row>
    <row r="71" spans="1:12">
      <c r="A71" s="364">
        <v>4505</v>
      </c>
      <c r="B71" s="698" t="s">
        <v>567</v>
      </c>
      <c r="C71" s="698"/>
      <c r="D71" s="364" t="s">
        <v>1282</v>
      </c>
      <c r="E71" s="364" t="s">
        <v>1972</v>
      </c>
      <c r="F71" s="364" t="s">
        <v>505</v>
      </c>
      <c r="G71" s="364" t="s">
        <v>1973</v>
      </c>
      <c r="H71" s="364" t="s">
        <v>2054</v>
      </c>
      <c r="I71" s="364" t="s">
        <v>1295</v>
      </c>
      <c r="J71" s="364" t="s">
        <v>2055</v>
      </c>
      <c r="K71" s="364" t="s">
        <v>505</v>
      </c>
      <c r="L71" s="364" t="s">
        <v>2056</v>
      </c>
    </row>
    <row r="72" spans="1:12">
      <c r="A72" s="364">
        <v>4506</v>
      </c>
      <c r="B72" s="698" t="s">
        <v>568</v>
      </c>
      <c r="C72" s="698"/>
      <c r="D72" s="364" t="s">
        <v>1284</v>
      </c>
      <c r="E72" s="364" t="s">
        <v>1977</v>
      </c>
      <c r="F72" s="364" t="s">
        <v>505</v>
      </c>
      <c r="G72" s="364" t="s">
        <v>1978</v>
      </c>
      <c r="H72" s="364" t="s">
        <v>505</v>
      </c>
      <c r="I72" s="364" t="s">
        <v>505</v>
      </c>
      <c r="J72" s="364" t="s">
        <v>505</v>
      </c>
      <c r="K72" s="364" t="s">
        <v>505</v>
      </c>
      <c r="L72" s="364" t="s">
        <v>1978</v>
      </c>
    </row>
    <row r="73" spans="1:12">
      <c r="A73" s="364">
        <v>4507</v>
      </c>
      <c r="B73" s="698" t="s">
        <v>569</v>
      </c>
      <c r="C73" s="698"/>
      <c r="D73" s="364" t="s">
        <v>823</v>
      </c>
      <c r="E73" s="364" t="s">
        <v>1980</v>
      </c>
      <c r="F73" s="364" t="s">
        <v>505</v>
      </c>
      <c r="G73" s="364" t="s">
        <v>1981</v>
      </c>
      <c r="H73" s="364" t="s">
        <v>505</v>
      </c>
      <c r="I73" s="364" t="s">
        <v>505</v>
      </c>
      <c r="J73" s="364" t="s">
        <v>505</v>
      </c>
      <c r="K73" s="364" t="s">
        <v>505</v>
      </c>
      <c r="L73" s="364" t="s">
        <v>1981</v>
      </c>
    </row>
    <row r="74" spans="1:12">
      <c r="A74" s="364">
        <v>4509</v>
      </c>
      <c r="B74" s="698" t="s">
        <v>570</v>
      </c>
      <c r="C74" s="698"/>
      <c r="D74" s="364" t="s">
        <v>824</v>
      </c>
      <c r="E74" s="364" t="s">
        <v>1982</v>
      </c>
      <c r="F74" s="364" t="s">
        <v>505</v>
      </c>
      <c r="G74" s="364" t="s">
        <v>1983</v>
      </c>
      <c r="H74" s="364" t="s">
        <v>505</v>
      </c>
      <c r="I74" s="364" t="s">
        <v>505</v>
      </c>
      <c r="J74" s="364" t="s">
        <v>505</v>
      </c>
      <c r="K74" s="364" t="s">
        <v>505</v>
      </c>
      <c r="L74" s="364" t="s">
        <v>1983</v>
      </c>
    </row>
    <row r="75" spans="1:12">
      <c r="A75" s="364">
        <v>4511</v>
      </c>
      <c r="B75" s="698" t="s">
        <v>571</v>
      </c>
      <c r="C75" s="698"/>
      <c r="D75" s="364" t="s">
        <v>1285</v>
      </c>
      <c r="E75" s="364" t="s">
        <v>1984</v>
      </c>
      <c r="F75" s="364" t="s">
        <v>505</v>
      </c>
      <c r="G75" s="364" t="s">
        <v>1985</v>
      </c>
      <c r="H75" s="364" t="s">
        <v>1986</v>
      </c>
      <c r="I75" s="364" t="s">
        <v>1173</v>
      </c>
      <c r="J75" s="364" t="s">
        <v>2057</v>
      </c>
      <c r="K75" s="364" t="s">
        <v>505</v>
      </c>
      <c r="L75" s="364" t="s">
        <v>2058</v>
      </c>
    </row>
    <row r="76" spans="1:12">
      <c r="A76" s="364">
        <v>4512</v>
      </c>
      <c r="B76" s="698" t="s">
        <v>572</v>
      </c>
      <c r="C76" s="698"/>
      <c r="D76" s="364" t="s">
        <v>825</v>
      </c>
      <c r="E76" s="364" t="s">
        <v>1989</v>
      </c>
      <c r="F76" s="364" t="s">
        <v>505</v>
      </c>
      <c r="G76" s="364" t="s">
        <v>1990</v>
      </c>
      <c r="H76" s="364" t="s">
        <v>505</v>
      </c>
      <c r="I76" s="364" t="s">
        <v>505</v>
      </c>
      <c r="J76" s="364" t="s">
        <v>505</v>
      </c>
      <c r="K76" s="364" t="s">
        <v>505</v>
      </c>
      <c r="L76" s="364" t="s">
        <v>1990</v>
      </c>
    </row>
    <row r="77" spans="1:12">
      <c r="A77" s="364">
        <v>4986</v>
      </c>
      <c r="B77" s="698" t="s">
        <v>573</v>
      </c>
      <c r="C77" s="698"/>
      <c r="D77" s="364" t="s">
        <v>826</v>
      </c>
      <c r="E77" s="364" t="s">
        <v>505</v>
      </c>
      <c r="F77" s="364" t="s">
        <v>505</v>
      </c>
      <c r="G77" s="364" t="s">
        <v>826</v>
      </c>
      <c r="H77" s="364" t="s">
        <v>505</v>
      </c>
      <c r="I77" s="364" t="s">
        <v>505</v>
      </c>
      <c r="J77" s="364" t="s">
        <v>505</v>
      </c>
      <c r="K77" s="364" t="s">
        <v>505</v>
      </c>
      <c r="L77" s="364" t="s">
        <v>826</v>
      </c>
    </row>
    <row r="78" spans="1:12">
      <c r="A78" s="364">
        <v>8001</v>
      </c>
      <c r="B78" s="698" t="s">
        <v>574</v>
      </c>
      <c r="C78" s="698"/>
      <c r="D78" s="364" t="s">
        <v>1287</v>
      </c>
      <c r="E78" s="364" t="s">
        <v>505</v>
      </c>
      <c r="F78" s="364" t="s">
        <v>505</v>
      </c>
      <c r="G78" s="364" t="s">
        <v>1287</v>
      </c>
      <c r="H78" s="364" t="s">
        <v>505</v>
      </c>
      <c r="I78" s="364" t="s">
        <v>505</v>
      </c>
      <c r="J78" s="364" t="s">
        <v>505</v>
      </c>
      <c r="K78" s="364" t="s">
        <v>505</v>
      </c>
      <c r="L78" s="364" t="s">
        <v>1287</v>
      </c>
    </row>
    <row r="79" spans="1:12">
      <c r="A79" s="364">
        <v>8024</v>
      </c>
      <c r="B79" s="698" t="s">
        <v>575</v>
      </c>
      <c r="C79" s="698"/>
      <c r="D79" s="364" t="s">
        <v>576</v>
      </c>
      <c r="E79" s="364" t="s">
        <v>505</v>
      </c>
      <c r="F79" s="364" t="s">
        <v>505</v>
      </c>
      <c r="G79" s="364" t="s">
        <v>576</v>
      </c>
      <c r="H79" s="364" t="s">
        <v>505</v>
      </c>
      <c r="I79" s="364" t="s">
        <v>505</v>
      </c>
      <c r="J79" s="364" t="s">
        <v>505</v>
      </c>
      <c r="K79" s="364" t="s">
        <v>505</v>
      </c>
      <c r="L79" s="364" t="s">
        <v>576</v>
      </c>
    </row>
    <row r="80" spans="1:12">
      <c r="A80" s="364">
        <v>8050</v>
      </c>
      <c r="B80" s="698" t="s">
        <v>577</v>
      </c>
      <c r="C80" s="698"/>
      <c r="D80" s="364" t="s">
        <v>1288</v>
      </c>
      <c r="E80" s="364" t="s">
        <v>505</v>
      </c>
      <c r="F80" s="364" t="s">
        <v>505</v>
      </c>
      <c r="G80" s="364" t="s">
        <v>1288</v>
      </c>
      <c r="H80" s="364" t="s">
        <v>505</v>
      </c>
      <c r="I80" s="364" t="s">
        <v>505</v>
      </c>
      <c r="J80" s="364" t="s">
        <v>505</v>
      </c>
      <c r="K80" s="364" t="s">
        <v>505</v>
      </c>
      <c r="L80" s="364" t="s">
        <v>1288</v>
      </c>
    </row>
    <row r="82" spans="1:12">
      <c r="A82" s="701" t="s">
        <v>181</v>
      </c>
      <c r="B82" s="701"/>
      <c r="C82" s="701"/>
      <c r="D82" s="365" t="s">
        <v>1289</v>
      </c>
      <c r="E82" s="365" t="s">
        <v>1991</v>
      </c>
      <c r="F82" s="365" t="s">
        <v>1779</v>
      </c>
      <c r="G82" s="365" t="s">
        <v>1992</v>
      </c>
      <c r="H82" s="365" t="s">
        <v>2059</v>
      </c>
      <c r="I82" s="365" t="s">
        <v>2060</v>
      </c>
      <c r="J82" s="365" t="s">
        <v>2061</v>
      </c>
      <c r="K82" s="365" t="s">
        <v>1779</v>
      </c>
      <c r="L82" s="365" t="s">
        <v>2062</v>
      </c>
    </row>
  </sheetData>
  <mergeCells count="83">
    <mergeCell ref="A82:C82"/>
    <mergeCell ref="B76:C76"/>
    <mergeCell ref="B77:C77"/>
    <mergeCell ref="B78:C78"/>
    <mergeCell ref="B71:C71"/>
    <mergeCell ref="B72:C72"/>
    <mergeCell ref="B73:C73"/>
    <mergeCell ref="B74:C74"/>
    <mergeCell ref="B75:C75"/>
    <mergeCell ref="B79:C79"/>
    <mergeCell ref="B80:C80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B10:C10"/>
    <mergeCell ref="D6:D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82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0" width="11.7109375" customWidth="1"/>
    <col min="11" max="11" width="10.7109375" customWidth="1"/>
    <col min="12" max="12" width="13.7109375" customWidth="1"/>
  </cols>
  <sheetData>
    <row r="1" spans="1:12">
      <c r="A1" s="362" t="s">
        <v>490</v>
      </c>
    </row>
    <row r="2" spans="1:12">
      <c r="A2" s="362" t="s">
        <v>1777</v>
      </c>
    </row>
    <row r="4" spans="1:12">
      <c r="A4" s="362" t="s">
        <v>491</v>
      </c>
      <c r="C4" s="545" t="s">
        <v>492</v>
      </c>
    </row>
    <row r="6" spans="1:12">
      <c r="D6" s="699" t="s">
        <v>493</v>
      </c>
      <c r="E6" s="699" t="s">
        <v>494</v>
      </c>
      <c r="F6" s="699" t="s">
        <v>495</v>
      </c>
      <c r="G6" s="699" t="s">
        <v>496</v>
      </c>
      <c r="H6" s="699" t="s">
        <v>578</v>
      </c>
      <c r="I6" s="699" t="s">
        <v>579</v>
      </c>
      <c r="J6" s="699" t="s">
        <v>580</v>
      </c>
      <c r="K6" s="699" t="s">
        <v>500</v>
      </c>
      <c r="L6" s="699" t="s">
        <v>501</v>
      </c>
    </row>
    <row r="7" spans="1:12">
      <c r="A7" s="363" t="s">
        <v>502</v>
      </c>
      <c r="D7" s="700"/>
      <c r="E7" s="700"/>
      <c r="F7" s="700"/>
      <c r="G7" s="700"/>
      <c r="H7" s="700"/>
      <c r="I7" s="700"/>
      <c r="J7" s="700"/>
      <c r="K7" s="700"/>
      <c r="L7" s="700"/>
    </row>
    <row r="8" spans="1:12">
      <c r="A8" s="364">
        <v>1</v>
      </c>
      <c r="B8" s="698" t="s">
        <v>503</v>
      </c>
      <c r="C8" s="698"/>
      <c r="D8" s="364" t="s">
        <v>1225</v>
      </c>
      <c r="E8" s="364" t="s">
        <v>1778</v>
      </c>
      <c r="F8" s="364" t="s">
        <v>1779</v>
      </c>
      <c r="G8" s="364" t="s">
        <v>1780</v>
      </c>
      <c r="H8" s="364" t="s">
        <v>2063</v>
      </c>
      <c r="I8" s="364" t="s">
        <v>2064</v>
      </c>
      <c r="J8" s="364" t="s">
        <v>2065</v>
      </c>
      <c r="K8" s="364" t="s">
        <v>1779</v>
      </c>
      <c r="L8" s="364" t="s">
        <v>2066</v>
      </c>
    </row>
    <row r="9" spans="1:12">
      <c r="A9" s="364">
        <v>20</v>
      </c>
      <c r="B9" s="698" t="s">
        <v>504</v>
      </c>
      <c r="C9" s="698"/>
      <c r="D9" s="364" t="s">
        <v>1227</v>
      </c>
      <c r="E9" s="364" t="s">
        <v>1784</v>
      </c>
      <c r="F9" s="364" t="s">
        <v>505</v>
      </c>
      <c r="G9" s="364" t="s">
        <v>1785</v>
      </c>
      <c r="H9" s="364" t="s">
        <v>2067</v>
      </c>
      <c r="I9" s="364" t="s">
        <v>2068</v>
      </c>
      <c r="J9" s="364" t="s">
        <v>2069</v>
      </c>
      <c r="K9" s="364" t="s">
        <v>505</v>
      </c>
      <c r="L9" s="364" t="s">
        <v>2070</v>
      </c>
    </row>
    <row r="10" spans="1:12">
      <c r="A10" s="364">
        <v>31</v>
      </c>
      <c r="B10" s="698" t="s">
        <v>506</v>
      </c>
      <c r="C10" s="698"/>
      <c r="D10" s="364" t="s">
        <v>1229</v>
      </c>
      <c r="E10" s="364" t="s">
        <v>1789</v>
      </c>
      <c r="F10" s="364" t="s">
        <v>505</v>
      </c>
      <c r="G10" s="364" t="s">
        <v>1790</v>
      </c>
      <c r="H10" s="364" t="s">
        <v>2071</v>
      </c>
      <c r="I10" s="364" t="s">
        <v>1296</v>
      </c>
      <c r="J10" s="364" t="s">
        <v>2072</v>
      </c>
      <c r="K10" s="364" t="s">
        <v>505</v>
      </c>
      <c r="L10" s="364" t="s">
        <v>2073</v>
      </c>
    </row>
    <row r="11" spans="1:12">
      <c r="A11" s="364">
        <v>40</v>
      </c>
      <c r="B11" s="698" t="s">
        <v>507</v>
      </c>
      <c r="C11" s="698"/>
      <c r="D11" s="364" t="s">
        <v>1231</v>
      </c>
      <c r="E11" s="364" t="s">
        <v>1794</v>
      </c>
      <c r="F11" s="364" t="s">
        <v>505</v>
      </c>
      <c r="G11" s="364" t="s">
        <v>1795</v>
      </c>
      <c r="H11" s="364" t="s">
        <v>2074</v>
      </c>
      <c r="I11" s="364" t="s">
        <v>2075</v>
      </c>
      <c r="J11" s="364" t="s">
        <v>2076</v>
      </c>
      <c r="K11" s="364" t="s">
        <v>505</v>
      </c>
      <c r="L11" s="364" t="s">
        <v>2077</v>
      </c>
    </row>
    <row r="12" spans="1:12">
      <c r="A12" s="364">
        <v>50</v>
      </c>
      <c r="B12" s="698" t="s">
        <v>508</v>
      </c>
      <c r="C12" s="698"/>
      <c r="D12" s="364" t="s">
        <v>1233</v>
      </c>
      <c r="E12" s="364" t="s">
        <v>1799</v>
      </c>
      <c r="F12" s="364" t="s">
        <v>505</v>
      </c>
      <c r="G12" s="364" t="s">
        <v>1800</v>
      </c>
      <c r="H12" s="364" t="s">
        <v>2078</v>
      </c>
      <c r="I12" s="364" t="s">
        <v>1297</v>
      </c>
      <c r="J12" s="364" t="s">
        <v>2079</v>
      </c>
      <c r="K12" s="364" t="s">
        <v>505</v>
      </c>
      <c r="L12" s="364" t="s">
        <v>2080</v>
      </c>
    </row>
    <row r="13" spans="1:12">
      <c r="A13" s="364">
        <v>900</v>
      </c>
      <c r="B13" s="698" t="s">
        <v>509</v>
      </c>
      <c r="C13" s="698"/>
      <c r="D13" s="364" t="s">
        <v>510</v>
      </c>
      <c r="E13" s="364" t="s">
        <v>505</v>
      </c>
      <c r="F13" s="364" t="s">
        <v>505</v>
      </c>
      <c r="G13" s="364" t="s">
        <v>510</v>
      </c>
      <c r="H13" s="364" t="s">
        <v>505</v>
      </c>
      <c r="I13" s="364" t="s">
        <v>505</v>
      </c>
      <c r="J13" s="364" t="s">
        <v>505</v>
      </c>
      <c r="K13" s="364" t="s">
        <v>505</v>
      </c>
      <c r="L13" s="364" t="s">
        <v>510</v>
      </c>
    </row>
    <row r="14" spans="1:12">
      <c r="A14" s="364">
        <v>1022</v>
      </c>
      <c r="B14" s="698" t="s">
        <v>511</v>
      </c>
      <c r="C14" s="698"/>
      <c r="D14" s="364" t="s">
        <v>802</v>
      </c>
      <c r="E14" s="364" t="s">
        <v>1804</v>
      </c>
      <c r="F14" s="364" t="s">
        <v>505</v>
      </c>
      <c r="G14" s="364" t="s">
        <v>1805</v>
      </c>
      <c r="H14" s="364" t="s">
        <v>505</v>
      </c>
      <c r="I14" s="364" t="s">
        <v>505</v>
      </c>
      <c r="J14" s="364" t="s">
        <v>505</v>
      </c>
      <c r="K14" s="364" t="s">
        <v>505</v>
      </c>
      <c r="L14" s="364" t="s">
        <v>1805</v>
      </c>
    </row>
    <row r="15" spans="1:12">
      <c r="A15" s="364">
        <v>1023</v>
      </c>
      <c r="B15" s="698" t="s">
        <v>512</v>
      </c>
      <c r="C15" s="698"/>
      <c r="D15" s="364" t="s">
        <v>1235</v>
      </c>
      <c r="E15" s="364" t="s">
        <v>1808</v>
      </c>
      <c r="F15" s="364" t="s">
        <v>505</v>
      </c>
      <c r="G15" s="364" t="s">
        <v>1809</v>
      </c>
      <c r="H15" s="364" t="s">
        <v>2081</v>
      </c>
      <c r="I15" s="364" t="s">
        <v>1298</v>
      </c>
      <c r="J15" s="364" t="s">
        <v>2082</v>
      </c>
      <c r="K15" s="364" t="s">
        <v>505</v>
      </c>
      <c r="L15" s="364" t="s">
        <v>2083</v>
      </c>
    </row>
    <row r="16" spans="1:12">
      <c r="A16" s="364">
        <v>1024</v>
      </c>
      <c r="B16" s="698" t="s">
        <v>513</v>
      </c>
      <c r="C16" s="698"/>
      <c r="D16" s="364" t="s">
        <v>1237</v>
      </c>
      <c r="E16" s="364" t="s">
        <v>1813</v>
      </c>
      <c r="F16" s="364" t="s">
        <v>505</v>
      </c>
      <c r="G16" s="364" t="s">
        <v>1814</v>
      </c>
      <c r="H16" s="364" t="s">
        <v>2014</v>
      </c>
      <c r="I16" s="364" t="s">
        <v>1238</v>
      </c>
      <c r="J16" s="364" t="s">
        <v>2084</v>
      </c>
      <c r="K16" s="364" t="s">
        <v>505</v>
      </c>
      <c r="L16" s="364" t="s">
        <v>2085</v>
      </c>
    </row>
    <row r="17" spans="1:12">
      <c r="A17" s="364">
        <v>1025</v>
      </c>
      <c r="B17" s="698" t="s">
        <v>514</v>
      </c>
      <c r="C17" s="698"/>
      <c r="D17" s="364" t="s">
        <v>1239</v>
      </c>
      <c r="E17" s="364" t="s">
        <v>1818</v>
      </c>
      <c r="F17" s="364" t="s">
        <v>505</v>
      </c>
      <c r="G17" s="364" t="s">
        <v>1819</v>
      </c>
      <c r="H17" s="364" t="s">
        <v>1820</v>
      </c>
      <c r="I17" s="364" t="s">
        <v>505</v>
      </c>
      <c r="J17" s="364" t="s">
        <v>1820</v>
      </c>
      <c r="K17" s="364" t="s">
        <v>505</v>
      </c>
      <c r="L17" s="364" t="s">
        <v>1821</v>
      </c>
    </row>
    <row r="18" spans="1:12">
      <c r="A18" s="364">
        <v>1026</v>
      </c>
      <c r="B18" s="698" t="s">
        <v>515</v>
      </c>
      <c r="C18" s="698"/>
      <c r="D18" s="364" t="s">
        <v>1240</v>
      </c>
      <c r="E18" s="364" t="s">
        <v>1822</v>
      </c>
      <c r="F18" s="364" t="s">
        <v>505</v>
      </c>
      <c r="G18" s="364" t="s">
        <v>1823</v>
      </c>
      <c r="H18" s="364" t="s">
        <v>2016</v>
      </c>
      <c r="I18" s="364" t="s">
        <v>1299</v>
      </c>
      <c r="J18" s="364" t="s">
        <v>2086</v>
      </c>
      <c r="K18" s="364" t="s">
        <v>505</v>
      </c>
      <c r="L18" s="364" t="s">
        <v>2087</v>
      </c>
    </row>
    <row r="19" spans="1:12">
      <c r="A19" s="364">
        <v>1031</v>
      </c>
      <c r="B19" s="698" t="s">
        <v>516</v>
      </c>
      <c r="C19" s="698"/>
      <c r="D19" s="364" t="s">
        <v>803</v>
      </c>
      <c r="E19" s="364" t="s">
        <v>1827</v>
      </c>
      <c r="F19" s="364" t="s">
        <v>505</v>
      </c>
      <c r="G19" s="364" t="s">
        <v>1828</v>
      </c>
      <c r="H19" s="364" t="s">
        <v>505</v>
      </c>
      <c r="I19" s="364" t="s">
        <v>505</v>
      </c>
      <c r="J19" s="364" t="s">
        <v>505</v>
      </c>
      <c r="K19" s="364" t="s">
        <v>505</v>
      </c>
      <c r="L19" s="364" t="s">
        <v>1828</v>
      </c>
    </row>
    <row r="20" spans="1:12">
      <c r="A20" s="364">
        <v>1101</v>
      </c>
      <c r="B20" s="698" t="s">
        <v>517</v>
      </c>
      <c r="C20" s="698"/>
      <c r="D20" s="364" t="s">
        <v>804</v>
      </c>
      <c r="E20" s="364" t="s">
        <v>1829</v>
      </c>
      <c r="F20" s="364" t="s">
        <v>505</v>
      </c>
      <c r="G20" s="364" t="s">
        <v>1830</v>
      </c>
      <c r="H20" s="364" t="s">
        <v>505</v>
      </c>
      <c r="I20" s="364" t="s">
        <v>505</v>
      </c>
      <c r="J20" s="364" t="s">
        <v>505</v>
      </c>
      <c r="K20" s="364" t="s">
        <v>505</v>
      </c>
      <c r="L20" s="364" t="s">
        <v>1830</v>
      </c>
    </row>
    <row r="21" spans="1:12">
      <c r="A21" s="364">
        <v>1103</v>
      </c>
      <c r="B21" s="698" t="s">
        <v>518</v>
      </c>
      <c r="C21" s="698"/>
      <c r="D21" s="364" t="s">
        <v>1242</v>
      </c>
      <c r="E21" s="364" t="s">
        <v>1831</v>
      </c>
      <c r="F21" s="364" t="s">
        <v>505</v>
      </c>
      <c r="G21" s="364" t="s">
        <v>1832</v>
      </c>
      <c r="H21" s="364" t="s">
        <v>1243</v>
      </c>
      <c r="I21" s="364" t="s">
        <v>1300</v>
      </c>
      <c r="J21" s="364" t="s">
        <v>2088</v>
      </c>
      <c r="K21" s="364" t="s">
        <v>505</v>
      </c>
      <c r="L21" s="364" t="s">
        <v>2089</v>
      </c>
    </row>
    <row r="22" spans="1:12">
      <c r="A22" s="364">
        <v>1121</v>
      </c>
      <c r="B22" s="698" t="s">
        <v>519</v>
      </c>
      <c r="C22" s="698"/>
      <c r="D22" s="364" t="s">
        <v>1245</v>
      </c>
      <c r="E22" s="364" t="s">
        <v>1836</v>
      </c>
      <c r="F22" s="364" t="s">
        <v>505</v>
      </c>
      <c r="G22" s="364" t="s">
        <v>1837</v>
      </c>
      <c r="H22" s="364" t="s">
        <v>2090</v>
      </c>
      <c r="I22" s="364" t="s">
        <v>2091</v>
      </c>
      <c r="J22" s="364" t="s">
        <v>2092</v>
      </c>
      <c r="K22" s="364" t="s">
        <v>505</v>
      </c>
      <c r="L22" s="364" t="s">
        <v>2093</v>
      </c>
    </row>
    <row r="23" spans="1:12">
      <c r="A23" s="364">
        <v>1122</v>
      </c>
      <c r="B23" s="698" t="s">
        <v>520</v>
      </c>
      <c r="C23" s="698"/>
      <c r="D23" s="364" t="s">
        <v>805</v>
      </c>
      <c r="E23" s="364" t="s">
        <v>1841</v>
      </c>
      <c r="F23" s="364" t="s">
        <v>505</v>
      </c>
      <c r="G23" s="364" t="s">
        <v>1842</v>
      </c>
      <c r="H23" s="364" t="s">
        <v>505</v>
      </c>
      <c r="I23" s="364" t="s">
        <v>505</v>
      </c>
      <c r="J23" s="364" t="s">
        <v>505</v>
      </c>
      <c r="K23" s="364" t="s">
        <v>505</v>
      </c>
      <c r="L23" s="364" t="s">
        <v>1842</v>
      </c>
    </row>
    <row r="24" spans="1:12">
      <c r="A24" s="364">
        <v>1124</v>
      </c>
      <c r="B24" s="698" t="s">
        <v>521</v>
      </c>
      <c r="C24" s="698"/>
      <c r="D24" s="364" t="s">
        <v>1247</v>
      </c>
      <c r="E24" s="364" t="s">
        <v>1844</v>
      </c>
      <c r="F24" s="364" t="s">
        <v>505</v>
      </c>
      <c r="G24" s="364" t="s">
        <v>1845</v>
      </c>
      <c r="H24" s="364" t="s">
        <v>2094</v>
      </c>
      <c r="I24" s="364" t="s">
        <v>1301</v>
      </c>
      <c r="J24" s="364" t="s">
        <v>2023</v>
      </c>
      <c r="K24" s="364" t="s">
        <v>505</v>
      </c>
      <c r="L24" s="364" t="s">
        <v>2024</v>
      </c>
    </row>
    <row r="25" spans="1:12">
      <c r="A25" s="364">
        <v>1180</v>
      </c>
      <c r="B25" s="698" t="s">
        <v>522</v>
      </c>
      <c r="C25" s="698"/>
      <c r="D25" s="364" t="s">
        <v>523</v>
      </c>
      <c r="E25" s="364" t="s">
        <v>505</v>
      </c>
      <c r="F25" s="364" t="s">
        <v>505</v>
      </c>
      <c r="G25" s="364" t="s">
        <v>523</v>
      </c>
      <c r="H25" s="364" t="s">
        <v>505</v>
      </c>
      <c r="I25" s="364" t="s">
        <v>505</v>
      </c>
      <c r="J25" s="364" t="s">
        <v>505</v>
      </c>
      <c r="K25" s="364" t="s">
        <v>505</v>
      </c>
      <c r="L25" s="364" t="s">
        <v>523</v>
      </c>
    </row>
    <row r="26" spans="1:12">
      <c r="A26" s="364">
        <v>1181</v>
      </c>
      <c r="B26" s="698" t="s">
        <v>524</v>
      </c>
      <c r="C26" s="698"/>
      <c r="D26" s="364" t="s">
        <v>806</v>
      </c>
      <c r="E26" s="364" t="s">
        <v>1847</v>
      </c>
      <c r="F26" s="364" t="s">
        <v>505</v>
      </c>
      <c r="G26" s="364" t="s">
        <v>1848</v>
      </c>
      <c r="H26" s="364" t="s">
        <v>505</v>
      </c>
      <c r="I26" s="364" t="s">
        <v>505</v>
      </c>
      <c r="J26" s="364" t="s">
        <v>505</v>
      </c>
      <c r="K26" s="364" t="s">
        <v>505</v>
      </c>
      <c r="L26" s="364" t="s">
        <v>1848</v>
      </c>
    </row>
    <row r="27" spans="1:12">
      <c r="A27" s="364">
        <v>1182</v>
      </c>
      <c r="B27" s="698" t="s">
        <v>525</v>
      </c>
      <c r="C27" s="698"/>
      <c r="D27" s="364" t="s">
        <v>1251</v>
      </c>
      <c r="E27" s="364" t="s">
        <v>1849</v>
      </c>
      <c r="F27" s="364" t="s">
        <v>505</v>
      </c>
      <c r="G27" s="364" t="s">
        <v>1850</v>
      </c>
      <c r="H27" s="364" t="s">
        <v>505</v>
      </c>
      <c r="I27" s="364" t="s">
        <v>505</v>
      </c>
      <c r="J27" s="364" t="s">
        <v>505</v>
      </c>
      <c r="K27" s="364" t="s">
        <v>505</v>
      </c>
      <c r="L27" s="364" t="s">
        <v>1850</v>
      </c>
    </row>
    <row r="28" spans="1:12">
      <c r="A28" s="364">
        <v>1184</v>
      </c>
      <c r="B28" s="698" t="s">
        <v>526</v>
      </c>
      <c r="C28" s="698"/>
      <c r="D28" s="364" t="s">
        <v>1253</v>
      </c>
      <c r="E28" s="364" t="s">
        <v>1852</v>
      </c>
      <c r="F28" s="364" t="s">
        <v>505</v>
      </c>
      <c r="G28" s="364" t="s">
        <v>1853</v>
      </c>
      <c r="H28" s="364" t="s">
        <v>2095</v>
      </c>
      <c r="I28" s="364" t="s">
        <v>1302</v>
      </c>
      <c r="J28" s="364" t="s">
        <v>2096</v>
      </c>
      <c r="K28" s="364" t="s">
        <v>505</v>
      </c>
      <c r="L28" s="364" t="s">
        <v>2097</v>
      </c>
    </row>
    <row r="29" spans="1:12">
      <c r="A29" s="364">
        <v>1186</v>
      </c>
      <c r="B29" s="698" t="s">
        <v>527</v>
      </c>
      <c r="C29" s="698"/>
      <c r="D29" s="364" t="s">
        <v>807</v>
      </c>
      <c r="E29" s="364" t="s">
        <v>1855</v>
      </c>
      <c r="F29" s="364" t="s">
        <v>505</v>
      </c>
      <c r="G29" s="364" t="s">
        <v>1856</v>
      </c>
      <c r="H29" s="364" t="s">
        <v>505</v>
      </c>
      <c r="I29" s="364" t="s">
        <v>505</v>
      </c>
      <c r="J29" s="364" t="s">
        <v>505</v>
      </c>
      <c r="K29" s="364" t="s">
        <v>505</v>
      </c>
      <c r="L29" s="364" t="s">
        <v>1856</v>
      </c>
    </row>
    <row r="30" spans="1:12">
      <c r="A30" s="364">
        <v>1187</v>
      </c>
      <c r="B30" s="698" t="s">
        <v>528</v>
      </c>
      <c r="C30" s="698"/>
      <c r="D30" s="364" t="s">
        <v>1257</v>
      </c>
      <c r="E30" s="364" t="s">
        <v>1258</v>
      </c>
      <c r="F30" s="364" t="s">
        <v>505</v>
      </c>
      <c r="G30" s="364" t="s">
        <v>1259</v>
      </c>
      <c r="H30" s="364" t="s">
        <v>505</v>
      </c>
      <c r="I30" s="364" t="s">
        <v>505</v>
      </c>
      <c r="J30" s="364" t="s">
        <v>505</v>
      </c>
      <c r="K30" s="364" t="s">
        <v>505</v>
      </c>
      <c r="L30" s="364" t="s">
        <v>1259</v>
      </c>
    </row>
    <row r="31" spans="1:12">
      <c r="A31" s="364">
        <v>1188</v>
      </c>
      <c r="B31" s="698" t="s">
        <v>529</v>
      </c>
      <c r="C31" s="698"/>
      <c r="D31" s="364" t="s">
        <v>830</v>
      </c>
      <c r="E31" s="364" t="s">
        <v>1857</v>
      </c>
      <c r="F31" s="364" t="s">
        <v>505</v>
      </c>
      <c r="G31" s="364" t="s">
        <v>1858</v>
      </c>
      <c r="H31" s="364" t="s">
        <v>2098</v>
      </c>
      <c r="I31" s="364" t="s">
        <v>1303</v>
      </c>
      <c r="J31" s="364" t="s">
        <v>2099</v>
      </c>
      <c r="K31" s="364" t="s">
        <v>505</v>
      </c>
      <c r="L31" s="364" t="s">
        <v>2100</v>
      </c>
    </row>
    <row r="32" spans="1:12">
      <c r="A32" s="364">
        <v>1190</v>
      </c>
      <c r="B32" s="698" t="s">
        <v>530</v>
      </c>
      <c r="C32" s="698"/>
      <c r="D32" s="364" t="s">
        <v>808</v>
      </c>
      <c r="E32" s="364" t="s">
        <v>1862</v>
      </c>
      <c r="F32" s="364" t="s">
        <v>505</v>
      </c>
      <c r="G32" s="364" t="s">
        <v>1863</v>
      </c>
      <c r="H32" s="364" t="s">
        <v>505</v>
      </c>
      <c r="I32" s="364" t="s">
        <v>505</v>
      </c>
      <c r="J32" s="364" t="s">
        <v>505</v>
      </c>
      <c r="K32" s="364" t="s">
        <v>505</v>
      </c>
      <c r="L32" s="364" t="s">
        <v>1863</v>
      </c>
    </row>
    <row r="33" spans="1:12">
      <c r="A33" s="364">
        <v>1500</v>
      </c>
      <c r="B33" s="698" t="s">
        <v>147</v>
      </c>
      <c r="C33" s="698"/>
      <c r="D33" s="364" t="s">
        <v>1261</v>
      </c>
      <c r="E33" s="364" t="s">
        <v>1866</v>
      </c>
      <c r="F33" s="364" t="s">
        <v>505</v>
      </c>
      <c r="G33" s="364" t="s">
        <v>1867</v>
      </c>
      <c r="H33" s="364" t="s">
        <v>2101</v>
      </c>
      <c r="I33" s="364" t="s">
        <v>1262</v>
      </c>
      <c r="J33" s="364" t="s">
        <v>2102</v>
      </c>
      <c r="K33" s="364" t="s">
        <v>505</v>
      </c>
      <c r="L33" s="364" t="s">
        <v>2103</v>
      </c>
    </row>
    <row r="34" spans="1:12">
      <c r="A34" s="364">
        <v>3804</v>
      </c>
      <c r="B34" s="698" t="s">
        <v>1871</v>
      </c>
      <c r="C34" s="698"/>
      <c r="D34" s="364" t="s">
        <v>505</v>
      </c>
      <c r="E34" s="364" t="s">
        <v>1872</v>
      </c>
      <c r="F34" s="364" t="s">
        <v>505</v>
      </c>
      <c r="G34" s="364" t="s">
        <v>1872</v>
      </c>
      <c r="H34" s="364" t="s">
        <v>505</v>
      </c>
      <c r="I34" s="364" t="s">
        <v>505</v>
      </c>
      <c r="J34" s="364" t="s">
        <v>505</v>
      </c>
      <c r="K34" s="364" t="s">
        <v>505</v>
      </c>
      <c r="L34" s="364" t="s">
        <v>1872</v>
      </c>
    </row>
    <row r="35" spans="1:12">
      <c r="A35" s="364">
        <v>3812</v>
      </c>
      <c r="B35" s="698" t="s">
        <v>531</v>
      </c>
      <c r="C35" s="698"/>
      <c r="D35" s="364" t="s">
        <v>809</v>
      </c>
      <c r="E35" s="364" t="s">
        <v>1873</v>
      </c>
      <c r="F35" s="364" t="s">
        <v>505</v>
      </c>
      <c r="G35" s="364" t="s">
        <v>1874</v>
      </c>
      <c r="H35" s="364" t="s">
        <v>505</v>
      </c>
      <c r="I35" s="364" t="s">
        <v>505</v>
      </c>
      <c r="J35" s="364" t="s">
        <v>505</v>
      </c>
      <c r="K35" s="364" t="s">
        <v>505</v>
      </c>
      <c r="L35" s="364" t="s">
        <v>1874</v>
      </c>
    </row>
    <row r="36" spans="1:12">
      <c r="A36" s="364">
        <v>3813</v>
      </c>
      <c r="B36" s="698" t="s">
        <v>532</v>
      </c>
      <c r="C36" s="698"/>
      <c r="D36" s="364" t="s">
        <v>1263</v>
      </c>
      <c r="E36" s="364" t="s">
        <v>1876</v>
      </c>
      <c r="F36" s="364" t="s">
        <v>505</v>
      </c>
      <c r="G36" s="364" t="s">
        <v>1877</v>
      </c>
      <c r="H36" s="364" t="s">
        <v>505</v>
      </c>
      <c r="I36" s="364" t="s">
        <v>505</v>
      </c>
      <c r="J36" s="364" t="s">
        <v>505</v>
      </c>
      <c r="K36" s="364" t="s">
        <v>505</v>
      </c>
      <c r="L36" s="364" t="s">
        <v>1877</v>
      </c>
    </row>
    <row r="37" spans="1:12">
      <c r="A37" s="364">
        <v>3814</v>
      </c>
      <c r="B37" s="698" t="s">
        <v>683</v>
      </c>
      <c r="C37" s="698"/>
      <c r="D37" s="364" t="s">
        <v>810</v>
      </c>
      <c r="E37" s="364" t="s">
        <v>1878</v>
      </c>
      <c r="F37" s="364" t="s">
        <v>505</v>
      </c>
      <c r="G37" s="364" t="s">
        <v>1879</v>
      </c>
      <c r="H37" s="364" t="s">
        <v>505</v>
      </c>
      <c r="I37" s="364" t="s">
        <v>505</v>
      </c>
      <c r="J37" s="364" t="s">
        <v>505</v>
      </c>
      <c r="K37" s="364" t="s">
        <v>505</v>
      </c>
      <c r="L37" s="364" t="s">
        <v>1879</v>
      </c>
    </row>
    <row r="38" spans="1:12">
      <c r="A38" s="364">
        <v>3822</v>
      </c>
      <c r="B38" s="698" t="s">
        <v>534</v>
      </c>
      <c r="C38" s="698"/>
      <c r="D38" s="364" t="s">
        <v>684</v>
      </c>
      <c r="E38" s="364" t="s">
        <v>505</v>
      </c>
      <c r="F38" s="364" t="s">
        <v>505</v>
      </c>
      <c r="G38" s="364" t="s">
        <v>684</v>
      </c>
      <c r="H38" s="364" t="s">
        <v>505</v>
      </c>
      <c r="I38" s="364" t="s">
        <v>505</v>
      </c>
      <c r="J38" s="364" t="s">
        <v>505</v>
      </c>
      <c r="K38" s="364" t="s">
        <v>505</v>
      </c>
      <c r="L38" s="364" t="s">
        <v>684</v>
      </c>
    </row>
    <row r="39" spans="1:12">
      <c r="A39" s="364">
        <v>3831</v>
      </c>
      <c r="B39" s="698" t="s">
        <v>535</v>
      </c>
      <c r="C39" s="698"/>
      <c r="D39" s="364" t="s">
        <v>831</v>
      </c>
      <c r="E39" s="364" t="s">
        <v>1882</v>
      </c>
      <c r="F39" s="364" t="s">
        <v>505</v>
      </c>
      <c r="G39" s="364" t="s">
        <v>1883</v>
      </c>
      <c r="H39" s="364" t="s">
        <v>505</v>
      </c>
      <c r="I39" s="364" t="s">
        <v>2104</v>
      </c>
      <c r="J39" s="364" t="s">
        <v>2104</v>
      </c>
      <c r="K39" s="364" t="s">
        <v>505</v>
      </c>
      <c r="L39" s="364" t="s">
        <v>2105</v>
      </c>
    </row>
    <row r="40" spans="1:12">
      <c r="A40" s="364">
        <v>3832</v>
      </c>
      <c r="B40" s="698" t="s">
        <v>536</v>
      </c>
      <c r="C40" s="698"/>
      <c r="D40" s="364" t="s">
        <v>832</v>
      </c>
      <c r="E40" s="364" t="s">
        <v>1885</v>
      </c>
      <c r="F40" s="364" t="s">
        <v>505</v>
      </c>
      <c r="G40" s="364" t="s">
        <v>1886</v>
      </c>
      <c r="H40" s="364" t="s">
        <v>505</v>
      </c>
      <c r="I40" s="364" t="s">
        <v>1266</v>
      </c>
      <c r="J40" s="364" t="s">
        <v>1266</v>
      </c>
      <c r="K40" s="364" t="s">
        <v>505</v>
      </c>
      <c r="L40" s="364" t="s">
        <v>1887</v>
      </c>
    </row>
    <row r="41" spans="1:12">
      <c r="A41" s="364">
        <v>3833</v>
      </c>
      <c r="B41" s="698" t="s">
        <v>537</v>
      </c>
      <c r="C41" s="698"/>
      <c r="D41" s="364" t="s">
        <v>833</v>
      </c>
      <c r="E41" s="364" t="s">
        <v>1888</v>
      </c>
      <c r="F41" s="364" t="s">
        <v>505</v>
      </c>
      <c r="G41" s="364" t="s">
        <v>1889</v>
      </c>
      <c r="H41" s="364" t="s">
        <v>505</v>
      </c>
      <c r="I41" s="364" t="s">
        <v>505</v>
      </c>
      <c r="J41" s="364" t="s">
        <v>505</v>
      </c>
      <c r="K41" s="364" t="s">
        <v>505</v>
      </c>
      <c r="L41" s="364" t="s">
        <v>1889</v>
      </c>
    </row>
    <row r="42" spans="1:12">
      <c r="A42" s="364">
        <v>3838</v>
      </c>
      <c r="B42" s="698" t="s">
        <v>634</v>
      </c>
      <c r="C42" s="698"/>
      <c r="D42" s="364" t="s">
        <v>811</v>
      </c>
      <c r="E42" s="364" t="s">
        <v>1891</v>
      </c>
      <c r="F42" s="364" t="s">
        <v>505</v>
      </c>
      <c r="G42" s="364" t="s">
        <v>1892</v>
      </c>
      <c r="H42" s="364" t="s">
        <v>505</v>
      </c>
      <c r="I42" s="364" t="s">
        <v>505</v>
      </c>
      <c r="J42" s="364" t="s">
        <v>505</v>
      </c>
      <c r="K42" s="364" t="s">
        <v>505</v>
      </c>
      <c r="L42" s="364" t="s">
        <v>1892</v>
      </c>
    </row>
    <row r="43" spans="1:12">
      <c r="A43" s="364">
        <v>3839</v>
      </c>
      <c r="B43" s="698" t="s">
        <v>635</v>
      </c>
      <c r="C43" s="698"/>
      <c r="D43" s="364" t="s">
        <v>812</v>
      </c>
      <c r="E43" s="364" t="s">
        <v>1893</v>
      </c>
      <c r="F43" s="364" t="s">
        <v>505</v>
      </c>
      <c r="G43" s="364" t="s">
        <v>1894</v>
      </c>
      <c r="H43" s="364" t="s">
        <v>505</v>
      </c>
      <c r="I43" s="364" t="s">
        <v>505</v>
      </c>
      <c r="J43" s="364" t="s">
        <v>505</v>
      </c>
      <c r="K43" s="364" t="s">
        <v>505</v>
      </c>
      <c r="L43" s="364" t="s">
        <v>1894</v>
      </c>
    </row>
    <row r="44" spans="1:12">
      <c r="A44" s="364">
        <v>3841</v>
      </c>
      <c r="B44" s="698" t="s">
        <v>685</v>
      </c>
      <c r="C44" s="698"/>
      <c r="D44" s="364" t="s">
        <v>834</v>
      </c>
      <c r="E44" s="364" t="s">
        <v>1895</v>
      </c>
      <c r="F44" s="364" t="s">
        <v>505</v>
      </c>
      <c r="G44" s="364" t="s">
        <v>1896</v>
      </c>
      <c r="H44" s="364" t="s">
        <v>505</v>
      </c>
      <c r="I44" s="364" t="s">
        <v>1268</v>
      </c>
      <c r="J44" s="364" t="s">
        <v>1268</v>
      </c>
      <c r="K44" s="364" t="s">
        <v>505</v>
      </c>
      <c r="L44" s="364" t="s">
        <v>1897</v>
      </c>
    </row>
    <row r="45" spans="1:12">
      <c r="A45" s="364">
        <v>3843</v>
      </c>
      <c r="B45" s="698" t="s">
        <v>813</v>
      </c>
      <c r="C45" s="698"/>
      <c r="D45" s="364" t="s">
        <v>814</v>
      </c>
      <c r="E45" s="364" t="s">
        <v>1898</v>
      </c>
      <c r="F45" s="364" t="s">
        <v>505</v>
      </c>
      <c r="G45" s="364" t="s">
        <v>1899</v>
      </c>
      <c r="H45" s="364" t="s">
        <v>505</v>
      </c>
      <c r="I45" s="364" t="s">
        <v>505</v>
      </c>
      <c r="J45" s="364" t="s">
        <v>505</v>
      </c>
      <c r="K45" s="364" t="s">
        <v>505</v>
      </c>
      <c r="L45" s="364" t="s">
        <v>1899</v>
      </c>
    </row>
    <row r="46" spans="1:12">
      <c r="A46" s="364">
        <v>4000</v>
      </c>
      <c r="B46" s="698" t="s">
        <v>538</v>
      </c>
      <c r="C46" s="698"/>
      <c r="D46" s="364" t="s">
        <v>539</v>
      </c>
      <c r="E46" s="364" t="s">
        <v>505</v>
      </c>
      <c r="F46" s="364" t="s">
        <v>505</v>
      </c>
      <c r="G46" s="364" t="s">
        <v>539</v>
      </c>
      <c r="H46" s="364" t="s">
        <v>505</v>
      </c>
      <c r="I46" s="364" t="s">
        <v>505</v>
      </c>
      <c r="J46" s="364" t="s">
        <v>505</v>
      </c>
      <c r="K46" s="364" t="s">
        <v>505</v>
      </c>
      <c r="L46" s="364" t="s">
        <v>539</v>
      </c>
    </row>
    <row r="47" spans="1:12">
      <c r="A47" s="364">
        <v>4001</v>
      </c>
      <c r="B47" s="698" t="s">
        <v>540</v>
      </c>
      <c r="C47" s="698"/>
      <c r="D47" s="364" t="s">
        <v>1269</v>
      </c>
      <c r="E47" s="364" t="s">
        <v>1900</v>
      </c>
      <c r="F47" s="364" t="s">
        <v>505</v>
      </c>
      <c r="G47" s="364" t="s">
        <v>1901</v>
      </c>
      <c r="H47" s="364" t="s">
        <v>505</v>
      </c>
      <c r="I47" s="364" t="s">
        <v>505</v>
      </c>
      <c r="J47" s="364" t="s">
        <v>505</v>
      </c>
      <c r="K47" s="364" t="s">
        <v>505</v>
      </c>
      <c r="L47" s="364" t="s">
        <v>1901</v>
      </c>
    </row>
    <row r="48" spans="1:12">
      <c r="A48" s="364">
        <v>4011</v>
      </c>
      <c r="B48" s="698" t="s">
        <v>541</v>
      </c>
      <c r="C48" s="698"/>
      <c r="D48" s="364" t="s">
        <v>827</v>
      </c>
      <c r="E48" s="364" t="s">
        <v>1903</v>
      </c>
      <c r="F48" s="364" t="s">
        <v>505</v>
      </c>
      <c r="G48" s="364" t="s">
        <v>1904</v>
      </c>
      <c r="H48" s="364" t="s">
        <v>2106</v>
      </c>
      <c r="I48" s="364" t="s">
        <v>505</v>
      </c>
      <c r="J48" s="364" t="s">
        <v>2106</v>
      </c>
      <c r="K48" s="364" t="s">
        <v>505</v>
      </c>
      <c r="L48" s="364" t="s">
        <v>2107</v>
      </c>
    </row>
    <row r="49" spans="1:12">
      <c r="A49" s="364">
        <v>4030</v>
      </c>
      <c r="B49" s="698" t="s">
        <v>542</v>
      </c>
      <c r="C49" s="698"/>
      <c r="D49" s="364" t="s">
        <v>543</v>
      </c>
      <c r="E49" s="364" t="s">
        <v>505</v>
      </c>
      <c r="F49" s="364" t="s">
        <v>505</v>
      </c>
      <c r="G49" s="364" t="s">
        <v>543</v>
      </c>
      <c r="H49" s="364" t="s">
        <v>505</v>
      </c>
      <c r="I49" s="364" t="s">
        <v>505</v>
      </c>
      <c r="J49" s="364" t="s">
        <v>505</v>
      </c>
      <c r="K49" s="364" t="s">
        <v>505</v>
      </c>
      <c r="L49" s="364" t="s">
        <v>543</v>
      </c>
    </row>
    <row r="50" spans="1:12">
      <c r="A50" s="364">
        <v>4050</v>
      </c>
      <c r="B50" s="698" t="s">
        <v>544</v>
      </c>
      <c r="C50" s="698"/>
      <c r="D50" s="364" t="s">
        <v>835</v>
      </c>
      <c r="E50" s="364" t="s">
        <v>1908</v>
      </c>
      <c r="F50" s="364" t="s">
        <v>505</v>
      </c>
      <c r="G50" s="364" t="s">
        <v>1909</v>
      </c>
      <c r="H50" s="364" t="s">
        <v>2108</v>
      </c>
      <c r="I50" s="364" t="s">
        <v>505</v>
      </c>
      <c r="J50" s="364" t="s">
        <v>2108</v>
      </c>
      <c r="K50" s="364" t="s">
        <v>505</v>
      </c>
      <c r="L50" s="364" t="s">
        <v>2109</v>
      </c>
    </row>
    <row r="51" spans="1:12">
      <c r="A51" s="364">
        <v>4051</v>
      </c>
      <c r="B51" s="698" t="s">
        <v>545</v>
      </c>
      <c r="C51" s="698"/>
      <c r="D51" s="364" t="s">
        <v>815</v>
      </c>
      <c r="E51" s="364" t="s">
        <v>1913</v>
      </c>
      <c r="F51" s="364" t="s">
        <v>505</v>
      </c>
      <c r="G51" s="364" t="s">
        <v>1914</v>
      </c>
      <c r="H51" s="364" t="s">
        <v>505</v>
      </c>
      <c r="I51" s="364" t="s">
        <v>505</v>
      </c>
      <c r="J51" s="364" t="s">
        <v>505</v>
      </c>
      <c r="K51" s="364" t="s">
        <v>505</v>
      </c>
      <c r="L51" s="364" t="s">
        <v>1914</v>
      </c>
    </row>
    <row r="52" spans="1:12">
      <c r="A52" s="364">
        <v>4080</v>
      </c>
      <c r="B52" s="698" t="s">
        <v>546</v>
      </c>
      <c r="C52" s="698"/>
      <c r="D52" s="364" t="s">
        <v>547</v>
      </c>
      <c r="E52" s="364" t="s">
        <v>505</v>
      </c>
      <c r="F52" s="364" t="s">
        <v>505</v>
      </c>
      <c r="G52" s="364" t="s">
        <v>547</v>
      </c>
      <c r="H52" s="364" t="s">
        <v>505</v>
      </c>
      <c r="I52" s="364" t="s">
        <v>505</v>
      </c>
      <c r="J52" s="364" t="s">
        <v>505</v>
      </c>
      <c r="K52" s="364" t="s">
        <v>505</v>
      </c>
      <c r="L52" s="364" t="s">
        <v>547</v>
      </c>
    </row>
    <row r="53" spans="1:12">
      <c r="A53" s="364">
        <v>4090</v>
      </c>
      <c r="B53" s="698" t="s">
        <v>548</v>
      </c>
      <c r="C53" s="698"/>
      <c r="D53" s="364" t="s">
        <v>828</v>
      </c>
      <c r="E53" s="364" t="s">
        <v>1915</v>
      </c>
      <c r="F53" s="364" t="s">
        <v>505</v>
      </c>
      <c r="G53" s="364" t="s">
        <v>1916</v>
      </c>
      <c r="H53" s="364" t="s">
        <v>1917</v>
      </c>
      <c r="I53" s="364" t="s">
        <v>505</v>
      </c>
      <c r="J53" s="364" t="s">
        <v>1917</v>
      </c>
      <c r="K53" s="364" t="s">
        <v>505</v>
      </c>
      <c r="L53" s="364" t="s">
        <v>2036</v>
      </c>
    </row>
    <row r="54" spans="1:12">
      <c r="A54" s="364">
        <v>4160</v>
      </c>
      <c r="B54" s="698" t="s">
        <v>549</v>
      </c>
      <c r="C54" s="698"/>
      <c r="D54" s="364" t="s">
        <v>816</v>
      </c>
      <c r="E54" s="364" t="s">
        <v>1920</v>
      </c>
      <c r="F54" s="364" t="s">
        <v>505</v>
      </c>
      <c r="G54" s="364" t="s">
        <v>1921</v>
      </c>
      <c r="H54" s="364" t="s">
        <v>505</v>
      </c>
      <c r="I54" s="364" t="s">
        <v>505</v>
      </c>
      <c r="J54" s="364" t="s">
        <v>505</v>
      </c>
      <c r="K54" s="364" t="s">
        <v>505</v>
      </c>
      <c r="L54" s="364" t="s">
        <v>1921</v>
      </c>
    </row>
    <row r="55" spans="1:12">
      <c r="A55" s="364">
        <v>4170</v>
      </c>
      <c r="B55" s="698" t="s">
        <v>550</v>
      </c>
      <c r="C55" s="698"/>
      <c r="D55" s="364" t="s">
        <v>836</v>
      </c>
      <c r="E55" s="364" t="s">
        <v>1922</v>
      </c>
      <c r="F55" s="364" t="s">
        <v>505</v>
      </c>
      <c r="G55" s="364" t="s">
        <v>1923</v>
      </c>
      <c r="H55" s="364" t="s">
        <v>2110</v>
      </c>
      <c r="I55" s="364" t="s">
        <v>1272</v>
      </c>
      <c r="J55" s="364" t="s">
        <v>2111</v>
      </c>
      <c r="K55" s="364" t="s">
        <v>505</v>
      </c>
      <c r="L55" s="364" t="s">
        <v>2112</v>
      </c>
    </row>
    <row r="56" spans="1:12">
      <c r="A56" s="364">
        <v>4190</v>
      </c>
      <c r="B56" s="698" t="s">
        <v>551</v>
      </c>
      <c r="C56" s="698"/>
      <c r="D56" s="364" t="s">
        <v>817</v>
      </c>
      <c r="E56" s="364" t="s">
        <v>1927</v>
      </c>
      <c r="F56" s="364" t="s">
        <v>505</v>
      </c>
      <c r="G56" s="364" t="s">
        <v>1928</v>
      </c>
      <c r="H56" s="364" t="s">
        <v>505</v>
      </c>
      <c r="I56" s="364" t="s">
        <v>505</v>
      </c>
      <c r="J56" s="364" t="s">
        <v>505</v>
      </c>
      <c r="K56" s="364" t="s">
        <v>505</v>
      </c>
      <c r="L56" s="364" t="s">
        <v>1928</v>
      </c>
    </row>
    <row r="57" spans="1:12">
      <c r="A57" s="364">
        <v>4220</v>
      </c>
      <c r="B57" s="698" t="s">
        <v>552</v>
      </c>
      <c r="C57" s="698"/>
      <c r="D57" s="364" t="s">
        <v>837</v>
      </c>
      <c r="E57" s="364" t="s">
        <v>1929</v>
      </c>
      <c r="F57" s="364" t="s">
        <v>505</v>
      </c>
      <c r="G57" s="364" t="s">
        <v>1930</v>
      </c>
      <c r="H57" s="364" t="s">
        <v>2113</v>
      </c>
      <c r="I57" s="364" t="s">
        <v>1273</v>
      </c>
      <c r="J57" s="364" t="s">
        <v>2114</v>
      </c>
      <c r="K57" s="364" t="s">
        <v>505</v>
      </c>
      <c r="L57" s="364" t="s">
        <v>2115</v>
      </c>
    </row>
    <row r="58" spans="1:12">
      <c r="A58" s="364">
        <v>4234</v>
      </c>
      <c r="B58" s="698" t="s">
        <v>553</v>
      </c>
      <c r="C58" s="698"/>
      <c r="D58" s="364" t="s">
        <v>554</v>
      </c>
      <c r="E58" s="364" t="s">
        <v>505</v>
      </c>
      <c r="F58" s="364" t="s">
        <v>505</v>
      </c>
      <c r="G58" s="364" t="s">
        <v>554</v>
      </c>
      <c r="H58" s="364" t="s">
        <v>505</v>
      </c>
      <c r="I58" s="364" t="s">
        <v>505</v>
      </c>
      <c r="J58" s="364" t="s">
        <v>505</v>
      </c>
      <c r="K58" s="364" t="s">
        <v>505</v>
      </c>
      <c r="L58" s="364" t="s">
        <v>554</v>
      </c>
    </row>
    <row r="59" spans="1:12">
      <c r="A59" s="364">
        <v>4270</v>
      </c>
      <c r="B59" s="698" t="s">
        <v>555</v>
      </c>
      <c r="C59" s="698"/>
      <c r="D59" s="364" t="s">
        <v>818</v>
      </c>
      <c r="E59" s="364" t="s">
        <v>1934</v>
      </c>
      <c r="F59" s="364" t="s">
        <v>505</v>
      </c>
      <c r="G59" s="364" t="s">
        <v>1935</v>
      </c>
      <c r="H59" s="364" t="s">
        <v>505</v>
      </c>
      <c r="I59" s="364" t="s">
        <v>505</v>
      </c>
      <c r="J59" s="364" t="s">
        <v>505</v>
      </c>
      <c r="K59" s="364" t="s">
        <v>505</v>
      </c>
      <c r="L59" s="364" t="s">
        <v>1935</v>
      </c>
    </row>
    <row r="60" spans="1:12">
      <c r="A60" s="364">
        <v>4290</v>
      </c>
      <c r="B60" s="698" t="s">
        <v>556</v>
      </c>
      <c r="C60" s="698"/>
      <c r="D60" s="364" t="s">
        <v>557</v>
      </c>
      <c r="E60" s="364" t="s">
        <v>505</v>
      </c>
      <c r="F60" s="364" t="s">
        <v>505</v>
      </c>
      <c r="G60" s="364" t="s">
        <v>557</v>
      </c>
      <c r="H60" s="364" t="s">
        <v>505</v>
      </c>
      <c r="I60" s="364" t="s">
        <v>505</v>
      </c>
      <c r="J60" s="364" t="s">
        <v>505</v>
      </c>
      <c r="K60" s="364" t="s">
        <v>505</v>
      </c>
      <c r="L60" s="364" t="s">
        <v>557</v>
      </c>
    </row>
    <row r="61" spans="1:12">
      <c r="A61" s="364">
        <v>4292</v>
      </c>
      <c r="B61" s="698" t="s">
        <v>558</v>
      </c>
      <c r="C61" s="698"/>
      <c r="D61" s="364" t="s">
        <v>819</v>
      </c>
      <c r="E61" s="364" t="s">
        <v>1937</v>
      </c>
      <c r="F61" s="364" t="s">
        <v>505</v>
      </c>
      <c r="G61" s="364" t="s">
        <v>1938</v>
      </c>
      <c r="H61" s="364" t="s">
        <v>505</v>
      </c>
      <c r="I61" s="364" t="s">
        <v>505</v>
      </c>
      <c r="J61" s="364" t="s">
        <v>505</v>
      </c>
      <c r="K61" s="364" t="s">
        <v>505</v>
      </c>
      <c r="L61" s="364" t="s">
        <v>1938</v>
      </c>
    </row>
    <row r="62" spans="1:12">
      <c r="A62" s="364">
        <v>4293</v>
      </c>
      <c r="B62" s="698" t="s">
        <v>559</v>
      </c>
      <c r="C62" s="698"/>
      <c r="D62" s="364" t="s">
        <v>820</v>
      </c>
      <c r="E62" s="364" t="s">
        <v>1939</v>
      </c>
      <c r="F62" s="364" t="s">
        <v>505</v>
      </c>
      <c r="G62" s="364" t="s">
        <v>1940</v>
      </c>
      <c r="H62" s="364" t="s">
        <v>505</v>
      </c>
      <c r="I62" s="364" t="s">
        <v>505</v>
      </c>
      <c r="J62" s="364" t="s">
        <v>505</v>
      </c>
      <c r="K62" s="364" t="s">
        <v>505</v>
      </c>
      <c r="L62" s="364" t="s">
        <v>1940</v>
      </c>
    </row>
    <row r="63" spans="1:12">
      <c r="A63" s="364">
        <v>4294</v>
      </c>
      <c r="B63" s="698" t="s">
        <v>560</v>
      </c>
      <c r="C63" s="698"/>
      <c r="D63" s="364" t="s">
        <v>821</v>
      </c>
      <c r="E63" s="364" t="s">
        <v>1941</v>
      </c>
      <c r="F63" s="364" t="s">
        <v>505</v>
      </c>
      <c r="G63" s="364" t="s">
        <v>1942</v>
      </c>
      <c r="H63" s="364" t="s">
        <v>505</v>
      </c>
      <c r="I63" s="364" t="s">
        <v>505</v>
      </c>
      <c r="J63" s="364" t="s">
        <v>505</v>
      </c>
      <c r="K63" s="364" t="s">
        <v>505</v>
      </c>
      <c r="L63" s="364" t="s">
        <v>1942</v>
      </c>
    </row>
    <row r="64" spans="1:12">
      <c r="A64" s="364">
        <v>4295</v>
      </c>
      <c r="B64" s="698" t="s">
        <v>561</v>
      </c>
      <c r="C64" s="698"/>
      <c r="D64" s="364" t="s">
        <v>829</v>
      </c>
      <c r="E64" s="364" t="s">
        <v>1944</v>
      </c>
      <c r="F64" s="364" t="s">
        <v>505</v>
      </c>
      <c r="G64" s="364" t="s">
        <v>1945</v>
      </c>
      <c r="H64" s="364" t="s">
        <v>505</v>
      </c>
      <c r="I64" s="364" t="s">
        <v>2042</v>
      </c>
      <c r="J64" s="364" t="s">
        <v>2042</v>
      </c>
      <c r="K64" s="364" t="s">
        <v>505</v>
      </c>
      <c r="L64" s="364" t="s">
        <v>2043</v>
      </c>
    </row>
    <row r="65" spans="1:12">
      <c r="A65" s="364">
        <v>4297</v>
      </c>
      <c r="B65" s="698" t="s">
        <v>1947</v>
      </c>
      <c r="C65" s="698"/>
      <c r="D65" s="364" t="s">
        <v>505</v>
      </c>
      <c r="E65" s="364" t="s">
        <v>1948</v>
      </c>
      <c r="F65" s="364" t="s">
        <v>505</v>
      </c>
      <c r="G65" s="364" t="s">
        <v>1948</v>
      </c>
      <c r="H65" s="364" t="s">
        <v>505</v>
      </c>
      <c r="I65" s="364" t="s">
        <v>505</v>
      </c>
      <c r="J65" s="364" t="s">
        <v>505</v>
      </c>
      <c r="K65" s="364" t="s">
        <v>505</v>
      </c>
      <c r="L65" s="364" t="s">
        <v>1948</v>
      </c>
    </row>
    <row r="66" spans="1:12">
      <c r="A66" s="364">
        <v>4500</v>
      </c>
      <c r="B66" s="698" t="s">
        <v>562</v>
      </c>
      <c r="C66" s="698"/>
      <c r="D66" s="364" t="s">
        <v>1274</v>
      </c>
      <c r="E66" s="364" t="s">
        <v>1949</v>
      </c>
      <c r="F66" s="364" t="s">
        <v>505</v>
      </c>
      <c r="G66" s="364" t="s">
        <v>1950</v>
      </c>
      <c r="H66" s="364" t="s">
        <v>2116</v>
      </c>
      <c r="I66" s="364" t="s">
        <v>2117</v>
      </c>
      <c r="J66" s="364" t="s">
        <v>2118</v>
      </c>
      <c r="K66" s="364" t="s">
        <v>505</v>
      </c>
      <c r="L66" s="364" t="s">
        <v>2119</v>
      </c>
    </row>
    <row r="67" spans="1:12">
      <c r="A67" s="364">
        <v>4501</v>
      </c>
      <c r="B67" s="698" t="s">
        <v>563</v>
      </c>
      <c r="C67" s="698"/>
      <c r="D67" s="364" t="s">
        <v>1276</v>
      </c>
      <c r="E67" s="364" t="s">
        <v>1954</v>
      </c>
      <c r="F67" s="364" t="s">
        <v>505</v>
      </c>
      <c r="G67" s="364" t="s">
        <v>1955</v>
      </c>
      <c r="H67" s="364" t="s">
        <v>2120</v>
      </c>
      <c r="I67" s="364" t="s">
        <v>1304</v>
      </c>
      <c r="J67" s="364" t="s">
        <v>2121</v>
      </c>
      <c r="K67" s="364" t="s">
        <v>505</v>
      </c>
      <c r="L67" s="364" t="s">
        <v>2122</v>
      </c>
    </row>
    <row r="68" spans="1:12">
      <c r="A68" s="364">
        <v>4502</v>
      </c>
      <c r="B68" s="698" t="s">
        <v>564</v>
      </c>
      <c r="C68" s="698"/>
      <c r="D68" s="364" t="s">
        <v>838</v>
      </c>
      <c r="E68" s="364" t="s">
        <v>1959</v>
      </c>
      <c r="F68" s="364" t="s">
        <v>505</v>
      </c>
      <c r="G68" s="364" t="s">
        <v>1960</v>
      </c>
      <c r="H68" s="364" t="s">
        <v>2123</v>
      </c>
      <c r="I68" s="364" t="s">
        <v>2124</v>
      </c>
      <c r="J68" s="364" t="s">
        <v>2125</v>
      </c>
      <c r="K68" s="364" t="s">
        <v>505</v>
      </c>
      <c r="L68" s="364" t="s">
        <v>2126</v>
      </c>
    </row>
    <row r="69" spans="1:12">
      <c r="A69" s="364">
        <v>4503</v>
      </c>
      <c r="B69" s="698" t="s">
        <v>565</v>
      </c>
      <c r="C69" s="698"/>
      <c r="D69" s="364" t="s">
        <v>1279</v>
      </c>
      <c r="E69" s="364" t="s">
        <v>1964</v>
      </c>
      <c r="F69" s="364" t="s">
        <v>505</v>
      </c>
      <c r="G69" s="364" t="s">
        <v>1965</v>
      </c>
      <c r="H69" s="364" t="s">
        <v>2127</v>
      </c>
      <c r="I69" s="364" t="s">
        <v>1280</v>
      </c>
      <c r="J69" s="364" t="s">
        <v>2128</v>
      </c>
      <c r="K69" s="364" t="s">
        <v>505</v>
      </c>
      <c r="L69" s="364" t="s">
        <v>2129</v>
      </c>
    </row>
    <row r="70" spans="1:12">
      <c r="A70" s="364">
        <v>4504</v>
      </c>
      <c r="B70" s="698" t="s">
        <v>566</v>
      </c>
      <c r="C70" s="698"/>
      <c r="D70" s="364" t="s">
        <v>839</v>
      </c>
      <c r="E70" s="364" t="s">
        <v>1969</v>
      </c>
      <c r="F70" s="364" t="s">
        <v>505</v>
      </c>
      <c r="G70" s="364" t="s">
        <v>1970</v>
      </c>
      <c r="H70" s="364" t="s">
        <v>505</v>
      </c>
      <c r="I70" s="364" t="s">
        <v>505</v>
      </c>
      <c r="J70" s="364" t="s">
        <v>505</v>
      </c>
      <c r="K70" s="364" t="s">
        <v>505</v>
      </c>
      <c r="L70" s="364" t="s">
        <v>1970</v>
      </c>
    </row>
    <row r="71" spans="1:12">
      <c r="A71" s="364">
        <v>4505</v>
      </c>
      <c r="B71" s="698" t="s">
        <v>567</v>
      </c>
      <c r="C71" s="698"/>
      <c r="D71" s="364" t="s">
        <v>1282</v>
      </c>
      <c r="E71" s="364" t="s">
        <v>1972</v>
      </c>
      <c r="F71" s="364" t="s">
        <v>505</v>
      </c>
      <c r="G71" s="364" t="s">
        <v>1973</v>
      </c>
      <c r="H71" s="364" t="s">
        <v>2130</v>
      </c>
      <c r="I71" s="364" t="s">
        <v>2131</v>
      </c>
      <c r="J71" s="364" t="s">
        <v>2132</v>
      </c>
      <c r="K71" s="364" t="s">
        <v>505</v>
      </c>
      <c r="L71" s="364" t="s">
        <v>2133</v>
      </c>
    </row>
    <row r="72" spans="1:12">
      <c r="A72" s="364">
        <v>4506</v>
      </c>
      <c r="B72" s="698" t="s">
        <v>568</v>
      </c>
      <c r="C72" s="698"/>
      <c r="D72" s="364" t="s">
        <v>1284</v>
      </c>
      <c r="E72" s="364" t="s">
        <v>1977</v>
      </c>
      <c r="F72" s="364" t="s">
        <v>505</v>
      </c>
      <c r="G72" s="364" t="s">
        <v>1978</v>
      </c>
      <c r="H72" s="364" t="s">
        <v>505</v>
      </c>
      <c r="I72" s="364" t="s">
        <v>822</v>
      </c>
      <c r="J72" s="364" t="s">
        <v>822</v>
      </c>
      <c r="K72" s="364" t="s">
        <v>505</v>
      </c>
      <c r="L72" s="364" t="s">
        <v>1979</v>
      </c>
    </row>
    <row r="73" spans="1:12">
      <c r="A73" s="364">
        <v>4507</v>
      </c>
      <c r="B73" s="698" t="s">
        <v>569</v>
      </c>
      <c r="C73" s="698"/>
      <c r="D73" s="364" t="s">
        <v>823</v>
      </c>
      <c r="E73" s="364" t="s">
        <v>1980</v>
      </c>
      <c r="F73" s="364" t="s">
        <v>505</v>
      </c>
      <c r="G73" s="364" t="s">
        <v>1981</v>
      </c>
      <c r="H73" s="364" t="s">
        <v>505</v>
      </c>
      <c r="I73" s="364" t="s">
        <v>505</v>
      </c>
      <c r="J73" s="364" t="s">
        <v>505</v>
      </c>
      <c r="K73" s="364" t="s">
        <v>505</v>
      </c>
      <c r="L73" s="364" t="s">
        <v>1981</v>
      </c>
    </row>
    <row r="74" spans="1:12">
      <c r="A74" s="364">
        <v>4509</v>
      </c>
      <c r="B74" s="698" t="s">
        <v>570</v>
      </c>
      <c r="C74" s="698"/>
      <c r="D74" s="364" t="s">
        <v>824</v>
      </c>
      <c r="E74" s="364" t="s">
        <v>1982</v>
      </c>
      <c r="F74" s="364" t="s">
        <v>505</v>
      </c>
      <c r="G74" s="364" t="s">
        <v>1983</v>
      </c>
      <c r="H74" s="364" t="s">
        <v>505</v>
      </c>
      <c r="I74" s="364" t="s">
        <v>505</v>
      </c>
      <c r="J74" s="364" t="s">
        <v>505</v>
      </c>
      <c r="K74" s="364" t="s">
        <v>505</v>
      </c>
      <c r="L74" s="364" t="s">
        <v>1983</v>
      </c>
    </row>
    <row r="75" spans="1:12">
      <c r="A75" s="364">
        <v>4511</v>
      </c>
      <c r="B75" s="698" t="s">
        <v>571</v>
      </c>
      <c r="C75" s="698"/>
      <c r="D75" s="364" t="s">
        <v>1285</v>
      </c>
      <c r="E75" s="364" t="s">
        <v>1984</v>
      </c>
      <c r="F75" s="364" t="s">
        <v>505</v>
      </c>
      <c r="G75" s="364" t="s">
        <v>1985</v>
      </c>
      <c r="H75" s="364" t="s">
        <v>1986</v>
      </c>
      <c r="I75" s="364" t="s">
        <v>2134</v>
      </c>
      <c r="J75" s="364" t="s">
        <v>2135</v>
      </c>
      <c r="K75" s="364" t="s">
        <v>505</v>
      </c>
      <c r="L75" s="364" t="s">
        <v>2136</v>
      </c>
    </row>
    <row r="76" spans="1:12">
      <c r="A76" s="364">
        <v>4512</v>
      </c>
      <c r="B76" s="698" t="s">
        <v>572</v>
      </c>
      <c r="C76" s="698"/>
      <c r="D76" s="364" t="s">
        <v>825</v>
      </c>
      <c r="E76" s="364" t="s">
        <v>1989</v>
      </c>
      <c r="F76" s="364" t="s">
        <v>505</v>
      </c>
      <c r="G76" s="364" t="s">
        <v>1990</v>
      </c>
      <c r="H76" s="364" t="s">
        <v>505</v>
      </c>
      <c r="I76" s="364" t="s">
        <v>505</v>
      </c>
      <c r="J76" s="364" t="s">
        <v>505</v>
      </c>
      <c r="K76" s="364" t="s">
        <v>505</v>
      </c>
      <c r="L76" s="364" t="s">
        <v>1990</v>
      </c>
    </row>
    <row r="77" spans="1:12">
      <c r="A77" s="364">
        <v>4986</v>
      </c>
      <c r="B77" s="698" t="s">
        <v>573</v>
      </c>
      <c r="C77" s="698"/>
      <c r="D77" s="364" t="s">
        <v>826</v>
      </c>
      <c r="E77" s="364" t="s">
        <v>505</v>
      </c>
      <c r="F77" s="364" t="s">
        <v>505</v>
      </c>
      <c r="G77" s="364" t="s">
        <v>826</v>
      </c>
      <c r="H77" s="364" t="s">
        <v>505</v>
      </c>
      <c r="I77" s="364" t="s">
        <v>505</v>
      </c>
      <c r="J77" s="364" t="s">
        <v>505</v>
      </c>
      <c r="K77" s="364" t="s">
        <v>505</v>
      </c>
      <c r="L77" s="364" t="s">
        <v>826</v>
      </c>
    </row>
    <row r="78" spans="1:12">
      <c r="A78" s="364">
        <v>8001</v>
      </c>
      <c r="B78" s="698" t="s">
        <v>574</v>
      </c>
      <c r="C78" s="698"/>
      <c r="D78" s="364" t="s">
        <v>1287</v>
      </c>
      <c r="E78" s="364" t="s">
        <v>505</v>
      </c>
      <c r="F78" s="364" t="s">
        <v>505</v>
      </c>
      <c r="G78" s="364" t="s">
        <v>1287</v>
      </c>
      <c r="H78" s="364" t="s">
        <v>505</v>
      </c>
      <c r="I78" s="364" t="s">
        <v>505</v>
      </c>
      <c r="J78" s="364" t="s">
        <v>505</v>
      </c>
      <c r="K78" s="364" t="s">
        <v>505</v>
      </c>
      <c r="L78" s="364" t="s">
        <v>1287</v>
      </c>
    </row>
    <row r="79" spans="1:12">
      <c r="A79" s="364">
        <v>8024</v>
      </c>
      <c r="B79" s="698" t="s">
        <v>575</v>
      </c>
      <c r="C79" s="698"/>
      <c r="D79" s="364" t="s">
        <v>576</v>
      </c>
      <c r="E79" s="364" t="s">
        <v>505</v>
      </c>
      <c r="F79" s="364" t="s">
        <v>505</v>
      </c>
      <c r="G79" s="364" t="s">
        <v>576</v>
      </c>
      <c r="H79" s="364" t="s">
        <v>505</v>
      </c>
      <c r="I79" s="364" t="s">
        <v>505</v>
      </c>
      <c r="J79" s="364" t="s">
        <v>505</v>
      </c>
      <c r="K79" s="364" t="s">
        <v>505</v>
      </c>
      <c r="L79" s="364" t="s">
        <v>576</v>
      </c>
    </row>
    <row r="80" spans="1:12">
      <c r="A80" s="364">
        <v>8050</v>
      </c>
      <c r="B80" s="698" t="s">
        <v>577</v>
      </c>
      <c r="C80" s="698"/>
      <c r="D80" s="364" t="s">
        <v>1288</v>
      </c>
      <c r="E80" s="364" t="s">
        <v>505</v>
      </c>
      <c r="F80" s="364" t="s">
        <v>505</v>
      </c>
      <c r="G80" s="364" t="s">
        <v>1288</v>
      </c>
      <c r="H80" s="364" t="s">
        <v>505</v>
      </c>
      <c r="I80" s="364" t="s">
        <v>505</v>
      </c>
      <c r="J80" s="364" t="s">
        <v>505</v>
      </c>
      <c r="K80" s="364" t="s">
        <v>505</v>
      </c>
      <c r="L80" s="364" t="s">
        <v>1288</v>
      </c>
    </row>
    <row r="82" spans="1:12">
      <c r="A82" s="701" t="s">
        <v>181</v>
      </c>
      <c r="B82" s="701"/>
      <c r="C82" s="701"/>
      <c r="D82" s="365" t="s">
        <v>1289</v>
      </c>
      <c r="E82" s="365" t="s">
        <v>1991</v>
      </c>
      <c r="F82" s="365" t="s">
        <v>1779</v>
      </c>
      <c r="G82" s="365" t="s">
        <v>1992</v>
      </c>
      <c r="H82" s="365" t="s">
        <v>2137</v>
      </c>
      <c r="I82" s="365" t="s">
        <v>2138</v>
      </c>
      <c r="J82" s="365" t="s">
        <v>2139</v>
      </c>
      <c r="K82" s="365" t="s">
        <v>1779</v>
      </c>
      <c r="L82" s="365" t="s">
        <v>2140</v>
      </c>
    </row>
  </sheetData>
  <mergeCells count="83">
    <mergeCell ref="A82:C82"/>
    <mergeCell ref="B76:C76"/>
    <mergeCell ref="B77:C77"/>
    <mergeCell ref="B78:C78"/>
    <mergeCell ref="B71:C71"/>
    <mergeCell ref="B72:C72"/>
    <mergeCell ref="B73:C73"/>
    <mergeCell ref="B74:C74"/>
    <mergeCell ref="B75:C75"/>
    <mergeCell ref="B79:C79"/>
    <mergeCell ref="B80:C80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J6:J7"/>
    <mergeCell ref="K6:K7"/>
    <mergeCell ref="L6:L7"/>
    <mergeCell ref="B8:C8"/>
    <mergeCell ref="B9:C9"/>
    <mergeCell ref="H6:H7"/>
    <mergeCell ref="I6:I7"/>
    <mergeCell ref="B10:C10"/>
    <mergeCell ref="D6:D7"/>
    <mergeCell ref="E6:E7"/>
    <mergeCell ref="F6:F7"/>
    <mergeCell ref="G6:G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T124"/>
  <sheetViews>
    <sheetView topLeftCell="A78" workbookViewId="0">
      <selection sqref="A1:XFD1048576"/>
    </sheetView>
  </sheetViews>
  <sheetFormatPr defaultRowHeight="15"/>
  <cols>
    <col min="1" max="1" width="36.28515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1.85546875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</cols>
  <sheetData>
    <row r="1" spans="1:19" ht="11.85" customHeight="1">
      <c r="A1" s="717" t="s">
        <v>661</v>
      </c>
      <c r="B1" s="717"/>
      <c r="S1" s="562" t="s">
        <v>840</v>
      </c>
    </row>
    <row r="2" spans="1:19" ht="11.1" customHeight="1">
      <c r="A2" s="717" t="s">
        <v>655</v>
      </c>
      <c r="B2" s="717"/>
    </row>
    <row r="3" spans="1:19" ht="11.85" customHeight="1">
      <c r="A3" s="740" t="s">
        <v>841</v>
      </c>
      <c r="B3" s="740"/>
    </row>
    <row r="4" spans="1:19" ht="11.85" customHeight="1">
      <c r="A4" s="717" t="s">
        <v>1305</v>
      </c>
      <c r="B4" s="717"/>
    </row>
    <row r="5" spans="1:19" ht="11.85" customHeight="1">
      <c r="A5" s="717" t="s">
        <v>1744</v>
      </c>
      <c r="B5" s="717"/>
    </row>
    <row r="6" spans="1:19" ht="5.85" customHeight="1"/>
    <row r="7" spans="1:19" ht="11.1" customHeight="1">
      <c r="A7" s="741" t="s">
        <v>842</v>
      </c>
      <c r="B7" s="741"/>
      <c r="C7" s="741"/>
      <c r="D7" s="741"/>
      <c r="E7" s="741"/>
      <c r="F7" s="741"/>
      <c r="G7" s="741"/>
      <c r="H7" s="466"/>
      <c r="I7" s="466"/>
      <c r="J7" s="466"/>
      <c r="K7" s="466"/>
      <c r="L7" s="466"/>
      <c r="M7" s="466"/>
      <c r="N7" s="466"/>
      <c r="O7" s="466"/>
      <c r="Q7" s="742" t="s">
        <v>766</v>
      </c>
      <c r="R7" s="742"/>
      <c r="S7" s="742"/>
    </row>
    <row r="8" spans="1:19" ht="11.85" customHeight="1">
      <c r="A8" s="732" t="s">
        <v>705</v>
      </c>
      <c r="B8" s="712" t="s">
        <v>843</v>
      </c>
      <c r="C8" s="714"/>
      <c r="D8" s="712" t="s">
        <v>844</v>
      </c>
      <c r="E8" s="734" t="s">
        <v>845</v>
      </c>
      <c r="F8" s="735"/>
      <c r="G8" s="735"/>
      <c r="H8" s="735"/>
      <c r="I8" s="735"/>
      <c r="J8" s="735"/>
      <c r="K8" s="735"/>
      <c r="L8" s="735"/>
      <c r="M8" s="735"/>
      <c r="N8" s="736"/>
      <c r="O8" s="712" t="s">
        <v>846</v>
      </c>
      <c r="P8" s="467"/>
    </row>
    <row r="9" spans="1:19" ht="17.850000000000001" customHeight="1">
      <c r="A9" s="733"/>
      <c r="B9" s="715"/>
      <c r="C9" s="716"/>
      <c r="D9" s="713"/>
      <c r="E9" s="548" t="s">
        <v>847</v>
      </c>
      <c r="F9" s="712" t="s">
        <v>848</v>
      </c>
      <c r="G9" s="737"/>
      <c r="H9" s="738"/>
      <c r="I9" s="712" t="s">
        <v>849</v>
      </c>
      <c r="J9" s="737"/>
      <c r="K9" s="737"/>
      <c r="L9" s="738"/>
      <c r="M9" s="712" t="s">
        <v>850</v>
      </c>
      <c r="N9" s="738"/>
      <c r="O9" s="713"/>
      <c r="P9" s="467"/>
    </row>
    <row r="10" spans="1:19" ht="11.1" customHeight="1">
      <c r="A10" s="563" t="s">
        <v>1306</v>
      </c>
      <c r="B10" s="704" t="s">
        <v>1307</v>
      </c>
      <c r="C10" s="706"/>
      <c r="D10" s="564" t="s">
        <v>2141</v>
      </c>
      <c r="E10" s="564" t="s">
        <v>2142</v>
      </c>
      <c r="F10" s="704" t="s">
        <v>2143</v>
      </c>
      <c r="G10" s="705"/>
      <c r="H10" s="706"/>
      <c r="I10" s="704" t="s">
        <v>2144</v>
      </c>
      <c r="J10" s="705"/>
      <c r="K10" s="705"/>
      <c r="L10" s="706"/>
      <c r="M10" s="704" t="s">
        <v>2145</v>
      </c>
      <c r="N10" s="706"/>
      <c r="O10" s="564" t="s">
        <v>2146</v>
      </c>
      <c r="P10" s="467"/>
    </row>
    <row r="11" spans="1:19" ht="11.85" customHeight="1">
      <c r="A11" s="566" t="s">
        <v>2147</v>
      </c>
      <c r="B11" s="707" t="s">
        <v>1308</v>
      </c>
      <c r="C11" s="709"/>
      <c r="D11" s="550" t="s">
        <v>2148</v>
      </c>
      <c r="E11" s="550" t="s">
        <v>2149</v>
      </c>
      <c r="F11" s="707" t="s">
        <v>2150</v>
      </c>
      <c r="G11" s="708"/>
      <c r="H11" s="709"/>
      <c r="I11" s="707" t="s">
        <v>2151</v>
      </c>
      <c r="J11" s="708"/>
      <c r="K11" s="708"/>
      <c r="L11" s="709"/>
      <c r="M11" s="707" t="s">
        <v>2152</v>
      </c>
      <c r="N11" s="709"/>
      <c r="O11" s="550" t="s">
        <v>2153</v>
      </c>
      <c r="P11" s="467"/>
    </row>
    <row r="12" spans="1:19" ht="11.85" customHeight="1">
      <c r="A12" s="566" t="s">
        <v>2154</v>
      </c>
      <c r="B12" s="707" t="s">
        <v>1309</v>
      </c>
      <c r="C12" s="709"/>
      <c r="D12" s="550" t="s">
        <v>1309</v>
      </c>
      <c r="E12" s="550" t="s">
        <v>2155</v>
      </c>
      <c r="F12" s="707" t="s">
        <v>2156</v>
      </c>
      <c r="G12" s="708"/>
      <c r="H12" s="709"/>
      <c r="I12" s="707" t="s">
        <v>2157</v>
      </c>
      <c r="J12" s="708"/>
      <c r="K12" s="708"/>
      <c r="L12" s="709"/>
      <c r="M12" s="707" t="s">
        <v>2158</v>
      </c>
      <c r="N12" s="709"/>
      <c r="O12" s="550" t="s">
        <v>2159</v>
      </c>
      <c r="P12" s="467"/>
    </row>
    <row r="13" spans="1:19" ht="11.85" customHeight="1">
      <c r="A13" s="566" t="s">
        <v>2160</v>
      </c>
      <c r="B13" s="707" t="s">
        <v>1310</v>
      </c>
      <c r="C13" s="709"/>
      <c r="D13" s="550" t="s">
        <v>1310</v>
      </c>
      <c r="E13" s="550" t="s">
        <v>2161</v>
      </c>
      <c r="F13" s="707" t="s">
        <v>2162</v>
      </c>
      <c r="G13" s="708"/>
      <c r="H13" s="709"/>
      <c r="I13" s="707" t="s">
        <v>2163</v>
      </c>
      <c r="J13" s="708"/>
      <c r="K13" s="708"/>
      <c r="L13" s="709"/>
      <c r="M13" s="707" t="s">
        <v>2164</v>
      </c>
      <c r="N13" s="709"/>
      <c r="O13" s="550" t="s">
        <v>2165</v>
      </c>
      <c r="P13" s="467"/>
    </row>
    <row r="14" spans="1:19" ht="11.1" customHeight="1">
      <c r="A14" s="566" t="s">
        <v>2166</v>
      </c>
      <c r="B14" s="707" t="s">
        <v>1311</v>
      </c>
      <c r="C14" s="709"/>
      <c r="D14" s="550" t="s">
        <v>1311</v>
      </c>
      <c r="E14" s="550" t="s">
        <v>2167</v>
      </c>
      <c r="F14" s="707" t="s">
        <v>2168</v>
      </c>
      <c r="G14" s="708"/>
      <c r="H14" s="709"/>
      <c r="I14" s="707" t="s">
        <v>2169</v>
      </c>
      <c r="J14" s="708"/>
      <c r="K14" s="708"/>
      <c r="L14" s="709"/>
      <c r="M14" s="707" t="s">
        <v>2170</v>
      </c>
      <c r="N14" s="709"/>
      <c r="O14" s="550" t="s">
        <v>2171</v>
      </c>
      <c r="P14" s="467"/>
    </row>
    <row r="15" spans="1:19" ht="11.85" customHeight="1">
      <c r="A15" s="566" t="s">
        <v>2172</v>
      </c>
      <c r="B15" s="707" t="s">
        <v>1312</v>
      </c>
      <c r="C15" s="709"/>
      <c r="D15" s="550" t="s">
        <v>1312</v>
      </c>
      <c r="E15" s="550" t="s">
        <v>656</v>
      </c>
      <c r="F15" s="707" t="s">
        <v>656</v>
      </c>
      <c r="G15" s="708"/>
      <c r="H15" s="709"/>
      <c r="I15" s="707" t="s">
        <v>1313</v>
      </c>
      <c r="J15" s="708"/>
      <c r="K15" s="708"/>
      <c r="L15" s="709"/>
      <c r="M15" s="707" t="s">
        <v>656</v>
      </c>
      <c r="N15" s="709"/>
      <c r="O15" s="550" t="s">
        <v>1314</v>
      </c>
      <c r="P15" s="467"/>
    </row>
    <row r="16" spans="1:19" ht="11.85" customHeight="1">
      <c r="A16" s="566" t="s">
        <v>2173</v>
      </c>
      <c r="B16" s="707" t="s">
        <v>1315</v>
      </c>
      <c r="C16" s="709"/>
      <c r="D16" s="550" t="s">
        <v>1315</v>
      </c>
      <c r="E16" s="550" t="s">
        <v>2174</v>
      </c>
      <c r="F16" s="707" t="s">
        <v>2175</v>
      </c>
      <c r="G16" s="708"/>
      <c r="H16" s="709"/>
      <c r="I16" s="707" t="s">
        <v>2176</v>
      </c>
      <c r="J16" s="708"/>
      <c r="K16" s="708"/>
      <c r="L16" s="709"/>
      <c r="M16" s="707" t="s">
        <v>2177</v>
      </c>
      <c r="N16" s="709"/>
      <c r="O16" s="550" t="s">
        <v>2178</v>
      </c>
      <c r="P16" s="467"/>
    </row>
    <row r="17" spans="1:16" ht="11.85" customHeight="1">
      <c r="A17" s="566" t="s">
        <v>2179</v>
      </c>
      <c r="B17" s="707" t="s">
        <v>1316</v>
      </c>
      <c r="C17" s="709"/>
      <c r="D17" s="550" t="s">
        <v>1316</v>
      </c>
      <c r="E17" s="550" t="s">
        <v>2180</v>
      </c>
      <c r="F17" s="707" t="s">
        <v>2181</v>
      </c>
      <c r="G17" s="708"/>
      <c r="H17" s="709"/>
      <c r="I17" s="707" t="s">
        <v>2182</v>
      </c>
      <c r="J17" s="708"/>
      <c r="K17" s="708"/>
      <c r="L17" s="709"/>
      <c r="M17" s="707" t="s">
        <v>2183</v>
      </c>
      <c r="N17" s="709"/>
      <c r="O17" s="550" t="s">
        <v>2184</v>
      </c>
      <c r="P17" s="467"/>
    </row>
    <row r="18" spans="1:16" ht="11.1" customHeight="1">
      <c r="A18" s="566" t="s">
        <v>2185</v>
      </c>
      <c r="B18" s="707" t="s">
        <v>1318</v>
      </c>
      <c r="C18" s="709"/>
      <c r="D18" s="550" t="s">
        <v>1318</v>
      </c>
      <c r="E18" s="550" t="s">
        <v>2186</v>
      </c>
      <c r="F18" s="707" t="s">
        <v>2187</v>
      </c>
      <c r="G18" s="708"/>
      <c r="H18" s="709"/>
      <c r="I18" s="707" t="s">
        <v>2188</v>
      </c>
      <c r="J18" s="708"/>
      <c r="K18" s="708"/>
      <c r="L18" s="709"/>
      <c r="M18" s="707" t="s">
        <v>2189</v>
      </c>
      <c r="N18" s="709"/>
      <c r="O18" s="550" t="s">
        <v>2190</v>
      </c>
      <c r="P18" s="467"/>
    </row>
    <row r="19" spans="1:16" ht="11.85" customHeight="1">
      <c r="A19" s="566" t="s">
        <v>2191</v>
      </c>
      <c r="B19" s="707" t="s">
        <v>1319</v>
      </c>
      <c r="C19" s="709"/>
      <c r="D19" s="550" t="s">
        <v>1319</v>
      </c>
      <c r="E19" s="550" t="s">
        <v>2192</v>
      </c>
      <c r="F19" s="707" t="s">
        <v>2193</v>
      </c>
      <c r="G19" s="708"/>
      <c r="H19" s="709"/>
      <c r="I19" s="707" t="s">
        <v>2194</v>
      </c>
      <c r="J19" s="708"/>
      <c r="K19" s="708"/>
      <c r="L19" s="709"/>
      <c r="M19" s="707" t="s">
        <v>2195</v>
      </c>
      <c r="N19" s="709"/>
      <c r="O19" s="550" t="s">
        <v>2196</v>
      </c>
      <c r="P19" s="467"/>
    </row>
    <row r="20" spans="1:16" ht="11.85" customHeight="1">
      <c r="A20" s="566" t="s">
        <v>2197</v>
      </c>
      <c r="B20" s="707" t="s">
        <v>1320</v>
      </c>
      <c r="C20" s="709"/>
      <c r="D20" s="550" t="s">
        <v>1320</v>
      </c>
      <c r="E20" s="550" t="s">
        <v>2198</v>
      </c>
      <c r="F20" s="707" t="s">
        <v>2199</v>
      </c>
      <c r="G20" s="708"/>
      <c r="H20" s="709"/>
      <c r="I20" s="707" t="s">
        <v>2200</v>
      </c>
      <c r="J20" s="708"/>
      <c r="K20" s="708"/>
      <c r="L20" s="709"/>
      <c r="M20" s="707" t="s">
        <v>2201</v>
      </c>
      <c r="N20" s="709"/>
      <c r="O20" s="550" t="s">
        <v>2202</v>
      </c>
      <c r="P20" s="467"/>
    </row>
    <row r="21" spans="1:16" ht="11.85" customHeight="1">
      <c r="A21" s="566" t="s">
        <v>2203</v>
      </c>
      <c r="B21" s="707" t="s">
        <v>1321</v>
      </c>
      <c r="C21" s="709"/>
      <c r="D21" s="550" t="s">
        <v>1321</v>
      </c>
      <c r="E21" s="550" t="s">
        <v>2204</v>
      </c>
      <c r="F21" s="707" t="s">
        <v>2205</v>
      </c>
      <c r="G21" s="708"/>
      <c r="H21" s="709"/>
      <c r="I21" s="707" t="s">
        <v>2206</v>
      </c>
      <c r="J21" s="708"/>
      <c r="K21" s="708"/>
      <c r="L21" s="709"/>
      <c r="M21" s="707" t="s">
        <v>2207</v>
      </c>
      <c r="N21" s="709"/>
      <c r="O21" s="550" t="s">
        <v>2208</v>
      </c>
      <c r="P21" s="467"/>
    </row>
    <row r="22" spans="1:16" ht="11.1" customHeight="1">
      <c r="A22" s="566" t="s">
        <v>2209</v>
      </c>
      <c r="B22" s="707" t="s">
        <v>1322</v>
      </c>
      <c r="C22" s="709"/>
      <c r="D22" s="550" t="s">
        <v>1322</v>
      </c>
      <c r="E22" s="550" t="s">
        <v>2210</v>
      </c>
      <c r="F22" s="707" t="s">
        <v>2211</v>
      </c>
      <c r="G22" s="708"/>
      <c r="H22" s="709"/>
      <c r="I22" s="707" t="s">
        <v>2212</v>
      </c>
      <c r="J22" s="708"/>
      <c r="K22" s="708"/>
      <c r="L22" s="709"/>
      <c r="M22" s="707" t="s">
        <v>2213</v>
      </c>
      <c r="N22" s="709"/>
      <c r="O22" s="550" t="s">
        <v>2214</v>
      </c>
      <c r="P22" s="467"/>
    </row>
    <row r="23" spans="1:16" ht="11.85" customHeight="1">
      <c r="A23" s="566" t="s">
        <v>2215</v>
      </c>
      <c r="B23" s="707" t="s">
        <v>1323</v>
      </c>
      <c r="C23" s="709"/>
      <c r="D23" s="550" t="s">
        <v>1323</v>
      </c>
      <c r="E23" s="550" t="s">
        <v>2216</v>
      </c>
      <c r="F23" s="707" t="s">
        <v>2217</v>
      </c>
      <c r="G23" s="708"/>
      <c r="H23" s="709"/>
      <c r="I23" s="707" t="s">
        <v>2218</v>
      </c>
      <c r="J23" s="708"/>
      <c r="K23" s="708"/>
      <c r="L23" s="709"/>
      <c r="M23" s="707" t="s">
        <v>2219</v>
      </c>
      <c r="N23" s="709"/>
      <c r="O23" s="550" t="s">
        <v>2220</v>
      </c>
      <c r="P23" s="467"/>
    </row>
    <row r="24" spans="1:16" ht="11.85" customHeight="1">
      <c r="A24" s="566" t="s">
        <v>2221</v>
      </c>
      <c r="B24" s="707" t="s">
        <v>1323</v>
      </c>
      <c r="C24" s="709"/>
      <c r="D24" s="550" t="s">
        <v>1323</v>
      </c>
      <c r="E24" s="550" t="s">
        <v>2216</v>
      </c>
      <c r="F24" s="707" t="s">
        <v>2217</v>
      </c>
      <c r="G24" s="708"/>
      <c r="H24" s="709"/>
      <c r="I24" s="707" t="s">
        <v>2218</v>
      </c>
      <c r="J24" s="708"/>
      <c r="K24" s="708"/>
      <c r="L24" s="709"/>
      <c r="M24" s="707" t="s">
        <v>2219</v>
      </c>
      <c r="N24" s="709"/>
      <c r="O24" s="550" t="s">
        <v>2220</v>
      </c>
      <c r="P24" s="467"/>
    </row>
    <row r="25" spans="1:16" ht="11.85" customHeight="1">
      <c r="A25" s="566" t="s">
        <v>2222</v>
      </c>
      <c r="B25" s="707" t="s">
        <v>1324</v>
      </c>
      <c r="C25" s="709"/>
      <c r="D25" s="550" t="s">
        <v>2223</v>
      </c>
      <c r="E25" s="550" t="s">
        <v>2224</v>
      </c>
      <c r="F25" s="707" t="s">
        <v>2225</v>
      </c>
      <c r="G25" s="708"/>
      <c r="H25" s="709"/>
      <c r="I25" s="707" t="s">
        <v>2226</v>
      </c>
      <c r="J25" s="708"/>
      <c r="K25" s="708"/>
      <c r="L25" s="709"/>
      <c r="M25" s="707" t="s">
        <v>2227</v>
      </c>
      <c r="N25" s="709"/>
      <c r="O25" s="550" t="s">
        <v>2228</v>
      </c>
      <c r="P25" s="467"/>
    </row>
    <row r="26" spans="1:16" ht="11.1" customHeight="1">
      <c r="A26" s="566" t="s">
        <v>2229</v>
      </c>
      <c r="B26" s="707" t="s">
        <v>1325</v>
      </c>
      <c r="C26" s="709"/>
      <c r="D26" s="550" t="s">
        <v>2230</v>
      </c>
      <c r="E26" s="550" t="s">
        <v>2231</v>
      </c>
      <c r="F26" s="707" t="s">
        <v>2232</v>
      </c>
      <c r="G26" s="708"/>
      <c r="H26" s="709"/>
      <c r="I26" s="707" t="s">
        <v>2233</v>
      </c>
      <c r="J26" s="708"/>
      <c r="K26" s="708"/>
      <c r="L26" s="709"/>
      <c r="M26" s="707" t="s">
        <v>2177</v>
      </c>
      <c r="N26" s="709"/>
      <c r="O26" s="550" t="s">
        <v>2234</v>
      </c>
      <c r="P26" s="467"/>
    </row>
    <row r="27" spans="1:16" ht="11.85" customHeight="1">
      <c r="A27" s="566" t="s">
        <v>2235</v>
      </c>
      <c r="B27" s="707" t="s">
        <v>1326</v>
      </c>
      <c r="C27" s="709"/>
      <c r="D27" s="550" t="s">
        <v>1326</v>
      </c>
      <c r="E27" s="550" t="s">
        <v>2236</v>
      </c>
      <c r="F27" s="707" t="s">
        <v>2237</v>
      </c>
      <c r="G27" s="708"/>
      <c r="H27" s="709"/>
      <c r="I27" s="707" t="s">
        <v>2238</v>
      </c>
      <c r="J27" s="708"/>
      <c r="K27" s="708"/>
      <c r="L27" s="709"/>
      <c r="M27" s="707" t="s">
        <v>2239</v>
      </c>
      <c r="N27" s="709"/>
      <c r="O27" s="550" t="s">
        <v>2240</v>
      </c>
      <c r="P27" s="467"/>
    </row>
    <row r="28" spans="1:16" ht="11.85" customHeight="1">
      <c r="A28" s="566" t="s">
        <v>2241</v>
      </c>
      <c r="B28" s="707" t="s">
        <v>1327</v>
      </c>
      <c r="C28" s="709"/>
      <c r="D28" s="550" t="s">
        <v>1327</v>
      </c>
      <c r="E28" s="550" t="s">
        <v>2242</v>
      </c>
      <c r="F28" s="707" t="s">
        <v>2243</v>
      </c>
      <c r="G28" s="708"/>
      <c r="H28" s="709"/>
      <c r="I28" s="707" t="s">
        <v>2244</v>
      </c>
      <c r="J28" s="708"/>
      <c r="K28" s="708"/>
      <c r="L28" s="709"/>
      <c r="M28" s="707" t="s">
        <v>2245</v>
      </c>
      <c r="N28" s="709"/>
      <c r="O28" s="550" t="s">
        <v>2246</v>
      </c>
      <c r="P28" s="467"/>
    </row>
    <row r="29" spans="1:16" ht="11.85" customHeight="1">
      <c r="A29" s="566" t="s">
        <v>2247</v>
      </c>
      <c r="B29" s="707" t="s">
        <v>1328</v>
      </c>
      <c r="C29" s="709"/>
      <c r="D29" s="550" t="s">
        <v>1328</v>
      </c>
      <c r="E29" s="550" t="s">
        <v>2248</v>
      </c>
      <c r="F29" s="707" t="s">
        <v>2249</v>
      </c>
      <c r="G29" s="708"/>
      <c r="H29" s="709"/>
      <c r="I29" s="707" t="s">
        <v>2250</v>
      </c>
      <c r="J29" s="708"/>
      <c r="K29" s="708"/>
      <c r="L29" s="709"/>
      <c r="M29" s="707" t="s">
        <v>2251</v>
      </c>
      <c r="N29" s="709"/>
      <c r="O29" s="550" t="s">
        <v>2252</v>
      </c>
      <c r="P29" s="467"/>
    </row>
    <row r="30" spans="1:16" ht="11.1" customHeight="1">
      <c r="A30" s="566" t="s">
        <v>2253</v>
      </c>
      <c r="B30" s="707" t="s">
        <v>1329</v>
      </c>
      <c r="C30" s="709"/>
      <c r="D30" s="550" t="s">
        <v>1329</v>
      </c>
      <c r="E30" s="550" t="s">
        <v>2254</v>
      </c>
      <c r="F30" s="707" t="s">
        <v>2255</v>
      </c>
      <c r="G30" s="708"/>
      <c r="H30" s="709"/>
      <c r="I30" s="707" t="s">
        <v>2256</v>
      </c>
      <c r="J30" s="708"/>
      <c r="K30" s="708"/>
      <c r="L30" s="709"/>
      <c r="M30" s="707" t="s">
        <v>2257</v>
      </c>
      <c r="N30" s="709"/>
      <c r="O30" s="550" t="s">
        <v>2258</v>
      </c>
      <c r="P30" s="467"/>
    </row>
    <row r="31" spans="1:16" ht="11.85" customHeight="1">
      <c r="A31" s="566" t="s">
        <v>2259</v>
      </c>
      <c r="B31" s="707" t="s">
        <v>656</v>
      </c>
      <c r="C31" s="709"/>
      <c r="D31" s="550" t="s">
        <v>656</v>
      </c>
      <c r="E31" s="550" t="s">
        <v>2260</v>
      </c>
      <c r="F31" s="707" t="s">
        <v>656</v>
      </c>
      <c r="G31" s="708"/>
      <c r="H31" s="709"/>
      <c r="I31" s="707" t="s">
        <v>2261</v>
      </c>
      <c r="J31" s="708"/>
      <c r="K31" s="708"/>
      <c r="L31" s="709"/>
      <c r="M31" s="707" t="s">
        <v>656</v>
      </c>
      <c r="N31" s="709"/>
      <c r="O31" s="550" t="s">
        <v>2262</v>
      </c>
      <c r="P31" s="467"/>
    </row>
    <row r="32" spans="1:16" ht="11.85" customHeight="1">
      <c r="A32" s="566" t="s">
        <v>2263</v>
      </c>
      <c r="B32" s="707" t="s">
        <v>1330</v>
      </c>
      <c r="C32" s="709"/>
      <c r="D32" s="550" t="s">
        <v>1330</v>
      </c>
      <c r="E32" s="550" t="s">
        <v>2264</v>
      </c>
      <c r="F32" s="707" t="s">
        <v>2265</v>
      </c>
      <c r="G32" s="708"/>
      <c r="H32" s="709"/>
      <c r="I32" s="707" t="s">
        <v>2266</v>
      </c>
      <c r="J32" s="708"/>
      <c r="K32" s="708"/>
      <c r="L32" s="709"/>
      <c r="M32" s="707" t="s">
        <v>2267</v>
      </c>
      <c r="N32" s="709"/>
      <c r="O32" s="550" t="s">
        <v>2268</v>
      </c>
      <c r="P32" s="467"/>
    </row>
    <row r="33" spans="1:19" ht="11.85" customHeight="1">
      <c r="A33" s="566" t="s">
        <v>2269</v>
      </c>
      <c r="B33" s="707" t="s">
        <v>656</v>
      </c>
      <c r="C33" s="709"/>
      <c r="D33" s="550" t="s">
        <v>656</v>
      </c>
      <c r="E33" s="550" t="s">
        <v>656</v>
      </c>
      <c r="F33" s="707" t="s">
        <v>656</v>
      </c>
      <c r="G33" s="708"/>
      <c r="H33" s="709"/>
      <c r="I33" s="707" t="s">
        <v>1331</v>
      </c>
      <c r="J33" s="708"/>
      <c r="K33" s="708"/>
      <c r="L33" s="709"/>
      <c r="M33" s="707" t="s">
        <v>656</v>
      </c>
      <c r="N33" s="709"/>
      <c r="O33" s="550" t="s">
        <v>1332</v>
      </c>
      <c r="P33" s="467"/>
    </row>
    <row r="34" spans="1:19" ht="11.1" customHeight="1">
      <c r="A34" s="566" t="s">
        <v>853</v>
      </c>
      <c r="B34" s="707" t="s">
        <v>1333</v>
      </c>
      <c r="C34" s="709"/>
      <c r="D34" s="550" t="s">
        <v>1333</v>
      </c>
      <c r="E34" s="550" t="s">
        <v>2270</v>
      </c>
      <c r="F34" s="707" t="s">
        <v>2271</v>
      </c>
      <c r="G34" s="708"/>
      <c r="H34" s="709"/>
      <c r="I34" s="707" t="s">
        <v>2272</v>
      </c>
      <c r="J34" s="708"/>
      <c r="K34" s="708"/>
      <c r="L34" s="709"/>
      <c r="M34" s="707" t="s">
        <v>2273</v>
      </c>
      <c r="N34" s="709"/>
      <c r="O34" s="550" t="s">
        <v>2274</v>
      </c>
      <c r="P34" s="467"/>
    </row>
    <row r="35" spans="1:19" ht="11.85" customHeight="1">
      <c r="A35" s="566" t="s">
        <v>2275</v>
      </c>
      <c r="B35" s="707" t="s">
        <v>1334</v>
      </c>
      <c r="C35" s="709"/>
      <c r="D35" s="550" t="s">
        <v>1334</v>
      </c>
      <c r="E35" s="550" t="s">
        <v>2276</v>
      </c>
      <c r="F35" s="707" t="s">
        <v>2277</v>
      </c>
      <c r="G35" s="708"/>
      <c r="H35" s="709"/>
      <c r="I35" s="707" t="s">
        <v>2278</v>
      </c>
      <c r="J35" s="708"/>
      <c r="K35" s="708"/>
      <c r="L35" s="709"/>
      <c r="M35" s="707" t="s">
        <v>2279</v>
      </c>
      <c r="N35" s="709"/>
      <c r="O35" s="550" t="s">
        <v>2280</v>
      </c>
      <c r="P35" s="467"/>
    </row>
    <row r="36" spans="1:19" ht="11.85" customHeight="1">
      <c r="A36" s="566" t="s">
        <v>1763</v>
      </c>
      <c r="B36" s="707" t="s">
        <v>1335</v>
      </c>
      <c r="C36" s="709"/>
      <c r="D36" s="550" t="s">
        <v>1335</v>
      </c>
      <c r="E36" s="550" t="s">
        <v>656</v>
      </c>
      <c r="F36" s="707" t="s">
        <v>656</v>
      </c>
      <c r="G36" s="708"/>
      <c r="H36" s="709"/>
      <c r="I36" s="707" t="s">
        <v>656</v>
      </c>
      <c r="J36" s="708"/>
      <c r="K36" s="708"/>
      <c r="L36" s="709"/>
      <c r="M36" s="707" t="s">
        <v>656</v>
      </c>
      <c r="N36" s="709"/>
      <c r="O36" s="550" t="s">
        <v>1335</v>
      </c>
      <c r="P36" s="467"/>
    </row>
    <row r="37" spans="1:19" ht="11.85" customHeight="1">
      <c r="A37" s="566" t="s">
        <v>2281</v>
      </c>
      <c r="B37" s="707" t="s">
        <v>1335</v>
      </c>
      <c r="C37" s="709"/>
      <c r="D37" s="550" t="s">
        <v>1335</v>
      </c>
      <c r="E37" s="550" t="s">
        <v>656</v>
      </c>
      <c r="F37" s="707" t="s">
        <v>656</v>
      </c>
      <c r="G37" s="708"/>
      <c r="H37" s="709"/>
      <c r="I37" s="707" t="s">
        <v>656</v>
      </c>
      <c r="J37" s="708"/>
      <c r="K37" s="708"/>
      <c r="L37" s="709"/>
      <c r="M37" s="707" t="s">
        <v>656</v>
      </c>
      <c r="N37" s="709"/>
      <c r="O37" s="550" t="s">
        <v>1335</v>
      </c>
      <c r="P37" s="467"/>
    </row>
    <row r="38" spans="1:19" ht="11.1" customHeight="1">
      <c r="A38" s="566" t="s">
        <v>2282</v>
      </c>
      <c r="B38" s="707" t="s">
        <v>1336</v>
      </c>
      <c r="C38" s="709"/>
      <c r="D38" s="550" t="s">
        <v>1336</v>
      </c>
      <c r="E38" s="550" t="s">
        <v>656</v>
      </c>
      <c r="F38" s="707" t="s">
        <v>656</v>
      </c>
      <c r="G38" s="708"/>
      <c r="H38" s="709"/>
      <c r="I38" s="707" t="s">
        <v>1337</v>
      </c>
      <c r="J38" s="708"/>
      <c r="K38" s="708"/>
      <c r="L38" s="709"/>
      <c r="M38" s="707" t="s">
        <v>1338</v>
      </c>
      <c r="N38" s="709"/>
      <c r="O38" s="550" t="s">
        <v>1339</v>
      </c>
      <c r="P38" s="467"/>
    </row>
    <row r="39" spans="1:19" ht="11.85" customHeight="1">
      <c r="A39" s="566" t="s">
        <v>2283</v>
      </c>
      <c r="B39" s="707" t="s">
        <v>1340</v>
      </c>
      <c r="C39" s="709"/>
      <c r="D39" s="550" t="s">
        <v>1340</v>
      </c>
      <c r="E39" s="550" t="s">
        <v>2284</v>
      </c>
      <c r="F39" s="707" t="s">
        <v>2285</v>
      </c>
      <c r="G39" s="708"/>
      <c r="H39" s="709"/>
      <c r="I39" s="707" t="s">
        <v>2284</v>
      </c>
      <c r="J39" s="708"/>
      <c r="K39" s="708"/>
      <c r="L39" s="709"/>
      <c r="M39" s="707" t="s">
        <v>2285</v>
      </c>
      <c r="N39" s="709"/>
      <c r="O39" s="550" t="s">
        <v>2286</v>
      </c>
      <c r="P39" s="467"/>
    </row>
    <row r="40" spans="1:19" ht="11.85" customHeight="1">
      <c r="A40" s="566" t="s">
        <v>2229</v>
      </c>
      <c r="B40" s="707" t="s">
        <v>1340</v>
      </c>
      <c r="C40" s="709"/>
      <c r="D40" s="550" t="s">
        <v>1340</v>
      </c>
      <c r="E40" s="550" t="s">
        <v>2287</v>
      </c>
      <c r="F40" s="707" t="s">
        <v>2288</v>
      </c>
      <c r="G40" s="708"/>
      <c r="H40" s="709"/>
      <c r="I40" s="707" t="s">
        <v>2287</v>
      </c>
      <c r="J40" s="708"/>
      <c r="K40" s="708"/>
      <c r="L40" s="709"/>
      <c r="M40" s="707" t="s">
        <v>2288</v>
      </c>
      <c r="N40" s="709"/>
      <c r="O40" s="550" t="s">
        <v>2289</v>
      </c>
      <c r="P40" s="467"/>
    </row>
    <row r="41" spans="1:19" ht="11.85" customHeight="1">
      <c r="A41" s="566" t="s">
        <v>2235</v>
      </c>
      <c r="B41" s="707" t="s">
        <v>656</v>
      </c>
      <c r="C41" s="709"/>
      <c r="D41" s="550" t="s">
        <v>656</v>
      </c>
      <c r="E41" s="550" t="s">
        <v>2290</v>
      </c>
      <c r="F41" s="707" t="s">
        <v>656</v>
      </c>
      <c r="G41" s="708"/>
      <c r="H41" s="709"/>
      <c r="I41" s="707" t="s">
        <v>2290</v>
      </c>
      <c r="J41" s="708"/>
      <c r="K41" s="708"/>
      <c r="L41" s="709"/>
      <c r="M41" s="707" t="s">
        <v>656</v>
      </c>
      <c r="N41" s="709"/>
      <c r="O41" s="550" t="s">
        <v>2291</v>
      </c>
      <c r="P41" s="467"/>
    </row>
    <row r="42" spans="1:19" ht="11.1" customHeight="1">
      <c r="A42" s="566" t="s">
        <v>2292</v>
      </c>
      <c r="B42" s="707" t="s">
        <v>1341</v>
      </c>
      <c r="C42" s="709"/>
      <c r="D42" s="550" t="s">
        <v>1341</v>
      </c>
      <c r="E42" s="550" t="s">
        <v>2293</v>
      </c>
      <c r="F42" s="707" t="s">
        <v>2294</v>
      </c>
      <c r="G42" s="708"/>
      <c r="H42" s="709"/>
      <c r="I42" s="707" t="s">
        <v>2295</v>
      </c>
      <c r="J42" s="708"/>
      <c r="K42" s="708"/>
      <c r="L42" s="709"/>
      <c r="M42" s="707" t="s">
        <v>2296</v>
      </c>
      <c r="N42" s="709"/>
      <c r="O42" s="550" t="s">
        <v>2297</v>
      </c>
      <c r="P42" s="467"/>
    </row>
    <row r="43" spans="1:19" ht="11.85" customHeight="1">
      <c r="A43" s="566" t="s">
        <v>2298</v>
      </c>
      <c r="B43" s="707" t="s">
        <v>1341</v>
      </c>
      <c r="C43" s="709"/>
      <c r="D43" s="550" t="s">
        <v>1341</v>
      </c>
      <c r="E43" s="550" t="s">
        <v>2293</v>
      </c>
      <c r="F43" s="707" t="s">
        <v>2294</v>
      </c>
      <c r="G43" s="708"/>
      <c r="H43" s="709"/>
      <c r="I43" s="707" t="s">
        <v>2295</v>
      </c>
      <c r="J43" s="708"/>
      <c r="K43" s="708"/>
      <c r="L43" s="709"/>
      <c r="M43" s="707" t="s">
        <v>2296</v>
      </c>
      <c r="N43" s="709"/>
      <c r="O43" s="550" t="s">
        <v>2297</v>
      </c>
      <c r="P43" s="467"/>
    </row>
    <row r="44" spans="1:19" ht="11.85" customHeight="1">
      <c r="A44" s="566" t="s">
        <v>1342</v>
      </c>
      <c r="B44" s="707" t="s">
        <v>1343</v>
      </c>
      <c r="C44" s="709"/>
      <c r="D44" s="550" t="s">
        <v>1343</v>
      </c>
      <c r="E44" s="550" t="s">
        <v>2299</v>
      </c>
      <c r="F44" s="707" t="s">
        <v>2300</v>
      </c>
      <c r="G44" s="708"/>
      <c r="H44" s="709"/>
      <c r="I44" s="707" t="s">
        <v>2301</v>
      </c>
      <c r="J44" s="708"/>
      <c r="K44" s="708"/>
      <c r="L44" s="709"/>
      <c r="M44" s="707" t="s">
        <v>2302</v>
      </c>
      <c r="N44" s="709"/>
      <c r="O44" s="550" t="s">
        <v>2303</v>
      </c>
      <c r="P44" s="467"/>
    </row>
    <row r="45" spans="1:19" ht="11.85" customHeight="1">
      <c r="A45" s="566" t="s">
        <v>857</v>
      </c>
      <c r="B45" s="707" t="s">
        <v>1344</v>
      </c>
      <c r="C45" s="709"/>
      <c r="D45" s="550" t="s">
        <v>2304</v>
      </c>
      <c r="E45" s="550" t="s">
        <v>2305</v>
      </c>
      <c r="F45" s="707" t="s">
        <v>2306</v>
      </c>
      <c r="G45" s="708"/>
      <c r="H45" s="709"/>
      <c r="I45" s="707" t="s">
        <v>1991</v>
      </c>
      <c r="J45" s="708"/>
      <c r="K45" s="708"/>
      <c r="L45" s="709"/>
      <c r="M45" s="707" t="s">
        <v>2307</v>
      </c>
      <c r="N45" s="709"/>
      <c r="O45" s="550" t="s">
        <v>2308</v>
      </c>
      <c r="P45" s="467"/>
    </row>
    <row r="46" spans="1:19" ht="11.1" customHeight="1">
      <c r="A46" s="566" t="s">
        <v>859</v>
      </c>
      <c r="B46" s="707" t="s">
        <v>1344</v>
      </c>
      <c r="C46" s="709"/>
      <c r="D46" s="550" t="s">
        <v>2304</v>
      </c>
      <c r="E46" s="550" t="s">
        <v>2305</v>
      </c>
      <c r="F46" s="707" t="s">
        <v>2309</v>
      </c>
      <c r="G46" s="708"/>
      <c r="H46" s="709"/>
      <c r="I46" s="707" t="s">
        <v>1991</v>
      </c>
      <c r="J46" s="708"/>
      <c r="K46" s="708"/>
      <c r="L46" s="709"/>
      <c r="M46" s="707" t="s">
        <v>2310</v>
      </c>
      <c r="N46" s="709"/>
      <c r="O46" s="550" t="s">
        <v>2308</v>
      </c>
      <c r="P46" s="467"/>
    </row>
    <row r="47" spans="1:19" ht="11.85" customHeight="1">
      <c r="A47" s="739" t="s">
        <v>2311</v>
      </c>
      <c r="B47" s="739"/>
      <c r="C47" s="739"/>
      <c r="D47" s="739"/>
      <c r="E47" s="739"/>
      <c r="F47" s="739"/>
      <c r="G47" s="739"/>
      <c r="H47" s="739"/>
      <c r="I47" s="739"/>
      <c r="J47" s="739"/>
      <c r="K47" s="739"/>
      <c r="L47" s="739"/>
      <c r="M47" s="739"/>
      <c r="N47" s="739"/>
      <c r="O47" s="739"/>
      <c r="P47" s="739"/>
      <c r="Q47" s="739"/>
      <c r="R47" s="739"/>
      <c r="S47" s="739"/>
    </row>
    <row r="48" spans="1:19" ht="5.85" customHeight="1"/>
    <row r="49" spans="1:20" ht="11.85" customHeight="1">
      <c r="A49" s="717" t="s">
        <v>661</v>
      </c>
      <c r="B49" s="717"/>
      <c r="S49" s="562" t="s">
        <v>858</v>
      </c>
    </row>
    <row r="50" spans="1:20" ht="11.1" customHeight="1">
      <c r="A50" s="717" t="s">
        <v>655</v>
      </c>
      <c r="B50" s="717"/>
    </row>
    <row r="51" spans="1:20" ht="11.85" customHeight="1">
      <c r="A51" s="740" t="s">
        <v>841</v>
      </c>
      <c r="B51" s="740"/>
    </row>
    <row r="52" spans="1:20" ht="11.85" customHeight="1">
      <c r="A52" s="717" t="s">
        <v>1305</v>
      </c>
      <c r="B52" s="717"/>
    </row>
    <row r="53" spans="1:20" ht="11.85" customHeight="1">
      <c r="A53" s="717" t="s">
        <v>1744</v>
      </c>
      <c r="B53" s="717"/>
    </row>
    <row r="54" spans="1:20" ht="5.85" customHeight="1"/>
    <row r="55" spans="1:20" ht="11.1" customHeight="1">
      <c r="A55" s="741" t="s">
        <v>842</v>
      </c>
      <c r="B55" s="741"/>
      <c r="C55" s="741"/>
      <c r="D55" s="741"/>
      <c r="E55" s="741"/>
      <c r="F55" s="741"/>
      <c r="G55" s="741"/>
      <c r="H55" s="466"/>
      <c r="I55" s="466"/>
      <c r="J55" s="466"/>
      <c r="K55" s="466"/>
      <c r="L55" s="466"/>
      <c r="M55" s="466"/>
      <c r="N55" s="466"/>
      <c r="O55" s="466"/>
      <c r="Q55" s="742" t="s">
        <v>766</v>
      </c>
      <c r="R55" s="742"/>
      <c r="S55" s="742"/>
    </row>
    <row r="56" spans="1:20" ht="11.85" customHeight="1">
      <c r="A56" s="732" t="s">
        <v>705</v>
      </c>
      <c r="B56" s="712" t="s">
        <v>843</v>
      </c>
      <c r="C56" s="714"/>
      <c r="D56" s="712" t="s">
        <v>844</v>
      </c>
      <c r="E56" s="734" t="s">
        <v>845</v>
      </c>
      <c r="F56" s="735"/>
      <c r="G56" s="735"/>
      <c r="H56" s="735"/>
      <c r="I56" s="735"/>
      <c r="J56" s="735"/>
      <c r="K56" s="735"/>
      <c r="L56" s="735"/>
      <c r="M56" s="735"/>
      <c r="N56" s="736"/>
      <c r="O56" s="712" t="s">
        <v>846</v>
      </c>
      <c r="P56" s="467"/>
    </row>
    <row r="57" spans="1:20" ht="17.850000000000001" customHeight="1">
      <c r="A57" s="733"/>
      <c r="B57" s="715"/>
      <c r="C57" s="716"/>
      <c r="D57" s="713"/>
      <c r="E57" s="548" t="s">
        <v>847</v>
      </c>
      <c r="F57" s="712" t="s">
        <v>848</v>
      </c>
      <c r="G57" s="737"/>
      <c r="H57" s="738"/>
      <c r="I57" s="712" t="s">
        <v>849</v>
      </c>
      <c r="J57" s="737"/>
      <c r="K57" s="737"/>
      <c r="L57" s="738"/>
      <c r="M57" s="712" t="s">
        <v>850</v>
      </c>
      <c r="N57" s="738"/>
      <c r="O57" s="713"/>
      <c r="P57" s="467"/>
    </row>
    <row r="58" spans="1:20" ht="11.1" customHeight="1">
      <c r="A58" s="563" t="s">
        <v>1345</v>
      </c>
      <c r="B58" s="704" t="s">
        <v>656</v>
      </c>
      <c r="C58" s="706"/>
      <c r="D58" s="564" t="s">
        <v>656</v>
      </c>
      <c r="E58" s="564" t="s">
        <v>656</v>
      </c>
      <c r="F58" s="704" t="s">
        <v>656</v>
      </c>
      <c r="G58" s="705"/>
      <c r="H58" s="706"/>
      <c r="I58" s="704" t="s">
        <v>656</v>
      </c>
      <c r="J58" s="705"/>
      <c r="K58" s="705"/>
      <c r="L58" s="706"/>
      <c r="M58" s="704" t="s">
        <v>656</v>
      </c>
      <c r="N58" s="706"/>
      <c r="O58" s="564" t="s">
        <v>656</v>
      </c>
      <c r="P58" s="467"/>
    </row>
    <row r="59" spans="1:20" ht="11.85" customHeight="1">
      <c r="A59" s="566" t="s">
        <v>860</v>
      </c>
      <c r="B59" s="707" t="s">
        <v>1344</v>
      </c>
      <c r="C59" s="709"/>
      <c r="D59" s="550" t="s">
        <v>2304</v>
      </c>
      <c r="E59" s="550" t="s">
        <v>2305</v>
      </c>
      <c r="F59" s="707" t="s">
        <v>2309</v>
      </c>
      <c r="G59" s="708"/>
      <c r="H59" s="709"/>
      <c r="I59" s="707" t="s">
        <v>1991</v>
      </c>
      <c r="J59" s="708"/>
      <c r="K59" s="708"/>
      <c r="L59" s="709"/>
      <c r="M59" s="707" t="s">
        <v>2310</v>
      </c>
      <c r="N59" s="709"/>
      <c r="O59" s="550" t="s">
        <v>656</v>
      </c>
      <c r="P59" s="467"/>
    </row>
    <row r="60" spans="1:20" ht="11.85" customHeight="1">
      <c r="A60" s="566" t="s">
        <v>861</v>
      </c>
      <c r="B60" s="707" t="s">
        <v>656</v>
      </c>
      <c r="C60" s="709"/>
      <c r="D60" s="550" t="s">
        <v>2312</v>
      </c>
      <c r="E60" s="550" t="s">
        <v>656</v>
      </c>
      <c r="F60" s="707" t="s">
        <v>656</v>
      </c>
      <c r="G60" s="708"/>
      <c r="H60" s="709"/>
      <c r="I60" s="707" t="s">
        <v>2312</v>
      </c>
      <c r="J60" s="708"/>
      <c r="K60" s="708"/>
      <c r="L60" s="709"/>
      <c r="M60" s="707" t="s">
        <v>656</v>
      </c>
      <c r="N60" s="709"/>
      <c r="O60" s="550" t="s">
        <v>656</v>
      </c>
      <c r="P60" s="467"/>
    </row>
    <row r="61" spans="1:20" ht="11.85" customHeight="1">
      <c r="A61" s="566" t="s">
        <v>1050</v>
      </c>
      <c r="B61" s="707" t="s">
        <v>656</v>
      </c>
      <c r="C61" s="709"/>
      <c r="D61" s="550" t="s">
        <v>656</v>
      </c>
      <c r="E61" s="550" t="s">
        <v>656</v>
      </c>
      <c r="F61" s="707" t="s">
        <v>656</v>
      </c>
      <c r="G61" s="708"/>
      <c r="H61" s="709"/>
      <c r="I61" s="707" t="s">
        <v>656</v>
      </c>
      <c r="J61" s="708"/>
      <c r="K61" s="708"/>
      <c r="L61" s="709"/>
      <c r="M61" s="707" t="s">
        <v>656</v>
      </c>
      <c r="N61" s="709"/>
      <c r="O61" s="550" t="s">
        <v>656</v>
      </c>
      <c r="P61" s="467"/>
    </row>
    <row r="62" spans="1:20" ht="11.1" customHeight="1">
      <c r="A62" s="567" t="s">
        <v>2313</v>
      </c>
      <c r="B62" s="722" t="s">
        <v>656</v>
      </c>
      <c r="C62" s="723"/>
      <c r="D62" s="553" t="s">
        <v>2312</v>
      </c>
      <c r="E62" s="553" t="s">
        <v>656</v>
      </c>
      <c r="F62" s="722" t="s">
        <v>656</v>
      </c>
      <c r="G62" s="724"/>
      <c r="H62" s="723"/>
      <c r="I62" s="722" t="s">
        <v>2312</v>
      </c>
      <c r="J62" s="724"/>
      <c r="K62" s="724"/>
      <c r="L62" s="723"/>
      <c r="M62" s="722" t="s">
        <v>656</v>
      </c>
      <c r="N62" s="723"/>
      <c r="O62" s="553" t="s">
        <v>656</v>
      </c>
      <c r="P62" s="467"/>
    </row>
    <row r="63" spans="1:20" ht="5.85" customHeight="1">
      <c r="A63" s="468"/>
      <c r="B63" s="468"/>
      <c r="C63" s="468"/>
      <c r="D63" s="468"/>
      <c r="E63" s="468"/>
      <c r="F63" s="468"/>
      <c r="G63" s="468"/>
      <c r="H63" s="468"/>
      <c r="I63" s="468"/>
      <c r="J63" s="468"/>
      <c r="K63" s="468"/>
      <c r="L63" s="468"/>
      <c r="M63" s="468"/>
      <c r="N63" s="468"/>
      <c r="O63" s="468"/>
      <c r="P63" s="466"/>
      <c r="Q63" s="466"/>
      <c r="R63" s="466"/>
      <c r="S63" s="466"/>
    </row>
    <row r="64" spans="1:20" ht="11.85" customHeight="1">
      <c r="A64" s="732" t="s">
        <v>711</v>
      </c>
      <c r="B64" s="712" t="s">
        <v>862</v>
      </c>
      <c r="C64" s="714"/>
      <c r="D64" s="712" t="s">
        <v>863</v>
      </c>
      <c r="E64" s="734" t="s">
        <v>864</v>
      </c>
      <c r="F64" s="735"/>
      <c r="G64" s="735"/>
      <c r="H64" s="735"/>
      <c r="I64" s="736"/>
      <c r="J64" s="712" t="s">
        <v>865</v>
      </c>
      <c r="K64" s="714"/>
      <c r="L64" s="734" t="s">
        <v>866</v>
      </c>
      <c r="M64" s="735"/>
      <c r="N64" s="735"/>
      <c r="O64" s="736"/>
      <c r="P64" s="712" t="s">
        <v>867</v>
      </c>
      <c r="Q64" s="712" t="s">
        <v>868</v>
      </c>
      <c r="R64" s="712" t="s">
        <v>869</v>
      </c>
      <c r="S64" s="714"/>
      <c r="T64" s="467"/>
    </row>
    <row r="65" spans="1:20" ht="17.850000000000001" customHeight="1">
      <c r="A65" s="733"/>
      <c r="B65" s="715"/>
      <c r="C65" s="716"/>
      <c r="D65" s="713"/>
      <c r="E65" s="548" t="s">
        <v>870</v>
      </c>
      <c r="F65" s="712" t="s">
        <v>871</v>
      </c>
      <c r="G65" s="737"/>
      <c r="H65" s="737"/>
      <c r="I65" s="738"/>
      <c r="J65" s="715"/>
      <c r="K65" s="716"/>
      <c r="L65" s="712" t="s">
        <v>870</v>
      </c>
      <c r="M65" s="737"/>
      <c r="N65" s="738"/>
      <c r="O65" s="548" t="s">
        <v>872</v>
      </c>
      <c r="P65" s="713"/>
      <c r="Q65" s="713"/>
      <c r="R65" s="715"/>
      <c r="S65" s="716"/>
      <c r="T65" s="467"/>
    </row>
    <row r="66" spans="1:20" ht="11.1" customHeight="1">
      <c r="A66" s="563" t="s">
        <v>873</v>
      </c>
      <c r="B66" s="702" t="s">
        <v>1346</v>
      </c>
      <c r="C66" s="703"/>
      <c r="D66" s="556" t="s">
        <v>2314</v>
      </c>
      <c r="E66" s="556" t="s">
        <v>2315</v>
      </c>
      <c r="F66" s="702" t="s">
        <v>2316</v>
      </c>
      <c r="G66" s="731"/>
      <c r="H66" s="731"/>
      <c r="I66" s="703"/>
      <c r="J66" s="702" t="s">
        <v>2317</v>
      </c>
      <c r="K66" s="703"/>
      <c r="L66" s="702" t="s">
        <v>2318</v>
      </c>
      <c r="M66" s="731"/>
      <c r="N66" s="703"/>
      <c r="O66" s="556" t="s">
        <v>2319</v>
      </c>
      <c r="P66" s="556" t="s">
        <v>2320</v>
      </c>
      <c r="Q66" s="556" t="s">
        <v>2321</v>
      </c>
      <c r="R66" s="702" t="s">
        <v>656</v>
      </c>
      <c r="S66" s="703"/>
      <c r="T66" s="561"/>
    </row>
    <row r="67" spans="1:20" ht="11.85" customHeight="1">
      <c r="A67" s="566" t="s">
        <v>2322</v>
      </c>
      <c r="B67" s="710" t="s">
        <v>1347</v>
      </c>
      <c r="C67" s="711"/>
      <c r="D67" s="555" t="s">
        <v>2323</v>
      </c>
      <c r="E67" s="555" t="s">
        <v>2324</v>
      </c>
      <c r="F67" s="710" t="s">
        <v>2325</v>
      </c>
      <c r="G67" s="718"/>
      <c r="H67" s="718"/>
      <c r="I67" s="711"/>
      <c r="J67" s="710" t="s">
        <v>2326</v>
      </c>
      <c r="K67" s="711"/>
      <c r="L67" s="710" t="s">
        <v>2327</v>
      </c>
      <c r="M67" s="718"/>
      <c r="N67" s="711"/>
      <c r="O67" s="555" t="s">
        <v>2328</v>
      </c>
      <c r="P67" s="555" t="s">
        <v>2329</v>
      </c>
      <c r="Q67" s="555" t="s">
        <v>2330</v>
      </c>
      <c r="R67" s="710" t="s">
        <v>656</v>
      </c>
      <c r="S67" s="711"/>
      <c r="T67" s="561"/>
    </row>
    <row r="68" spans="1:20" ht="11.85" customHeight="1">
      <c r="A68" s="566" t="s">
        <v>2331</v>
      </c>
      <c r="B68" s="710" t="s">
        <v>1348</v>
      </c>
      <c r="C68" s="711"/>
      <c r="D68" s="555" t="s">
        <v>2332</v>
      </c>
      <c r="E68" s="555" t="s">
        <v>2333</v>
      </c>
      <c r="F68" s="710" t="s">
        <v>2334</v>
      </c>
      <c r="G68" s="718"/>
      <c r="H68" s="718"/>
      <c r="I68" s="711"/>
      <c r="J68" s="710" t="s">
        <v>2335</v>
      </c>
      <c r="K68" s="711"/>
      <c r="L68" s="710" t="s">
        <v>2336</v>
      </c>
      <c r="M68" s="718"/>
      <c r="N68" s="711"/>
      <c r="O68" s="555" t="s">
        <v>2337</v>
      </c>
      <c r="P68" s="555" t="s">
        <v>2338</v>
      </c>
      <c r="Q68" s="555" t="s">
        <v>2339</v>
      </c>
      <c r="R68" s="710" t="s">
        <v>656</v>
      </c>
      <c r="S68" s="711"/>
      <c r="T68" s="561"/>
    </row>
    <row r="69" spans="1:20" ht="11.85" customHeight="1">
      <c r="A69" s="566" t="s">
        <v>2340</v>
      </c>
      <c r="B69" s="710" t="s">
        <v>1349</v>
      </c>
      <c r="C69" s="711"/>
      <c r="D69" s="555" t="s">
        <v>2341</v>
      </c>
      <c r="E69" s="555" t="s">
        <v>2342</v>
      </c>
      <c r="F69" s="710" t="s">
        <v>2342</v>
      </c>
      <c r="G69" s="718"/>
      <c r="H69" s="718"/>
      <c r="I69" s="711"/>
      <c r="J69" s="710" t="s">
        <v>2343</v>
      </c>
      <c r="K69" s="711"/>
      <c r="L69" s="710" t="s">
        <v>2342</v>
      </c>
      <c r="M69" s="718"/>
      <c r="N69" s="711"/>
      <c r="O69" s="555" t="s">
        <v>2342</v>
      </c>
      <c r="P69" s="555" t="s">
        <v>2343</v>
      </c>
      <c r="Q69" s="555" t="s">
        <v>2342</v>
      </c>
      <c r="R69" s="710" t="s">
        <v>656</v>
      </c>
      <c r="S69" s="711"/>
      <c r="T69" s="561"/>
    </row>
    <row r="70" spans="1:20" ht="11.1" customHeight="1">
      <c r="A70" s="566" t="s">
        <v>2344</v>
      </c>
      <c r="B70" s="710" t="s">
        <v>1350</v>
      </c>
      <c r="C70" s="711"/>
      <c r="D70" s="555" t="s">
        <v>2345</v>
      </c>
      <c r="E70" s="555" t="s">
        <v>2346</v>
      </c>
      <c r="F70" s="710" t="s">
        <v>2347</v>
      </c>
      <c r="G70" s="718"/>
      <c r="H70" s="718"/>
      <c r="I70" s="711"/>
      <c r="J70" s="710" t="s">
        <v>2348</v>
      </c>
      <c r="K70" s="711"/>
      <c r="L70" s="710" t="s">
        <v>2349</v>
      </c>
      <c r="M70" s="718"/>
      <c r="N70" s="711"/>
      <c r="O70" s="555" t="s">
        <v>2350</v>
      </c>
      <c r="P70" s="555" t="s">
        <v>2351</v>
      </c>
      <c r="Q70" s="555" t="s">
        <v>2352</v>
      </c>
      <c r="R70" s="710" t="s">
        <v>656</v>
      </c>
      <c r="S70" s="711"/>
      <c r="T70" s="561"/>
    </row>
    <row r="71" spans="1:20" ht="11.85" customHeight="1">
      <c r="A71" s="566" t="s">
        <v>2353</v>
      </c>
      <c r="B71" s="710" t="s">
        <v>1351</v>
      </c>
      <c r="C71" s="711"/>
      <c r="D71" s="555" t="s">
        <v>2354</v>
      </c>
      <c r="E71" s="555" t="s">
        <v>2355</v>
      </c>
      <c r="F71" s="710" t="s">
        <v>2356</v>
      </c>
      <c r="G71" s="718"/>
      <c r="H71" s="718"/>
      <c r="I71" s="711"/>
      <c r="J71" s="710" t="s">
        <v>2357</v>
      </c>
      <c r="K71" s="711"/>
      <c r="L71" s="710" t="s">
        <v>2358</v>
      </c>
      <c r="M71" s="718"/>
      <c r="N71" s="711"/>
      <c r="O71" s="555" t="s">
        <v>2359</v>
      </c>
      <c r="P71" s="555" t="s">
        <v>2360</v>
      </c>
      <c r="Q71" s="555" t="s">
        <v>2361</v>
      </c>
      <c r="R71" s="710" t="s">
        <v>656</v>
      </c>
      <c r="S71" s="711"/>
      <c r="T71" s="561"/>
    </row>
    <row r="72" spans="1:20" ht="11.85" customHeight="1">
      <c r="A72" s="566" t="s">
        <v>2362</v>
      </c>
      <c r="B72" s="710" t="s">
        <v>1352</v>
      </c>
      <c r="C72" s="711"/>
      <c r="D72" s="555" t="s">
        <v>2363</v>
      </c>
      <c r="E72" s="555" t="s">
        <v>2355</v>
      </c>
      <c r="F72" s="710" t="s">
        <v>2356</v>
      </c>
      <c r="G72" s="718"/>
      <c r="H72" s="718"/>
      <c r="I72" s="711"/>
      <c r="J72" s="710" t="s">
        <v>2364</v>
      </c>
      <c r="K72" s="711"/>
      <c r="L72" s="710" t="s">
        <v>2358</v>
      </c>
      <c r="M72" s="718"/>
      <c r="N72" s="711"/>
      <c r="O72" s="555" t="s">
        <v>2359</v>
      </c>
      <c r="P72" s="555" t="s">
        <v>2365</v>
      </c>
      <c r="Q72" s="555" t="s">
        <v>2361</v>
      </c>
      <c r="R72" s="710" t="s">
        <v>656</v>
      </c>
      <c r="S72" s="711"/>
      <c r="T72" s="561"/>
    </row>
    <row r="73" spans="1:20" ht="11.85" customHeight="1">
      <c r="A73" s="566" t="s">
        <v>2366</v>
      </c>
      <c r="B73" s="710">
        <v>283</v>
      </c>
      <c r="C73" s="711"/>
      <c r="D73" s="555">
        <v>283</v>
      </c>
      <c r="E73" s="555" t="s">
        <v>656</v>
      </c>
      <c r="F73" s="710" t="s">
        <v>656</v>
      </c>
      <c r="G73" s="718"/>
      <c r="H73" s="718"/>
      <c r="I73" s="711"/>
      <c r="J73" s="710">
        <v>283</v>
      </c>
      <c r="K73" s="711"/>
      <c r="L73" s="710" t="s">
        <v>656</v>
      </c>
      <c r="M73" s="718"/>
      <c r="N73" s="711"/>
      <c r="O73" s="555" t="s">
        <v>656</v>
      </c>
      <c r="P73" s="555">
        <v>283</v>
      </c>
      <c r="Q73" s="555" t="s">
        <v>656</v>
      </c>
      <c r="R73" s="710" t="s">
        <v>656</v>
      </c>
      <c r="S73" s="711"/>
      <c r="T73" s="561"/>
    </row>
    <row r="74" spans="1:20" ht="11.1" customHeight="1">
      <c r="A74" s="566" t="s">
        <v>2367</v>
      </c>
      <c r="B74" s="710" t="s">
        <v>1353</v>
      </c>
      <c r="C74" s="711"/>
      <c r="D74" s="555" t="s">
        <v>2368</v>
      </c>
      <c r="E74" s="555" t="s">
        <v>656</v>
      </c>
      <c r="F74" s="710" t="s">
        <v>656</v>
      </c>
      <c r="G74" s="718"/>
      <c r="H74" s="718"/>
      <c r="I74" s="711"/>
      <c r="J74" s="710" t="s">
        <v>2368</v>
      </c>
      <c r="K74" s="711"/>
      <c r="L74" s="710" t="s">
        <v>656</v>
      </c>
      <c r="M74" s="718"/>
      <c r="N74" s="711"/>
      <c r="O74" s="555" t="s">
        <v>656</v>
      </c>
      <c r="P74" s="555" t="s">
        <v>2368</v>
      </c>
      <c r="Q74" s="555" t="s">
        <v>656</v>
      </c>
      <c r="R74" s="710" t="s">
        <v>656</v>
      </c>
      <c r="S74" s="711"/>
      <c r="T74" s="561"/>
    </row>
    <row r="75" spans="1:20" ht="11.85" customHeight="1">
      <c r="A75" s="566" t="s">
        <v>874</v>
      </c>
      <c r="B75" s="710">
        <v>709.85</v>
      </c>
      <c r="C75" s="711"/>
      <c r="D75" s="555">
        <v>709.85</v>
      </c>
      <c r="E75" s="555" t="s">
        <v>656</v>
      </c>
      <c r="F75" s="710" t="s">
        <v>656</v>
      </c>
      <c r="G75" s="718"/>
      <c r="H75" s="718"/>
      <c r="I75" s="711"/>
      <c r="J75" s="710">
        <v>709.85</v>
      </c>
      <c r="K75" s="711"/>
      <c r="L75" s="710" t="s">
        <v>656</v>
      </c>
      <c r="M75" s="718"/>
      <c r="N75" s="711"/>
      <c r="O75" s="555" t="s">
        <v>656</v>
      </c>
      <c r="P75" s="555">
        <v>709.85</v>
      </c>
      <c r="Q75" s="555" t="s">
        <v>656</v>
      </c>
      <c r="R75" s="710" t="s">
        <v>656</v>
      </c>
      <c r="S75" s="711"/>
      <c r="T75" s="561"/>
    </row>
    <row r="76" spans="1:20" ht="11.85" customHeight="1">
      <c r="A76" s="567" t="s">
        <v>875</v>
      </c>
      <c r="B76" s="728" t="s">
        <v>1354</v>
      </c>
      <c r="C76" s="729"/>
      <c r="D76" s="557" t="s">
        <v>2369</v>
      </c>
      <c r="E76" s="557" t="s">
        <v>2370</v>
      </c>
      <c r="F76" s="728" t="s">
        <v>2371</v>
      </c>
      <c r="G76" s="730"/>
      <c r="H76" s="730"/>
      <c r="I76" s="729"/>
      <c r="J76" s="728" t="s">
        <v>2372</v>
      </c>
      <c r="K76" s="729"/>
      <c r="L76" s="728" t="s">
        <v>2370</v>
      </c>
      <c r="M76" s="730"/>
      <c r="N76" s="729"/>
      <c r="O76" s="557" t="s">
        <v>2371</v>
      </c>
      <c r="P76" s="557" t="s">
        <v>2372</v>
      </c>
      <c r="Q76" s="557" t="s">
        <v>2373</v>
      </c>
      <c r="R76" s="728" t="s">
        <v>656</v>
      </c>
      <c r="S76" s="729"/>
      <c r="T76" s="561"/>
    </row>
    <row r="77" spans="1:20" ht="11.85" customHeight="1">
      <c r="A77" s="503" t="s">
        <v>876</v>
      </c>
      <c r="B77" s="719" t="s">
        <v>1355</v>
      </c>
      <c r="C77" s="720"/>
      <c r="D77" s="558" t="s">
        <v>2374</v>
      </c>
      <c r="E77" s="558" t="s">
        <v>2375</v>
      </c>
      <c r="F77" s="719" t="s">
        <v>1993</v>
      </c>
      <c r="G77" s="721"/>
      <c r="H77" s="721"/>
      <c r="I77" s="720"/>
      <c r="J77" s="719" t="s">
        <v>2376</v>
      </c>
      <c r="K77" s="720"/>
      <c r="L77" s="719" t="s">
        <v>2377</v>
      </c>
      <c r="M77" s="721"/>
      <c r="N77" s="720"/>
      <c r="O77" s="558" t="s">
        <v>2059</v>
      </c>
      <c r="P77" s="558" t="s">
        <v>2378</v>
      </c>
      <c r="Q77" s="558" t="s">
        <v>2137</v>
      </c>
      <c r="R77" s="719" t="s">
        <v>656</v>
      </c>
      <c r="S77" s="720"/>
      <c r="T77" s="561"/>
    </row>
    <row r="78" spans="1:20" ht="11.1" customHeight="1">
      <c r="A78" s="563" t="s">
        <v>877</v>
      </c>
      <c r="B78" s="702" t="s">
        <v>656</v>
      </c>
      <c r="C78" s="703"/>
      <c r="D78" s="556" t="s">
        <v>656</v>
      </c>
      <c r="E78" s="556" t="s">
        <v>656</v>
      </c>
      <c r="F78" s="702" t="s">
        <v>656</v>
      </c>
      <c r="G78" s="731"/>
      <c r="H78" s="731"/>
      <c r="I78" s="703"/>
      <c r="J78" s="702" t="s">
        <v>656</v>
      </c>
      <c r="K78" s="703"/>
      <c r="L78" s="702" t="s">
        <v>656</v>
      </c>
      <c r="M78" s="731"/>
      <c r="N78" s="703"/>
      <c r="O78" s="556" t="s">
        <v>656</v>
      </c>
      <c r="P78" s="556" t="s">
        <v>656</v>
      </c>
      <c r="Q78" s="556" t="s">
        <v>656</v>
      </c>
      <c r="R78" s="702" t="s">
        <v>656</v>
      </c>
      <c r="S78" s="703"/>
      <c r="T78" s="561"/>
    </row>
    <row r="79" spans="1:20" ht="11.85" customHeight="1">
      <c r="A79" s="566" t="s">
        <v>2379</v>
      </c>
      <c r="B79" s="710" t="s">
        <v>656</v>
      </c>
      <c r="C79" s="711"/>
      <c r="D79" s="555" t="s">
        <v>656</v>
      </c>
      <c r="E79" s="555" t="s">
        <v>656</v>
      </c>
      <c r="F79" s="710" t="s">
        <v>656</v>
      </c>
      <c r="G79" s="718"/>
      <c r="H79" s="718"/>
      <c r="I79" s="711"/>
      <c r="J79" s="710" t="s">
        <v>656</v>
      </c>
      <c r="K79" s="711"/>
      <c r="L79" s="710" t="s">
        <v>656</v>
      </c>
      <c r="M79" s="718"/>
      <c r="N79" s="711"/>
      <c r="O79" s="555" t="s">
        <v>656</v>
      </c>
      <c r="P79" s="555" t="s">
        <v>656</v>
      </c>
      <c r="Q79" s="555" t="s">
        <v>656</v>
      </c>
      <c r="R79" s="710" t="s">
        <v>656</v>
      </c>
      <c r="S79" s="711"/>
      <c r="T79" s="561"/>
    </row>
    <row r="80" spans="1:20" ht="11.85" customHeight="1">
      <c r="A80" s="567" t="s">
        <v>2380</v>
      </c>
      <c r="B80" s="728" t="s">
        <v>656</v>
      </c>
      <c r="C80" s="729"/>
      <c r="D80" s="557" t="s">
        <v>656</v>
      </c>
      <c r="E80" s="557" t="s">
        <v>656</v>
      </c>
      <c r="F80" s="728" t="s">
        <v>656</v>
      </c>
      <c r="G80" s="730"/>
      <c r="H80" s="730"/>
      <c r="I80" s="729"/>
      <c r="J80" s="728" t="s">
        <v>656</v>
      </c>
      <c r="K80" s="729"/>
      <c r="L80" s="728" t="s">
        <v>656</v>
      </c>
      <c r="M80" s="730"/>
      <c r="N80" s="729"/>
      <c r="O80" s="557" t="s">
        <v>656</v>
      </c>
      <c r="P80" s="557" t="s">
        <v>656</v>
      </c>
      <c r="Q80" s="557" t="s">
        <v>656</v>
      </c>
      <c r="R80" s="728" t="s">
        <v>656</v>
      </c>
      <c r="S80" s="729"/>
      <c r="T80" s="561"/>
    </row>
    <row r="81" spans="1:20" ht="11.85" customHeight="1">
      <c r="A81" s="503" t="s">
        <v>878</v>
      </c>
      <c r="B81" s="719" t="s">
        <v>1355</v>
      </c>
      <c r="C81" s="720"/>
      <c r="D81" s="558" t="s">
        <v>2374</v>
      </c>
      <c r="E81" s="558" t="s">
        <v>2375</v>
      </c>
      <c r="F81" s="719" t="s">
        <v>1993</v>
      </c>
      <c r="G81" s="721"/>
      <c r="H81" s="721"/>
      <c r="I81" s="720"/>
      <c r="J81" s="719" t="s">
        <v>2376</v>
      </c>
      <c r="K81" s="720"/>
      <c r="L81" s="719" t="s">
        <v>2377</v>
      </c>
      <c r="M81" s="721"/>
      <c r="N81" s="720"/>
      <c r="O81" s="558" t="s">
        <v>2059</v>
      </c>
      <c r="P81" s="558" t="s">
        <v>2378</v>
      </c>
      <c r="Q81" s="558" t="s">
        <v>2137</v>
      </c>
      <c r="R81" s="719" t="s">
        <v>656</v>
      </c>
      <c r="S81" s="720"/>
      <c r="T81" s="561"/>
    </row>
    <row r="82" spans="1:20" ht="11.1" customHeight="1">
      <c r="A82" s="503" t="s">
        <v>879</v>
      </c>
      <c r="B82" s="719" t="s">
        <v>656</v>
      </c>
      <c r="C82" s="720"/>
      <c r="D82" s="558" t="s">
        <v>656</v>
      </c>
      <c r="E82" s="558" t="s">
        <v>656</v>
      </c>
      <c r="F82" s="719" t="s">
        <v>2381</v>
      </c>
      <c r="G82" s="721"/>
      <c r="H82" s="721"/>
      <c r="I82" s="720"/>
      <c r="J82" s="719" t="s">
        <v>656</v>
      </c>
      <c r="K82" s="720"/>
      <c r="L82" s="719" t="s">
        <v>656</v>
      </c>
      <c r="M82" s="721"/>
      <c r="N82" s="720"/>
      <c r="O82" s="558" t="s">
        <v>2382</v>
      </c>
      <c r="P82" s="558" t="s">
        <v>656</v>
      </c>
      <c r="Q82" s="558" t="s">
        <v>2383</v>
      </c>
      <c r="R82" s="719" t="s">
        <v>656</v>
      </c>
      <c r="S82" s="720"/>
      <c r="T82" s="561"/>
    </row>
    <row r="83" spans="1:20" ht="11.85" customHeight="1">
      <c r="A83" s="595" t="s">
        <v>880</v>
      </c>
      <c r="B83" s="725" t="s">
        <v>1355</v>
      </c>
      <c r="C83" s="726"/>
      <c r="D83" s="596" t="s">
        <v>2374</v>
      </c>
      <c r="E83" s="596" t="s">
        <v>2375</v>
      </c>
      <c r="F83" s="725" t="s">
        <v>1991</v>
      </c>
      <c r="G83" s="727"/>
      <c r="H83" s="727"/>
      <c r="I83" s="726"/>
      <c r="J83" s="725" t="s">
        <v>656</v>
      </c>
      <c r="K83" s="726"/>
      <c r="L83" s="725" t="s">
        <v>2377</v>
      </c>
      <c r="M83" s="727"/>
      <c r="N83" s="726"/>
      <c r="O83" s="596" t="s">
        <v>1991</v>
      </c>
      <c r="P83" s="596" t="s">
        <v>2378</v>
      </c>
      <c r="Q83" s="596" t="s">
        <v>1991</v>
      </c>
      <c r="R83" s="725" t="s">
        <v>656</v>
      </c>
      <c r="S83" s="726"/>
      <c r="T83" s="561"/>
    </row>
    <row r="84" spans="1:20" ht="11.85" customHeight="1">
      <c r="A84" s="597" t="s">
        <v>881</v>
      </c>
      <c r="B84" s="719" t="s">
        <v>1356</v>
      </c>
      <c r="C84" s="720"/>
      <c r="D84" s="558" t="s">
        <v>1356</v>
      </c>
      <c r="E84" s="558" t="s">
        <v>656</v>
      </c>
      <c r="F84" s="719" t="s">
        <v>656</v>
      </c>
      <c r="G84" s="721"/>
      <c r="H84" s="721"/>
      <c r="I84" s="720"/>
      <c r="J84" s="719" t="s">
        <v>1356</v>
      </c>
      <c r="K84" s="720"/>
      <c r="L84" s="719" t="s">
        <v>656</v>
      </c>
      <c r="M84" s="721"/>
      <c r="N84" s="720"/>
      <c r="O84" s="558" t="s">
        <v>656</v>
      </c>
      <c r="P84" s="558" t="s">
        <v>1356</v>
      </c>
      <c r="Q84" s="558" t="s">
        <v>656</v>
      </c>
      <c r="R84" s="719" t="s">
        <v>656</v>
      </c>
      <c r="S84" s="720"/>
      <c r="T84" s="561"/>
    </row>
    <row r="85" spans="1:20" ht="5.85" customHeight="1">
      <c r="A85" s="468"/>
      <c r="B85" s="468"/>
      <c r="C85" s="468"/>
      <c r="D85" s="468"/>
      <c r="E85" s="468"/>
      <c r="F85" s="468"/>
      <c r="G85" s="468"/>
      <c r="H85" s="468"/>
      <c r="I85" s="468"/>
      <c r="J85" s="468"/>
      <c r="K85" s="468"/>
      <c r="L85" s="468"/>
      <c r="M85" s="468"/>
      <c r="N85" s="468"/>
      <c r="O85" s="469"/>
      <c r="P85" s="469"/>
      <c r="Q85" s="469"/>
      <c r="R85" s="469"/>
      <c r="S85" s="469"/>
    </row>
    <row r="86" spans="1:20" ht="11.85" customHeight="1">
      <c r="A86" s="732" t="s">
        <v>883</v>
      </c>
      <c r="B86" s="712" t="s">
        <v>843</v>
      </c>
      <c r="C86" s="714"/>
      <c r="D86" s="712" t="s">
        <v>844</v>
      </c>
      <c r="E86" s="734" t="s">
        <v>845</v>
      </c>
      <c r="F86" s="735"/>
      <c r="G86" s="735"/>
      <c r="H86" s="735"/>
      <c r="I86" s="735"/>
      <c r="J86" s="735"/>
      <c r="K86" s="736"/>
      <c r="L86" s="712" t="s">
        <v>846</v>
      </c>
      <c r="M86" s="743"/>
      <c r="N86" s="714"/>
      <c r="O86" s="467"/>
    </row>
    <row r="87" spans="1:20" ht="17.100000000000001" customHeight="1">
      <c r="A87" s="733"/>
      <c r="B87" s="715"/>
      <c r="C87" s="716"/>
      <c r="D87" s="713"/>
      <c r="E87" s="548" t="s">
        <v>847</v>
      </c>
      <c r="F87" s="548" t="s">
        <v>848</v>
      </c>
      <c r="G87" s="712" t="s">
        <v>849</v>
      </c>
      <c r="H87" s="737"/>
      <c r="I87" s="737"/>
      <c r="J87" s="738"/>
      <c r="K87" s="548" t="s">
        <v>850</v>
      </c>
      <c r="L87" s="715"/>
      <c r="M87" s="744"/>
      <c r="N87" s="716"/>
      <c r="O87" s="467"/>
    </row>
    <row r="88" spans="1:20" ht="11.85" customHeight="1">
      <c r="A88" s="563" t="s">
        <v>1342</v>
      </c>
      <c r="B88" s="704" t="s">
        <v>1343</v>
      </c>
      <c r="C88" s="706"/>
      <c r="D88" s="564" t="s">
        <v>1343</v>
      </c>
      <c r="E88" s="564" t="s">
        <v>2299</v>
      </c>
      <c r="F88" s="564" t="s">
        <v>2300</v>
      </c>
      <c r="G88" s="704" t="s">
        <v>2301</v>
      </c>
      <c r="H88" s="705"/>
      <c r="I88" s="705"/>
      <c r="J88" s="706"/>
      <c r="K88" s="564" t="s">
        <v>2302</v>
      </c>
      <c r="L88" s="704" t="s">
        <v>2303</v>
      </c>
      <c r="M88" s="705"/>
      <c r="N88" s="706"/>
      <c r="O88" s="467"/>
    </row>
    <row r="89" spans="1:20" ht="11.85" customHeight="1">
      <c r="A89" s="566" t="s">
        <v>2147</v>
      </c>
      <c r="B89" s="707" t="s">
        <v>1343</v>
      </c>
      <c r="C89" s="709"/>
      <c r="D89" s="550" t="s">
        <v>1343</v>
      </c>
      <c r="E89" s="550" t="s">
        <v>2299</v>
      </c>
      <c r="F89" s="550" t="s">
        <v>2300</v>
      </c>
      <c r="G89" s="707" t="s">
        <v>2301</v>
      </c>
      <c r="H89" s="708"/>
      <c r="I89" s="708"/>
      <c r="J89" s="709"/>
      <c r="K89" s="550" t="s">
        <v>2302</v>
      </c>
      <c r="L89" s="707" t="s">
        <v>2303</v>
      </c>
      <c r="M89" s="708"/>
      <c r="N89" s="709"/>
      <c r="O89" s="467"/>
    </row>
    <row r="90" spans="1:20" ht="11.1" customHeight="1">
      <c r="A90" s="566" t="s">
        <v>2173</v>
      </c>
      <c r="B90" s="707" t="s">
        <v>1357</v>
      </c>
      <c r="C90" s="709"/>
      <c r="D90" s="550" t="s">
        <v>1357</v>
      </c>
      <c r="E90" s="550" t="s">
        <v>2384</v>
      </c>
      <c r="F90" s="550" t="s">
        <v>2385</v>
      </c>
      <c r="G90" s="707" t="s">
        <v>2386</v>
      </c>
      <c r="H90" s="708"/>
      <c r="I90" s="708"/>
      <c r="J90" s="709"/>
      <c r="K90" s="550" t="s">
        <v>2387</v>
      </c>
      <c r="L90" s="707" t="s">
        <v>2388</v>
      </c>
      <c r="M90" s="708"/>
      <c r="N90" s="709"/>
      <c r="O90" s="467"/>
    </row>
    <row r="91" spans="1:20" ht="11.85" customHeight="1">
      <c r="A91" s="566" t="s">
        <v>2179</v>
      </c>
      <c r="B91" s="707" t="s">
        <v>1357</v>
      </c>
      <c r="C91" s="709"/>
      <c r="D91" s="550" t="s">
        <v>1357</v>
      </c>
      <c r="E91" s="550" t="s">
        <v>2384</v>
      </c>
      <c r="F91" s="550" t="s">
        <v>2385</v>
      </c>
      <c r="G91" s="707" t="s">
        <v>2386</v>
      </c>
      <c r="H91" s="708"/>
      <c r="I91" s="708"/>
      <c r="J91" s="709"/>
      <c r="K91" s="550" t="s">
        <v>2387</v>
      </c>
      <c r="L91" s="707" t="s">
        <v>2388</v>
      </c>
      <c r="M91" s="708"/>
      <c r="N91" s="709"/>
      <c r="O91" s="467"/>
    </row>
    <row r="92" spans="1:20" ht="11.85" customHeight="1">
      <c r="A92" s="566" t="s">
        <v>2253</v>
      </c>
      <c r="B92" s="707" t="s">
        <v>1358</v>
      </c>
      <c r="C92" s="709"/>
      <c r="D92" s="550" t="s">
        <v>1358</v>
      </c>
      <c r="E92" s="550" t="s">
        <v>2389</v>
      </c>
      <c r="F92" s="550" t="s">
        <v>2390</v>
      </c>
      <c r="G92" s="707" t="s">
        <v>2391</v>
      </c>
      <c r="H92" s="708"/>
      <c r="I92" s="708"/>
      <c r="J92" s="709"/>
      <c r="K92" s="550" t="s">
        <v>2392</v>
      </c>
      <c r="L92" s="707" t="s">
        <v>2393</v>
      </c>
      <c r="M92" s="708"/>
      <c r="N92" s="709"/>
      <c r="O92" s="467"/>
    </row>
    <row r="93" spans="1:20" ht="11.85" customHeight="1">
      <c r="A93" s="567" t="s">
        <v>853</v>
      </c>
      <c r="B93" s="722" t="s">
        <v>1358</v>
      </c>
      <c r="C93" s="723"/>
      <c r="D93" s="553" t="s">
        <v>1358</v>
      </c>
      <c r="E93" s="553" t="s">
        <v>2389</v>
      </c>
      <c r="F93" s="553" t="s">
        <v>2390</v>
      </c>
      <c r="G93" s="722" t="s">
        <v>2391</v>
      </c>
      <c r="H93" s="724"/>
      <c r="I93" s="724"/>
      <c r="J93" s="723"/>
      <c r="K93" s="553" t="s">
        <v>2392</v>
      </c>
      <c r="L93" s="722" t="s">
        <v>2393</v>
      </c>
      <c r="M93" s="724"/>
      <c r="N93" s="723"/>
      <c r="O93" s="467"/>
    </row>
    <row r="94" spans="1:20" ht="11.1" customHeight="1">
      <c r="A94" s="469"/>
      <c r="B94" s="469"/>
      <c r="C94" s="469"/>
      <c r="D94" s="469"/>
      <c r="E94" s="469"/>
      <c r="F94" s="469"/>
      <c r="G94" s="469"/>
      <c r="H94" s="469"/>
      <c r="I94" s="469"/>
      <c r="J94" s="469"/>
      <c r="K94" s="469"/>
      <c r="L94" s="469"/>
      <c r="M94" s="469"/>
      <c r="N94" s="469"/>
    </row>
    <row r="95" spans="1:20" ht="11.85" customHeight="1">
      <c r="A95" s="739" t="s">
        <v>2311</v>
      </c>
      <c r="B95" s="739"/>
      <c r="C95" s="739"/>
      <c r="D95" s="739"/>
      <c r="E95" s="739"/>
      <c r="F95" s="739"/>
      <c r="G95" s="739"/>
      <c r="H95" s="739"/>
      <c r="I95" s="739"/>
      <c r="J95" s="739"/>
      <c r="K95" s="739"/>
      <c r="L95" s="739"/>
      <c r="M95" s="739"/>
      <c r="N95" s="739"/>
      <c r="O95" s="739"/>
      <c r="P95" s="739"/>
      <c r="Q95" s="739"/>
      <c r="R95" s="739"/>
      <c r="S95" s="739"/>
    </row>
    <row r="96" spans="1:20" ht="5.85" customHeight="1"/>
    <row r="97" spans="1:20" ht="11.85" customHeight="1">
      <c r="A97" s="717" t="s">
        <v>661</v>
      </c>
      <c r="B97" s="717"/>
      <c r="S97" s="562" t="s">
        <v>882</v>
      </c>
    </row>
    <row r="98" spans="1:20" ht="11.1" customHeight="1">
      <c r="A98" s="717" t="s">
        <v>655</v>
      </c>
      <c r="B98" s="717"/>
    </row>
    <row r="99" spans="1:20" ht="11.85" customHeight="1">
      <c r="A99" s="740" t="s">
        <v>841</v>
      </c>
      <c r="B99" s="740"/>
    </row>
    <row r="100" spans="1:20" ht="11.85" customHeight="1">
      <c r="A100" s="717" t="s">
        <v>1305</v>
      </c>
      <c r="B100" s="717"/>
    </row>
    <row r="101" spans="1:20" ht="11.85" customHeight="1">
      <c r="A101" s="717" t="s">
        <v>1744</v>
      </c>
      <c r="B101" s="717"/>
    </row>
    <row r="102" spans="1:20" ht="5.85" customHeight="1"/>
    <row r="103" spans="1:20" ht="11.1" customHeight="1">
      <c r="A103" s="741" t="s">
        <v>842</v>
      </c>
      <c r="B103" s="741"/>
      <c r="C103" s="741"/>
      <c r="D103" s="741"/>
      <c r="E103" s="741"/>
      <c r="F103" s="741"/>
      <c r="G103" s="741"/>
      <c r="H103" s="466"/>
      <c r="I103" s="466"/>
      <c r="J103" s="466"/>
      <c r="K103" s="466"/>
      <c r="L103" s="466"/>
      <c r="M103" s="466"/>
      <c r="N103" s="466"/>
      <c r="O103" s="466"/>
      <c r="P103" s="466"/>
      <c r="Q103" s="745" t="s">
        <v>766</v>
      </c>
      <c r="R103" s="745"/>
      <c r="S103" s="745"/>
    </row>
    <row r="104" spans="1:20" ht="11.85" customHeight="1">
      <c r="A104" s="732" t="s">
        <v>884</v>
      </c>
      <c r="B104" s="712" t="s">
        <v>862</v>
      </c>
      <c r="C104" s="714"/>
      <c r="D104" s="712" t="s">
        <v>863</v>
      </c>
      <c r="E104" s="734" t="s">
        <v>864</v>
      </c>
      <c r="F104" s="735"/>
      <c r="G104" s="735"/>
      <c r="H104" s="735"/>
      <c r="I104" s="736"/>
      <c r="J104" s="712" t="s">
        <v>865</v>
      </c>
      <c r="K104" s="714"/>
      <c r="L104" s="734" t="s">
        <v>866</v>
      </c>
      <c r="M104" s="735"/>
      <c r="N104" s="735"/>
      <c r="O104" s="736"/>
      <c r="P104" s="712" t="s">
        <v>867</v>
      </c>
      <c r="Q104" s="712" t="s">
        <v>868</v>
      </c>
      <c r="R104" s="712" t="s">
        <v>869</v>
      </c>
      <c r="S104" s="714"/>
      <c r="T104" s="467"/>
    </row>
    <row r="105" spans="1:20" ht="17.850000000000001" customHeight="1">
      <c r="A105" s="733"/>
      <c r="B105" s="715"/>
      <c r="C105" s="716"/>
      <c r="D105" s="713"/>
      <c r="E105" s="548" t="s">
        <v>870</v>
      </c>
      <c r="F105" s="712" t="s">
        <v>871</v>
      </c>
      <c r="G105" s="737"/>
      <c r="H105" s="737"/>
      <c r="I105" s="738"/>
      <c r="J105" s="715"/>
      <c r="K105" s="716"/>
      <c r="L105" s="712" t="s">
        <v>870</v>
      </c>
      <c r="M105" s="737"/>
      <c r="N105" s="738"/>
      <c r="O105" s="548" t="s">
        <v>872</v>
      </c>
      <c r="P105" s="713"/>
      <c r="Q105" s="713"/>
      <c r="R105" s="715"/>
      <c r="S105" s="716"/>
      <c r="T105" s="467"/>
    </row>
    <row r="106" spans="1:20" ht="11.1" customHeight="1">
      <c r="A106" s="563" t="s">
        <v>875</v>
      </c>
      <c r="B106" s="702" t="s">
        <v>1354</v>
      </c>
      <c r="C106" s="703"/>
      <c r="D106" s="564" t="s">
        <v>2369</v>
      </c>
      <c r="E106" s="564" t="s">
        <v>2370</v>
      </c>
      <c r="F106" s="704" t="s">
        <v>2371</v>
      </c>
      <c r="G106" s="705"/>
      <c r="H106" s="705"/>
      <c r="I106" s="706"/>
      <c r="J106" s="704" t="s">
        <v>2372</v>
      </c>
      <c r="K106" s="706"/>
      <c r="L106" s="704" t="s">
        <v>2370</v>
      </c>
      <c r="M106" s="705"/>
      <c r="N106" s="706"/>
      <c r="O106" s="564" t="s">
        <v>2371</v>
      </c>
      <c r="P106" s="564" t="s">
        <v>2372</v>
      </c>
      <c r="Q106" s="564" t="s">
        <v>2373</v>
      </c>
      <c r="R106" s="704" t="s">
        <v>656</v>
      </c>
      <c r="S106" s="706"/>
      <c r="T106" s="561"/>
    </row>
    <row r="107" spans="1:20" ht="11.85" customHeight="1">
      <c r="A107" s="566" t="s">
        <v>2322</v>
      </c>
      <c r="B107" s="710" t="s">
        <v>1359</v>
      </c>
      <c r="C107" s="711"/>
      <c r="D107" s="550" t="s">
        <v>2394</v>
      </c>
      <c r="E107" s="550" t="s">
        <v>2370</v>
      </c>
      <c r="F107" s="707" t="s">
        <v>2371</v>
      </c>
      <c r="G107" s="708"/>
      <c r="H107" s="708"/>
      <c r="I107" s="709"/>
      <c r="J107" s="707" t="s">
        <v>2395</v>
      </c>
      <c r="K107" s="709"/>
      <c r="L107" s="707" t="s">
        <v>2370</v>
      </c>
      <c r="M107" s="708"/>
      <c r="N107" s="709"/>
      <c r="O107" s="550" t="s">
        <v>2371</v>
      </c>
      <c r="P107" s="550" t="s">
        <v>2395</v>
      </c>
      <c r="Q107" s="550" t="s">
        <v>2373</v>
      </c>
      <c r="R107" s="707" t="s">
        <v>656</v>
      </c>
      <c r="S107" s="709"/>
      <c r="T107" s="561"/>
    </row>
    <row r="108" spans="1:20" ht="11.85" customHeight="1">
      <c r="A108" s="566" t="s">
        <v>2331</v>
      </c>
      <c r="B108" s="710" t="s">
        <v>1360</v>
      </c>
      <c r="C108" s="711"/>
      <c r="D108" s="550" t="s">
        <v>2396</v>
      </c>
      <c r="E108" s="550" t="s">
        <v>2397</v>
      </c>
      <c r="F108" s="707" t="s">
        <v>2398</v>
      </c>
      <c r="G108" s="708"/>
      <c r="H108" s="708"/>
      <c r="I108" s="709"/>
      <c r="J108" s="707" t="s">
        <v>2399</v>
      </c>
      <c r="K108" s="709"/>
      <c r="L108" s="707" t="s">
        <v>2397</v>
      </c>
      <c r="M108" s="708"/>
      <c r="N108" s="709"/>
      <c r="O108" s="550" t="s">
        <v>2398</v>
      </c>
      <c r="P108" s="550" t="s">
        <v>2399</v>
      </c>
      <c r="Q108" s="550" t="s">
        <v>2400</v>
      </c>
      <c r="R108" s="707" t="s">
        <v>656</v>
      </c>
      <c r="S108" s="709"/>
      <c r="T108" s="561"/>
    </row>
    <row r="109" spans="1:20" ht="11.85" customHeight="1">
      <c r="A109" s="566" t="s">
        <v>2340</v>
      </c>
      <c r="B109" s="710">
        <v>301</v>
      </c>
      <c r="C109" s="711"/>
      <c r="D109" s="550" t="s">
        <v>1091</v>
      </c>
      <c r="E109" s="550" t="s">
        <v>656</v>
      </c>
      <c r="F109" s="707" t="s">
        <v>656</v>
      </c>
      <c r="G109" s="708"/>
      <c r="H109" s="708"/>
      <c r="I109" s="709"/>
      <c r="J109" s="707" t="s">
        <v>1091</v>
      </c>
      <c r="K109" s="709"/>
      <c r="L109" s="707" t="s">
        <v>656</v>
      </c>
      <c r="M109" s="708"/>
      <c r="N109" s="709"/>
      <c r="O109" s="550" t="s">
        <v>656</v>
      </c>
      <c r="P109" s="550" t="s">
        <v>1091</v>
      </c>
      <c r="Q109" s="550" t="s">
        <v>656</v>
      </c>
      <c r="R109" s="707" t="s">
        <v>656</v>
      </c>
      <c r="S109" s="709"/>
      <c r="T109" s="561"/>
    </row>
    <row r="110" spans="1:20" ht="11.1" customHeight="1">
      <c r="A110" s="566" t="s">
        <v>2344</v>
      </c>
      <c r="B110" s="710" t="s">
        <v>1361</v>
      </c>
      <c r="C110" s="711"/>
      <c r="D110" s="550" t="s">
        <v>2401</v>
      </c>
      <c r="E110" s="550" t="s">
        <v>2402</v>
      </c>
      <c r="F110" s="707" t="s">
        <v>2403</v>
      </c>
      <c r="G110" s="708"/>
      <c r="H110" s="708"/>
      <c r="I110" s="709"/>
      <c r="J110" s="707" t="s">
        <v>2404</v>
      </c>
      <c r="K110" s="709"/>
      <c r="L110" s="707" t="s">
        <v>2402</v>
      </c>
      <c r="M110" s="708"/>
      <c r="N110" s="709"/>
      <c r="O110" s="550" t="s">
        <v>2403</v>
      </c>
      <c r="P110" s="550" t="s">
        <v>2404</v>
      </c>
      <c r="Q110" s="550" t="s">
        <v>2405</v>
      </c>
      <c r="R110" s="707" t="s">
        <v>656</v>
      </c>
      <c r="S110" s="709"/>
      <c r="T110" s="561"/>
    </row>
    <row r="111" spans="1:20" ht="11.85" customHeight="1">
      <c r="A111" s="566" t="s">
        <v>2353</v>
      </c>
      <c r="B111" s="710">
        <v>302</v>
      </c>
      <c r="C111" s="711"/>
      <c r="D111" s="550" t="s">
        <v>885</v>
      </c>
      <c r="E111" s="550" t="s">
        <v>656</v>
      </c>
      <c r="F111" s="707" t="s">
        <v>656</v>
      </c>
      <c r="G111" s="708"/>
      <c r="H111" s="708"/>
      <c r="I111" s="709"/>
      <c r="J111" s="707" t="s">
        <v>885</v>
      </c>
      <c r="K111" s="709"/>
      <c r="L111" s="707" t="s">
        <v>656</v>
      </c>
      <c r="M111" s="708"/>
      <c r="N111" s="709"/>
      <c r="O111" s="550" t="s">
        <v>656</v>
      </c>
      <c r="P111" s="550" t="s">
        <v>885</v>
      </c>
      <c r="Q111" s="550" t="s">
        <v>656</v>
      </c>
      <c r="R111" s="707" t="s">
        <v>656</v>
      </c>
      <c r="S111" s="709"/>
      <c r="T111" s="561"/>
    </row>
    <row r="112" spans="1:20" ht="11.85" customHeight="1">
      <c r="A112" s="567" t="s">
        <v>2367</v>
      </c>
      <c r="B112" s="728">
        <v>302</v>
      </c>
      <c r="C112" s="729"/>
      <c r="D112" s="553" t="s">
        <v>885</v>
      </c>
      <c r="E112" s="553" t="s">
        <v>656</v>
      </c>
      <c r="F112" s="722" t="s">
        <v>656</v>
      </c>
      <c r="G112" s="724"/>
      <c r="H112" s="724"/>
      <c r="I112" s="723"/>
      <c r="J112" s="722" t="s">
        <v>885</v>
      </c>
      <c r="K112" s="723"/>
      <c r="L112" s="722" t="s">
        <v>656</v>
      </c>
      <c r="M112" s="724"/>
      <c r="N112" s="723"/>
      <c r="O112" s="553" t="s">
        <v>656</v>
      </c>
      <c r="P112" s="553" t="s">
        <v>885</v>
      </c>
      <c r="Q112" s="553" t="s">
        <v>656</v>
      </c>
      <c r="R112" s="722" t="s">
        <v>656</v>
      </c>
      <c r="S112" s="723"/>
      <c r="T112" s="561"/>
    </row>
    <row r="113" spans="1:19" ht="11.85" customHeight="1">
      <c r="A113" s="746" t="s">
        <v>886</v>
      </c>
      <c r="B113" s="746"/>
      <c r="C113" s="746"/>
      <c r="D113" s="746"/>
      <c r="E113" s="746"/>
      <c r="F113" s="746"/>
      <c r="G113" s="746"/>
      <c r="H113" s="746"/>
      <c r="I113" s="746"/>
      <c r="J113" s="746"/>
      <c r="K113" s="746"/>
      <c r="L113" s="746"/>
      <c r="M113" s="746"/>
      <c r="N113" s="469"/>
      <c r="O113" s="469"/>
      <c r="P113" s="469"/>
      <c r="Q113" s="469"/>
      <c r="R113" s="469"/>
      <c r="S113" s="469"/>
    </row>
    <row r="114" spans="1:19" ht="5.85" customHeight="1"/>
    <row r="115" spans="1:19" ht="11.1" customHeight="1"/>
    <row r="116" spans="1:19" ht="5.85" customHeight="1"/>
    <row r="117" spans="1:19" ht="17.850000000000001" customHeight="1"/>
    <row r="118" spans="1:19" ht="17.100000000000001" customHeight="1"/>
    <row r="119" spans="1:19" ht="74.099999999999994" customHeight="1"/>
    <row r="120" spans="1:19" ht="74.099999999999994" customHeight="1"/>
    <row r="121" spans="1:19" ht="65.849999999999994" customHeight="1"/>
    <row r="122" spans="1:19" ht="65.849999999999994" customHeight="1"/>
    <row r="123" spans="1:19" ht="11.85" customHeight="1">
      <c r="A123" s="739" t="s">
        <v>2311</v>
      </c>
      <c r="B123" s="739"/>
      <c r="C123" s="739"/>
      <c r="D123" s="739"/>
      <c r="E123" s="739"/>
      <c r="F123" s="739"/>
      <c r="G123" s="739"/>
      <c r="H123" s="739"/>
      <c r="I123" s="739"/>
      <c r="J123" s="739"/>
      <c r="K123" s="739"/>
      <c r="L123" s="739"/>
      <c r="M123" s="739"/>
      <c r="N123" s="739"/>
      <c r="O123" s="739"/>
      <c r="P123" s="739"/>
      <c r="Q123" s="739"/>
      <c r="R123" s="739"/>
      <c r="S123" s="739"/>
    </row>
    <row r="124" spans="1:19" ht="5.85" customHeight="1"/>
  </sheetData>
  <mergeCells count="385">
    <mergeCell ref="R111:S111"/>
    <mergeCell ref="R112:S112"/>
    <mergeCell ref="A113:M113"/>
    <mergeCell ref="A123:S123"/>
    <mergeCell ref="R106:S106"/>
    <mergeCell ref="B107:C107"/>
    <mergeCell ref="F107:I107"/>
    <mergeCell ref="J107:K107"/>
    <mergeCell ref="L107:N107"/>
    <mergeCell ref="R107:S107"/>
    <mergeCell ref="B108:C108"/>
    <mergeCell ref="F108:I108"/>
    <mergeCell ref="J108:K108"/>
    <mergeCell ref="L108:N108"/>
    <mergeCell ref="R108:S108"/>
    <mergeCell ref="B111:C111"/>
    <mergeCell ref="L111:N111"/>
    <mergeCell ref="B112:C112"/>
    <mergeCell ref="L112:N112"/>
    <mergeCell ref="F112:I112"/>
    <mergeCell ref="J112:K112"/>
    <mergeCell ref="F109:I109"/>
    <mergeCell ref="B110:C110"/>
    <mergeCell ref="L110:N110"/>
    <mergeCell ref="A95:S95"/>
    <mergeCell ref="A97:B97"/>
    <mergeCell ref="A98:B98"/>
    <mergeCell ref="A99:B99"/>
    <mergeCell ref="A100:B100"/>
    <mergeCell ref="A103:G103"/>
    <mergeCell ref="Q103:S103"/>
    <mergeCell ref="A104:A105"/>
    <mergeCell ref="B104:C105"/>
    <mergeCell ref="D104:D105"/>
    <mergeCell ref="E104:I104"/>
    <mergeCell ref="J104:K105"/>
    <mergeCell ref="L104:O104"/>
    <mergeCell ref="P104:P105"/>
    <mergeCell ref="Q104:Q105"/>
    <mergeCell ref="R104:S105"/>
    <mergeCell ref="F105:I105"/>
    <mergeCell ref="L105:N105"/>
    <mergeCell ref="R84:S84"/>
    <mergeCell ref="A86:A87"/>
    <mergeCell ref="B86:C87"/>
    <mergeCell ref="D86:D87"/>
    <mergeCell ref="E86:K86"/>
    <mergeCell ref="L86:N87"/>
    <mergeCell ref="G87:J87"/>
    <mergeCell ref="B88:C88"/>
    <mergeCell ref="G88:J88"/>
    <mergeCell ref="L88:N88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O56:O57"/>
    <mergeCell ref="B62:C62"/>
    <mergeCell ref="F62:H62"/>
    <mergeCell ref="I62:L62"/>
    <mergeCell ref="M62:N62"/>
    <mergeCell ref="F57:H57"/>
    <mergeCell ref="I57:L57"/>
    <mergeCell ref="M57:N57"/>
    <mergeCell ref="B61:C61"/>
    <mergeCell ref="F61:H61"/>
    <mergeCell ref="I61:L61"/>
    <mergeCell ref="M61:N61"/>
    <mergeCell ref="B44:C44"/>
    <mergeCell ref="F44:H44"/>
    <mergeCell ref="I44:L44"/>
    <mergeCell ref="M44:N44"/>
    <mergeCell ref="B45:C45"/>
    <mergeCell ref="F45:H45"/>
    <mergeCell ref="I45:L45"/>
    <mergeCell ref="M45:N45"/>
    <mergeCell ref="B46:C46"/>
    <mergeCell ref="F46:H46"/>
    <mergeCell ref="I46:L46"/>
    <mergeCell ref="M46:N46"/>
    <mergeCell ref="Q7:S7"/>
    <mergeCell ref="B42:C42"/>
    <mergeCell ref="F42:H42"/>
    <mergeCell ref="I42:L42"/>
    <mergeCell ref="M42:N42"/>
    <mergeCell ref="B43:C43"/>
    <mergeCell ref="F43:H43"/>
    <mergeCell ref="I43:L43"/>
    <mergeCell ref="M43:N43"/>
    <mergeCell ref="B12:C12"/>
    <mergeCell ref="F12:H12"/>
    <mergeCell ref="I12:L12"/>
    <mergeCell ref="M12:N12"/>
    <mergeCell ref="B13:C13"/>
    <mergeCell ref="F13:H13"/>
    <mergeCell ref="I13:L13"/>
    <mergeCell ref="M13:N13"/>
    <mergeCell ref="B10:C10"/>
    <mergeCell ref="F10:H10"/>
    <mergeCell ref="I10:L10"/>
    <mergeCell ref="M10:N10"/>
    <mergeCell ref="B11:C11"/>
    <mergeCell ref="F11:H11"/>
    <mergeCell ref="I11:L11"/>
    <mergeCell ref="A8:A9"/>
    <mergeCell ref="B8:C9"/>
    <mergeCell ref="D8:D9"/>
    <mergeCell ref="E8:N8"/>
    <mergeCell ref="O8:O9"/>
    <mergeCell ref="F9:H9"/>
    <mergeCell ref="I9:L9"/>
    <mergeCell ref="M9:N9"/>
    <mergeCell ref="A1:B1"/>
    <mergeCell ref="A2:B2"/>
    <mergeCell ref="A3:B3"/>
    <mergeCell ref="A4:B4"/>
    <mergeCell ref="A5:B5"/>
    <mergeCell ref="A7:G7"/>
    <mergeCell ref="M11:N11"/>
    <mergeCell ref="B16:C16"/>
    <mergeCell ref="F16:H16"/>
    <mergeCell ref="I16:L16"/>
    <mergeCell ref="M16:N16"/>
    <mergeCell ref="B17:C17"/>
    <mergeCell ref="F17:H17"/>
    <mergeCell ref="I17:L17"/>
    <mergeCell ref="M17:N17"/>
    <mergeCell ref="B14:C14"/>
    <mergeCell ref="F14:H14"/>
    <mergeCell ref="I14:L14"/>
    <mergeCell ref="M14:N14"/>
    <mergeCell ref="B15:C15"/>
    <mergeCell ref="F15:H15"/>
    <mergeCell ref="I15:L15"/>
    <mergeCell ref="M15:N15"/>
    <mergeCell ref="B20:C20"/>
    <mergeCell ref="F20:H20"/>
    <mergeCell ref="I20:L20"/>
    <mergeCell ref="M20:N20"/>
    <mergeCell ref="B21:C21"/>
    <mergeCell ref="F21:H21"/>
    <mergeCell ref="I21:L21"/>
    <mergeCell ref="M21:N21"/>
    <mergeCell ref="B18:C18"/>
    <mergeCell ref="F18:H18"/>
    <mergeCell ref="I18:L18"/>
    <mergeCell ref="M18:N18"/>
    <mergeCell ref="B19:C19"/>
    <mergeCell ref="F19:H19"/>
    <mergeCell ref="I19:L19"/>
    <mergeCell ref="M19:N19"/>
    <mergeCell ref="B24:C24"/>
    <mergeCell ref="F24:H24"/>
    <mergeCell ref="I24:L24"/>
    <mergeCell ref="M24:N24"/>
    <mergeCell ref="B25:C25"/>
    <mergeCell ref="F25:H25"/>
    <mergeCell ref="I25:L25"/>
    <mergeCell ref="M25:N25"/>
    <mergeCell ref="B22:C22"/>
    <mergeCell ref="F22:H22"/>
    <mergeCell ref="I22:L22"/>
    <mergeCell ref="M22:N22"/>
    <mergeCell ref="B23:C23"/>
    <mergeCell ref="F23:H23"/>
    <mergeCell ref="I23:L23"/>
    <mergeCell ref="M23:N23"/>
    <mergeCell ref="B28:C28"/>
    <mergeCell ref="F28:H28"/>
    <mergeCell ref="I28:L28"/>
    <mergeCell ref="M28:N28"/>
    <mergeCell ref="B29:C29"/>
    <mergeCell ref="F29:H29"/>
    <mergeCell ref="I29:L29"/>
    <mergeCell ref="M29:N29"/>
    <mergeCell ref="B26:C26"/>
    <mergeCell ref="F26:H26"/>
    <mergeCell ref="I26:L26"/>
    <mergeCell ref="M26:N26"/>
    <mergeCell ref="B27:C27"/>
    <mergeCell ref="F27:H27"/>
    <mergeCell ref="I27:L27"/>
    <mergeCell ref="M27:N27"/>
    <mergeCell ref="B32:C32"/>
    <mergeCell ref="F32:H32"/>
    <mergeCell ref="I32:L32"/>
    <mergeCell ref="M32:N32"/>
    <mergeCell ref="B33:C33"/>
    <mergeCell ref="F33:H33"/>
    <mergeCell ref="I33:L33"/>
    <mergeCell ref="M33:N33"/>
    <mergeCell ref="B30:C30"/>
    <mergeCell ref="F30:H30"/>
    <mergeCell ref="I30:L30"/>
    <mergeCell ref="M30:N30"/>
    <mergeCell ref="B31:C31"/>
    <mergeCell ref="F31:H31"/>
    <mergeCell ref="I31:L31"/>
    <mergeCell ref="M31:N31"/>
    <mergeCell ref="B36:C36"/>
    <mergeCell ref="F36:H36"/>
    <mergeCell ref="I36:L36"/>
    <mergeCell ref="M36:N36"/>
    <mergeCell ref="B37:C37"/>
    <mergeCell ref="F37:H37"/>
    <mergeCell ref="I37:L37"/>
    <mergeCell ref="M37:N37"/>
    <mergeCell ref="B34:C34"/>
    <mergeCell ref="F34:H34"/>
    <mergeCell ref="I34:L34"/>
    <mergeCell ref="M34:N34"/>
    <mergeCell ref="B35:C35"/>
    <mergeCell ref="F35:H35"/>
    <mergeCell ref="I35:L35"/>
    <mergeCell ref="M35:N35"/>
    <mergeCell ref="B40:C40"/>
    <mergeCell ref="F40:H40"/>
    <mergeCell ref="I40:L40"/>
    <mergeCell ref="M40:N40"/>
    <mergeCell ref="B41:C41"/>
    <mergeCell ref="F41:H41"/>
    <mergeCell ref="I41:L41"/>
    <mergeCell ref="M41:N41"/>
    <mergeCell ref="B38:C38"/>
    <mergeCell ref="F38:H38"/>
    <mergeCell ref="I38:L38"/>
    <mergeCell ref="M38:N38"/>
    <mergeCell ref="B39:C39"/>
    <mergeCell ref="F39:H39"/>
    <mergeCell ref="I39:L39"/>
    <mergeCell ref="M39:N39"/>
    <mergeCell ref="A47:S47"/>
    <mergeCell ref="A49:B49"/>
    <mergeCell ref="A50:B50"/>
    <mergeCell ref="A51:B51"/>
    <mergeCell ref="A52:B52"/>
    <mergeCell ref="B60:C60"/>
    <mergeCell ref="F60:H60"/>
    <mergeCell ref="I60:L60"/>
    <mergeCell ref="M60:N60"/>
    <mergeCell ref="B58:C58"/>
    <mergeCell ref="F58:H58"/>
    <mergeCell ref="I58:L58"/>
    <mergeCell ref="M58:N58"/>
    <mergeCell ref="B59:C59"/>
    <mergeCell ref="F59:H59"/>
    <mergeCell ref="I59:L59"/>
    <mergeCell ref="M59:N59"/>
    <mergeCell ref="A53:B53"/>
    <mergeCell ref="A55:G55"/>
    <mergeCell ref="Q55:S55"/>
    <mergeCell ref="A56:A57"/>
    <mergeCell ref="B56:C57"/>
    <mergeCell ref="D56:D57"/>
    <mergeCell ref="E56:N56"/>
    <mergeCell ref="B66:C66"/>
    <mergeCell ref="F66:I66"/>
    <mergeCell ref="J66:K66"/>
    <mergeCell ref="L66:N66"/>
    <mergeCell ref="A64:A65"/>
    <mergeCell ref="B64:C65"/>
    <mergeCell ref="D64:D65"/>
    <mergeCell ref="E64:I64"/>
    <mergeCell ref="J64:K65"/>
    <mergeCell ref="L64:O64"/>
    <mergeCell ref="F65:I65"/>
    <mergeCell ref="L65:N65"/>
    <mergeCell ref="B70:C70"/>
    <mergeCell ref="F70:I70"/>
    <mergeCell ref="J70:K70"/>
    <mergeCell ref="L70:N70"/>
    <mergeCell ref="B71:C71"/>
    <mergeCell ref="F71:I71"/>
    <mergeCell ref="J71:K71"/>
    <mergeCell ref="L71:N71"/>
    <mergeCell ref="F68:I68"/>
    <mergeCell ref="L68:N68"/>
    <mergeCell ref="B69:C69"/>
    <mergeCell ref="F69:I69"/>
    <mergeCell ref="J69:K69"/>
    <mergeCell ref="L69:N69"/>
    <mergeCell ref="B74:C74"/>
    <mergeCell ref="F74:I74"/>
    <mergeCell ref="J74:K74"/>
    <mergeCell ref="L74:N74"/>
    <mergeCell ref="B75:C75"/>
    <mergeCell ref="F75:I75"/>
    <mergeCell ref="J75:K75"/>
    <mergeCell ref="L75:N75"/>
    <mergeCell ref="B72:C72"/>
    <mergeCell ref="F72:I72"/>
    <mergeCell ref="J72:K72"/>
    <mergeCell ref="L72:N72"/>
    <mergeCell ref="B73:C73"/>
    <mergeCell ref="F73:I73"/>
    <mergeCell ref="J73:K73"/>
    <mergeCell ref="L73:N73"/>
    <mergeCell ref="B78:C78"/>
    <mergeCell ref="F78:I78"/>
    <mergeCell ref="J78:K78"/>
    <mergeCell ref="L78:N78"/>
    <mergeCell ref="B79:C79"/>
    <mergeCell ref="F79:I79"/>
    <mergeCell ref="J79:K79"/>
    <mergeCell ref="L79:N79"/>
    <mergeCell ref="B76:C76"/>
    <mergeCell ref="F76:I76"/>
    <mergeCell ref="J76:K76"/>
    <mergeCell ref="L76:N76"/>
    <mergeCell ref="B77:C77"/>
    <mergeCell ref="F77:I77"/>
    <mergeCell ref="J77:K77"/>
    <mergeCell ref="L77:N77"/>
    <mergeCell ref="G93:J93"/>
    <mergeCell ref="L93:N93"/>
    <mergeCell ref="B92:C92"/>
    <mergeCell ref="B83:C83"/>
    <mergeCell ref="F83:I83"/>
    <mergeCell ref="J83:K83"/>
    <mergeCell ref="L83:N83"/>
    <mergeCell ref="B80:C80"/>
    <mergeCell ref="F80:I80"/>
    <mergeCell ref="J80:K80"/>
    <mergeCell ref="L80:N80"/>
    <mergeCell ref="B81:C81"/>
    <mergeCell ref="F81:I81"/>
    <mergeCell ref="J81:K81"/>
    <mergeCell ref="L81:N81"/>
    <mergeCell ref="B84:C84"/>
    <mergeCell ref="F84:I84"/>
    <mergeCell ref="J84:K84"/>
    <mergeCell ref="L84:N84"/>
    <mergeCell ref="B89:C89"/>
    <mergeCell ref="G89:J89"/>
    <mergeCell ref="L89:N89"/>
    <mergeCell ref="B90:C90"/>
    <mergeCell ref="L90:N90"/>
    <mergeCell ref="F111:I111"/>
    <mergeCell ref="J111:K111"/>
    <mergeCell ref="L109:N109"/>
    <mergeCell ref="P64:P65"/>
    <mergeCell ref="Q64:Q65"/>
    <mergeCell ref="R64:S65"/>
    <mergeCell ref="A101:B101"/>
    <mergeCell ref="B67:C67"/>
    <mergeCell ref="F67:I67"/>
    <mergeCell ref="J67:K67"/>
    <mergeCell ref="L67:N67"/>
    <mergeCell ref="B68:C68"/>
    <mergeCell ref="J68:K68"/>
    <mergeCell ref="B91:C91"/>
    <mergeCell ref="L91:N91"/>
    <mergeCell ref="G90:J90"/>
    <mergeCell ref="G91:J91"/>
    <mergeCell ref="B82:C82"/>
    <mergeCell ref="F82:I82"/>
    <mergeCell ref="J82:K82"/>
    <mergeCell ref="L82:N82"/>
    <mergeCell ref="G92:J92"/>
    <mergeCell ref="L92:N92"/>
    <mergeCell ref="B93:C93"/>
    <mergeCell ref="B106:C106"/>
    <mergeCell ref="F106:I106"/>
    <mergeCell ref="J106:K106"/>
    <mergeCell ref="L106:N106"/>
    <mergeCell ref="F110:I110"/>
    <mergeCell ref="J110:K110"/>
    <mergeCell ref="B109:C109"/>
    <mergeCell ref="J109:K109"/>
    <mergeCell ref="R109:S109"/>
    <mergeCell ref="R110:S110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44"/>
  <sheetViews>
    <sheetView workbookViewId="0">
      <selection sqref="A1:XFD1048576"/>
    </sheetView>
  </sheetViews>
  <sheetFormatPr defaultRowHeight="15"/>
  <cols>
    <col min="1" max="1" width="1.7109375" customWidth="1"/>
    <col min="2" max="2" width="28.7109375" customWidth="1"/>
    <col min="3" max="4" width="11.7109375" bestFit="1" customWidth="1"/>
    <col min="5" max="6" width="10.85546875" bestFit="1" customWidth="1"/>
    <col min="7" max="7" width="7.7109375" bestFit="1" customWidth="1"/>
    <col min="8" max="8" width="11.7109375" bestFit="1" customWidth="1"/>
    <col min="9" max="10" width="10.85546875" bestFit="1" customWidth="1"/>
    <col min="11" max="11" width="7.85546875" bestFit="1" customWidth="1"/>
    <col min="12" max="12" width="11.7109375" bestFit="1" customWidth="1"/>
  </cols>
  <sheetData>
    <row r="1" spans="1:12">
      <c r="A1" s="659" t="s">
        <v>698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</row>
    <row r="2" spans="1:12">
      <c r="A2" s="659" t="s">
        <v>1649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</row>
    <row r="3" spans="1:12">
      <c r="A3" s="660" t="s">
        <v>1650</v>
      </c>
      <c r="B3" s="660"/>
      <c r="C3" s="660"/>
      <c r="D3" s="660"/>
      <c r="E3" s="660"/>
      <c r="F3" s="660"/>
      <c r="G3" s="660"/>
      <c r="H3" s="660"/>
      <c r="I3" s="660"/>
      <c r="J3" s="660"/>
      <c r="K3" s="660"/>
      <c r="L3" s="660"/>
    </row>
    <row r="4" spans="1:12">
      <c r="A4" s="659" t="s">
        <v>660</v>
      </c>
      <c r="B4" s="659"/>
      <c r="C4" s="659"/>
      <c r="D4" s="659"/>
      <c r="E4" s="659"/>
      <c r="F4" s="659"/>
      <c r="G4" s="659"/>
      <c r="H4" s="659"/>
      <c r="I4" s="659"/>
      <c r="J4" s="659"/>
      <c r="K4" s="659"/>
      <c r="L4" s="659"/>
    </row>
    <row r="5" spans="1:12">
      <c r="A5" s="659" t="s">
        <v>1744</v>
      </c>
      <c r="B5" s="659"/>
      <c r="C5" s="659"/>
      <c r="D5" s="659"/>
      <c r="E5" s="659"/>
      <c r="F5" s="659"/>
      <c r="G5" s="659"/>
      <c r="H5" s="659"/>
      <c r="I5" s="659"/>
      <c r="J5" s="659"/>
      <c r="K5" s="659"/>
      <c r="L5" s="659"/>
    </row>
    <row r="7" spans="1:12">
      <c r="A7" s="659" t="s">
        <v>1651</v>
      </c>
      <c r="B7" s="659"/>
      <c r="C7" s="659"/>
      <c r="D7" s="659"/>
      <c r="E7" s="659"/>
      <c r="L7" s="505" t="s">
        <v>766</v>
      </c>
    </row>
    <row r="8" spans="1:12">
      <c r="A8" s="753" t="s">
        <v>1652</v>
      </c>
      <c r="B8" s="754"/>
      <c r="C8" s="506" t="s">
        <v>1653</v>
      </c>
      <c r="D8" s="506" t="s">
        <v>1653</v>
      </c>
      <c r="E8" s="759" t="s">
        <v>714</v>
      </c>
      <c r="F8" s="759"/>
      <c r="G8" s="759"/>
      <c r="H8" s="506" t="s">
        <v>1026</v>
      </c>
      <c r="I8" s="759" t="s">
        <v>715</v>
      </c>
      <c r="J8" s="759"/>
      <c r="K8" s="759"/>
      <c r="L8" s="507" t="s">
        <v>1654</v>
      </c>
    </row>
    <row r="9" spans="1:12">
      <c r="A9" s="755"/>
      <c r="B9" s="756"/>
      <c r="C9" s="508" t="s">
        <v>1655</v>
      </c>
      <c r="D9" s="508" t="s">
        <v>1656</v>
      </c>
      <c r="E9" s="508" t="s">
        <v>870</v>
      </c>
      <c r="F9" s="508" t="s">
        <v>731</v>
      </c>
      <c r="G9" s="508" t="s">
        <v>279</v>
      </c>
      <c r="H9" s="508" t="s">
        <v>1657</v>
      </c>
      <c r="I9" s="508" t="s">
        <v>870</v>
      </c>
      <c r="J9" s="508" t="s">
        <v>731</v>
      </c>
      <c r="K9" s="508" t="s">
        <v>279</v>
      </c>
      <c r="L9" s="509" t="s">
        <v>1657</v>
      </c>
    </row>
    <row r="10" spans="1:12">
      <c r="A10" s="757"/>
      <c r="B10" s="758"/>
      <c r="C10" s="510" t="s">
        <v>1657</v>
      </c>
      <c r="D10" s="510" t="s">
        <v>733</v>
      </c>
      <c r="E10" s="510" t="s">
        <v>1657</v>
      </c>
      <c r="F10" s="510" t="s">
        <v>734</v>
      </c>
      <c r="G10" s="510" t="s">
        <v>1658</v>
      </c>
      <c r="H10" s="510" t="s">
        <v>1191</v>
      </c>
      <c r="I10" s="510" t="s">
        <v>1657</v>
      </c>
      <c r="J10" s="510" t="s">
        <v>778</v>
      </c>
      <c r="K10" s="510" t="s">
        <v>1659</v>
      </c>
      <c r="L10" s="511" t="s">
        <v>1660</v>
      </c>
    </row>
    <row r="11" spans="1:12" ht="0.95" customHeight="1"/>
    <row r="12" spans="1:12">
      <c r="A12" s="512" t="s">
        <v>1661</v>
      </c>
      <c r="B12" s="513"/>
      <c r="C12" s="514">
        <v>134785727.71000001</v>
      </c>
      <c r="D12" s="514">
        <v>138166136.71000001</v>
      </c>
      <c r="E12" s="514">
        <v>19903943.920000002</v>
      </c>
      <c r="F12" s="514">
        <v>44896808.420000002</v>
      </c>
      <c r="G12" s="514">
        <v>81.17</v>
      </c>
      <c r="H12" s="514">
        <v>93269328.290000007</v>
      </c>
      <c r="I12" s="514">
        <v>20537031.609999999</v>
      </c>
      <c r="J12" s="514">
        <v>37618179</v>
      </c>
      <c r="K12" s="514">
        <v>78.319999999999993</v>
      </c>
      <c r="L12" s="515">
        <v>100547957.70999999</v>
      </c>
    </row>
    <row r="13" spans="1:12">
      <c r="A13" s="747" t="s">
        <v>1662</v>
      </c>
      <c r="B13" s="748"/>
      <c r="C13" s="516">
        <v>4038528.52</v>
      </c>
      <c r="D13" s="516">
        <v>4038528.52</v>
      </c>
      <c r="E13" s="516">
        <v>557376.07999999996</v>
      </c>
      <c r="F13" s="516">
        <v>1459990.68</v>
      </c>
      <c r="G13" s="517">
        <v>2.64</v>
      </c>
      <c r="H13" s="516">
        <v>2578537.84</v>
      </c>
      <c r="I13" s="516">
        <v>610444.14</v>
      </c>
      <c r="J13" s="516">
        <v>1208472.46</v>
      </c>
      <c r="K13" s="516">
        <v>2.52</v>
      </c>
      <c r="L13" s="518">
        <v>2830056.06</v>
      </c>
    </row>
    <row r="14" spans="1:12">
      <c r="B14" s="546" t="s">
        <v>1663</v>
      </c>
      <c r="C14" s="516">
        <v>4038528.52</v>
      </c>
      <c r="D14" s="516">
        <v>4038528.52</v>
      </c>
      <c r="E14" s="516">
        <v>557376.07999999996</v>
      </c>
      <c r="F14" s="516">
        <v>1459990.68</v>
      </c>
      <c r="G14" s="517">
        <v>2.64</v>
      </c>
      <c r="H14" s="516">
        <v>2578537.84</v>
      </c>
      <c r="I14" s="516">
        <v>610444.14</v>
      </c>
      <c r="J14" s="516">
        <v>1208472.46</v>
      </c>
      <c r="K14" s="517">
        <v>2.52</v>
      </c>
      <c r="L14" s="518">
        <v>2830056.06</v>
      </c>
    </row>
    <row r="15" spans="1:12">
      <c r="A15" s="747" t="s">
        <v>1664</v>
      </c>
      <c r="B15" s="748"/>
      <c r="C15" s="516">
        <v>18000</v>
      </c>
      <c r="D15" s="516">
        <v>18000</v>
      </c>
      <c r="E15" s="516">
        <v>0</v>
      </c>
      <c r="F15" s="516">
        <v>0</v>
      </c>
      <c r="G15" s="517">
        <v>0</v>
      </c>
      <c r="H15" s="516">
        <v>18000</v>
      </c>
      <c r="I15" s="516">
        <v>0</v>
      </c>
      <c r="J15" s="516">
        <v>0</v>
      </c>
      <c r="K15" s="516">
        <v>0</v>
      </c>
      <c r="L15" s="518">
        <v>18000</v>
      </c>
    </row>
    <row r="16" spans="1:12">
      <c r="B16" s="546" t="s">
        <v>1665</v>
      </c>
      <c r="C16" s="516">
        <v>18000</v>
      </c>
      <c r="D16" s="516">
        <v>18000</v>
      </c>
      <c r="E16" s="516">
        <v>0</v>
      </c>
      <c r="F16" s="516">
        <v>0</v>
      </c>
      <c r="G16" s="517">
        <v>0</v>
      </c>
      <c r="H16" s="516">
        <v>18000</v>
      </c>
      <c r="I16" s="516">
        <v>0</v>
      </c>
      <c r="J16" s="516">
        <v>0</v>
      </c>
      <c r="K16" s="517">
        <v>0</v>
      </c>
      <c r="L16" s="518">
        <v>18000</v>
      </c>
    </row>
    <row r="17" spans="1:12">
      <c r="A17" s="747" t="s">
        <v>1666</v>
      </c>
      <c r="B17" s="748"/>
      <c r="C17" s="516">
        <v>17954019.969999999</v>
      </c>
      <c r="D17" s="516">
        <v>17795897.530000001</v>
      </c>
      <c r="E17" s="516">
        <v>2945152.42</v>
      </c>
      <c r="F17" s="516">
        <v>6169114.1600000001</v>
      </c>
      <c r="G17" s="517">
        <v>11.15</v>
      </c>
      <c r="H17" s="516">
        <v>11626783.369999999</v>
      </c>
      <c r="I17" s="516">
        <v>2977515.82</v>
      </c>
      <c r="J17" s="516">
        <v>5671806.3200000003</v>
      </c>
      <c r="K17" s="516">
        <v>11.81</v>
      </c>
      <c r="L17" s="518">
        <v>12124091.210000001</v>
      </c>
    </row>
    <row r="18" spans="1:12">
      <c r="B18" s="546" t="s">
        <v>1667</v>
      </c>
      <c r="C18" s="516">
        <v>101985.48</v>
      </c>
      <c r="D18" s="516">
        <v>117974.48</v>
      </c>
      <c r="E18" s="516">
        <v>16486.990000000002</v>
      </c>
      <c r="F18" s="516">
        <v>44578.400000000001</v>
      </c>
      <c r="G18" s="517">
        <v>0.08</v>
      </c>
      <c r="H18" s="516">
        <v>73396.08</v>
      </c>
      <c r="I18" s="516">
        <v>16140.23</v>
      </c>
      <c r="J18" s="516">
        <v>25197.119999999999</v>
      </c>
      <c r="K18" s="517">
        <v>0.05</v>
      </c>
      <c r="L18" s="518">
        <v>92777.36</v>
      </c>
    </row>
    <row r="19" spans="1:12">
      <c r="B19" s="546" t="s">
        <v>1668</v>
      </c>
      <c r="C19" s="516">
        <v>15635847.16</v>
      </c>
      <c r="D19" s="516">
        <v>15430562.720000001</v>
      </c>
      <c r="E19" s="516">
        <v>2556672.7799999998</v>
      </c>
      <c r="F19" s="516">
        <v>5250984.26</v>
      </c>
      <c r="G19" s="517">
        <v>9.49</v>
      </c>
      <c r="H19" s="516">
        <v>10179578.460000001</v>
      </c>
      <c r="I19" s="516">
        <v>2583731.92</v>
      </c>
      <c r="J19" s="516">
        <v>4933567.45</v>
      </c>
      <c r="K19" s="517">
        <v>10.27</v>
      </c>
      <c r="L19" s="518">
        <v>10496995.27</v>
      </c>
    </row>
    <row r="20" spans="1:12">
      <c r="B20" s="546" t="s">
        <v>1669</v>
      </c>
      <c r="C20" s="516">
        <v>573492.69999999995</v>
      </c>
      <c r="D20" s="516">
        <v>612807.69999999995</v>
      </c>
      <c r="E20" s="516">
        <v>150229.78</v>
      </c>
      <c r="F20" s="516">
        <v>412538.55</v>
      </c>
      <c r="G20" s="517">
        <v>0.75</v>
      </c>
      <c r="H20" s="516">
        <v>200269.15</v>
      </c>
      <c r="I20" s="516">
        <v>152618.28</v>
      </c>
      <c r="J20" s="516">
        <v>277431.59000000003</v>
      </c>
      <c r="K20" s="517">
        <v>0.57999999999999996</v>
      </c>
      <c r="L20" s="518">
        <v>335376.11</v>
      </c>
    </row>
    <row r="21" spans="1:12">
      <c r="B21" s="546" t="s">
        <v>1670</v>
      </c>
      <c r="C21" s="516">
        <v>10000</v>
      </c>
      <c r="D21" s="516">
        <v>10000</v>
      </c>
      <c r="E21" s="516">
        <v>0</v>
      </c>
      <c r="F21" s="516">
        <v>0</v>
      </c>
      <c r="G21" s="517">
        <v>0</v>
      </c>
      <c r="H21" s="516">
        <v>10000</v>
      </c>
      <c r="I21" s="516">
        <v>0</v>
      </c>
      <c r="J21" s="516">
        <v>0</v>
      </c>
      <c r="K21" s="517">
        <v>0</v>
      </c>
      <c r="L21" s="518">
        <v>10000</v>
      </c>
    </row>
    <row r="22" spans="1:12">
      <c r="B22" s="546" t="s">
        <v>1671</v>
      </c>
      <c r="C22" s="516">
        <v>500</v>
      </c>
      <c r="D22" s="516">
        <v>500</v>
      </c>
      <c r="E22" s="516">
        <v>0</v>
      </c>
      <c r="F22" s="516">
        <v>0</v>
      </c>
      <c r="G22" s="517">
        <v>0</v>
      </c>
      <c r="H22" s="516">
        <v>500</v>
      </c>
      <c r="I22" s="516">
        <v>0</v>
      </c>
      <c r="J22" s="516">
        <v>0</v>
      </c>
      <c r="K22" s="517">
        <v>0</v>
      </c>
      <c r="L22" s="518">
        <v>500</v>
      </c>
    </row>
    <row r="23" spans="1:12">
      <c r="B23" s="546" t="s">
        <v>1672</v>
      </c>
      <c r="C23" s="516">
        <v>66000</v>
      </c>
      <c r="D23" s="516">
        <v>66000</v>
      </c>
      <c r="E23" s="516">
        <v>1040</v>
      </c>
      <c r="F23" s="516">
        <v>21058.07</v>
      </c>
      <c r="G23" s="517">
        <v>0.04</v>
      </c>
      <c r="H23" s="516">
        <v>44941.93</v>
      </c>
      <c r="I23" s="516">
        <v>6672.69</v>
      </c>
      <c r="J23" s="516">
        <v>20018.07</v>
      </c>
      <c r="K23" s="517">
        <v>0.04</v>
      </c>
      <c r="L23" s="518">
        <v>45981.93</v>
      </c>
    </row>
    <row r="24" spans="1:12">
      <c r="B24" s="546" t="s">
        <v>1673</v>
      </c>
      <c r="C24" s="516">
        <v>29000</v>
      </c>
      <c r="D24" s="516">
        <v>27001</v>
      </c>
      <c r="E24" s="516">
        <v>5759.3</v>
      </c>
      <c r="F24" s="516">
        <v>6359.3</v>
      </c>
      <c r="G24" s="517">
        <v>0.01</v>
      </c>
      <c r="H24" s="516">
        <v>20641.7</v>
      </c>
      <c r="I24" s="516">
        <v>998</v>
      </c>
      <c r="J24" s="516">
        <v>998</v>
      </c>
      <c r="K24" s="517">
        <v>0</v>
      </c>
      <c r="L24" s="518">
        <v>26003</v>
      </c>
    </row>
    <row r="25" spans="1:12">
      <c r="B25" s="546" t="s">
        <v>1674</v>
      </c>
      <c r="C25" s="516">
        <v>10500</v>
      </c>
      <c r="D25" s="516">
        <v>1501</v>
      </c>
      <c r="E25" s="516">
        <v>0</v>
      </c>
      <c r="F25" s="516">
        <v>0</v>
      </c>
      <c r="G25" s="517">
        <v>0</v>
      </c>
      <c r="H25" s="516">
        <v>1501</v>
      </c>
      <c r="I25" s="516">
        <v>0</v>
      </c>
      <c r="J25" s="516">
        <v>0</v>
      </c>
      <c r="K25" s="517">
        <v>0</v>
      </c>
      <c r="L25" s="518">
        <v>1501</v>
      </c>
    </row>
    <row r="26" spans="1:12">
      <c r="B26" s="546" t="s">
        <v>1675</v>
      </c>
      <c r="C26" s="516">
        <v>9000</v>
      </c>
      <c r="D26" s="516">
        <v>9000</v>
      </c>
      <c r="E26" s="516">
        <v>0</v>
      </c>
      <c r="F26" s="516">
        <v>0</v>
      </c>
      <c r="G26" s="517">
        <v>0</v>
      </c>
      <c r="H26" s="516">
        <v>9000</v>
      </c>
      <c r="I26" s="516">
        <v>0</v>
      </c>
      <c r="J26" s="516">
        <v>0</v>
      </c>
      <c r="K26" s="517">
        <v>0</v>
      </c>
      <c r="L26" s="518">
        <v>9000</v>
      </c>
    </row>
    <row r="27" spans="1:12">
      <c r="B27" s="546" t="s">
        <v>1676</v>
      </c>
      <c r="C27" s="516">
        <v>539989.76000000001</v>
      </c>
      <c r="D27" s="516">
        <v>539989.76000000001</v>
      </c>
      <c r="E27" s="516">
        <v>85793.71</v>
      </c>
      <c r="F27" s="516">
        <v>169660.7</v>
      </c>
      <c r="G27" s="517">
        <v>0.31</v>
      </c>
      <c r="H27" s="516">
        <v>370329.06</v>
      </c>
      <c r="I27" s="516">
        <v>85793.71</v>
      </c>
      <c r="J27" s="516">
        <v>169660.7</v>
      </c>
      <c r="K27" s="517">
        <v>0.35</v>
      </c>
      <c r="L27" s="518">
        <v>370329.06</v>
      </c>
    </row>
    <row r="28" spans="1:12">
      <c r="B28" s="546" t="s">
        <v>1677</v>
      </c>
      <c r="C28" s="516">
        <v>10</v>
      </c>
      <c r="D28" s="516">
        <v>10</v>
      </c>
      <c r="E28" s="516">
        <v>0</v>
      </c>
      <c r="F28" s="516">
        <v>0</v>
      </c>
      <c r="G28" s="517">
        <v>0</v>
      </c>
      <c r="H28" s="516">
        <v>10</v>
      </c>
      <c r="I28" s="516">
        <v>0</v>
      </c>
      <c r="J28" s="516">
        <v>0</v>
      </c>
      <c r="K28" s="517">
        <v>0</v>
      </c>
      <c r="L28" s="518">
        <v>10</v>
      </c>
    </row>
    <row r="29" spans="1:12">
      <c r="B29" s="546" t="s">
        <v>1678</v>
      </c>
      <c r="C29" s="516">
        <v>816074.1</v>
      </c>
      <c r="D29" s="516">
        <v>816074.1</v>
      </c>
      <c r="E29" s="516">
        <v>128134.64</v>
      </c>
      <c r="F29" s="516">
        <v>236510.2</v>
      </c>
      <c r="G29" s="517">
        <v>0.43</v>
      </c>
      <c r="H29" s="516">
        <v>579563.9</v>
      </c>
      <c r="I29" s="516">
        <v>114961.92</v>
      </c>
      <c r="J29" s="516">
        <v>223337.48</v>
      </c>
      <c r="K29" s="517">
        <v>0.46</v>
      </c>
      <c r="L29" s="518">
        <v>592736.62</v>
      </c>
    </row>
    <row r="30" spans="1:12">
      <c r="B30" s="546" t="s">
        <v>1679</v>
      </c>
      <c r="C30" s="516">
        <v>161620.76999999999</v>
      </c>
      <c r="D30" s="516">
        <v>164476.76999999999</v>
      </c>
      <c r="E30" s="516">
        <v>1035.22</v>
      </c>
      <c r="F30" s="516">
        <v>27424.68</v>
      </c>
      <c r="G30" s="517">
        <v>0.05</v>
      </c>
      <c r="H30" s="516">
        <v>137052.09</v>
      </c>
      <c r="I30" s="516">
        <v>16599.07</v>
      </c>
      <c r="J30" s="516">
        <v>21595.91</v>
      </c>
      <c r="K30" s="517">
        <v>0.04</v>
      </c>
      <c r="L30" s="518">
        <v>142880.85999999999</v>
      </c>
    </row>
    <row r="31" spans="1:12">
      <c r="A31" s="747" t="s">
        <v>1680</v>
      </c>
      <c r="B31" s="748"/>
      <c r="C31" s="516">
        <v>119219.65</v>
      </c>
      <c r="D31" s="516">
        <v>177482.65</v>
      </c>
      <c r="E31" s="516">
        <v>20261.66</v>
      </c>
      <c r="F31" s="516">
        <v>25761.47</v>
      </c>
      <c r="G31" s="517">
        <v>0.05</v>
      </c>
      <c r="H31" s="516">
        <v>151721.18</v>
      </c>
      <c r="I31" s="516">
        <v>12630.67</v>
      </c>
      <c r="J31" s="516">
        <v>14992.01</v>
      </c>
      <c r="K31" s="516">
        <v>0.03</v>
      </c>
      <c r="L31" s="518">
        <v>162490.64000000001</v>
      </c>
    </row>
    <row r="32" spans="1:12">
      <c r="B32" s="546" t="s">
        <v>1681</v>
      </c>
      <c r="C32" s="516">
        <v>25793</v>
      </c>
      <c r="D32" s="516">
        <v>25793</v>
      </c>
      <c r="E32" s="516">
        <v>0</v>
      </c>
      <c r="F32" s="516">
        <v>0</v>
      </c>
      <c r="G32" s="517">
        <v>0</v>
      </c>
      <c r="H32" s="516">
        <v>25793</v>
      </c>
      <c r="I32" s="516">
        <v>0</v>
      </c>
      <c r="J32" s="516">
        <v>0</v>
      </c>
      <c r="K32" s="517">
        <v>0</v>
      </c>
      <c r="L32" s="518">
        <v>25793</v>
      </c>
    </row>
    <row r="33" spans="1:12">
      <c r="B33" s="546" t="s">
        <v>1682</v>
      </c>
      <c r="C33" s="516">
        <v>93425.65</v>
      </c>
      <c r="D33" s="516">
        <v>151688.65</v>
      </c>
      <c r="E33" s="516">
        <v>20261.66</v>
      </c>
      <c r="F33" s="516">
        <v>25761.47</v>
      </c>
      <c r="G33" s="517">
        <v>0.05</v>
      </c>
      <c r="H33" s="516">
        <v>125927.18</v>
      </c>
      <c r="I33" s="516">
        <v>12630.67</v>
      </c>
      <c r="J33" s="516">
        <v>14992.01</v>
      </c>
      <c r="K33" s="517">
        <v>0.03</v>
      </c>
      <c r="L33" s="518">
        <v>136696.64000000001</v>
      </c>
    </row>
    <row r="34" spans="1:12">
      <c r="B34" s="546" t="s">
        <v>1678</v>
      </c>
      <c r="C34" s="516">
        <v>1</v>
      </c>
      <c r="D34" s="516">
        <v>1</v>
      </c>
      <c r="E34" s="516">
        <v>0</v>
      </c>
      <c r="F34" s="516">
        <v>0</v>
      </c>
      <c r="G34" s="517">
        <v>0</v>
      </c>
      <c r="H34" s="516">
        <v>1</v>
      </c>
      <c r="I34" s="516">
        <v>0</v>
      </c>
      <c r="J34" s="516">
        <v>0</v>
      </c>
      <c r="K34" s="517">
        <v>0</v>
      </c>
      <c r="L34" s="518">
        <v>1</v>
      </c>
    </row>
    <row r="35" spans="1:12">
      <c r="A35" s="747" t="s">
        <v>1683</v>
      </c>
      <c r="B35" s="748"/>
      <c r="C35" s="516">
        <v>1567190.17</v>
      </c>
      <c r="D35" s="516">
        <v>1630750.34</v>
      </c>
      <c r="E35" s="516">
        <v>120855.3</v>
      </c>
      <c r="F35" s="516">
        <v>455800.76</v>
      </c>
      <c r="G35" s="517">
        <v>0.82</v>
      </c>
      <c r="H35" s="516">
        <v>1174949.58</v>
      </c>
      <c r="I35" s="516">
        <v>133172.54</v>
      </c>
      <c r="J35" s="516">
        <v>235369.98</v>
      </c>
      <c r="K35" s="516">
        <v>0.49</v>
      </c>
      <c r="L35" s="518">
        <v>1395380.36</v>
      </c>
    </row>
    <row r="36" spans="1:12">
      <c r="B36" s="546" t="s">
        <v>1668</v>
      </c>
      <c r="C36" s="516">
        <v>215412.17</v>
      </c>
      <c r="D36" s="516">
        <v>218862.17</v>
      </c>
      <c r="E36" s="516">
        <v>9781.2800000000007</v>
      </c>
      <c r="F36" s="516">
        <v>92935.02</v>
      </c>
      <c r="G36" s="517">
        <v>0.17</v>
      </c>
      <c r="H36" s="516">
        <v>125927.15</v>
      </c>
      <c r="I36" s="516">
        <v>30143.75</v>
      </c>
      <c r="J36" s="516">
        <v>55588.14</v>
      </c>
      <c r="K36" s="517">
        <v>0.12</v>
      </c>
      <c r="L36" s="518">
        <v>163274.03</v>
      </c>
    </row>
    <row r="37" spans="1:12">
      <c r="B37" s="546" t="s">
        <v>1684</v>
      </c>
      <c r="C37" s="516">
        <v>117626</v>
      </c>
      <c r="D37" s="516">
        <v>127626</v>
      </c>
      <c r="E37" s="516">
        <v>9600.08</v>
      </c>
      <c r="F37" s="516">
        <v>11047.27</v>
      </c>
      <c r="G37" s="517">
        <v>0.02</v>
      </c>
      <c r="H37" s="516">
        <v>116578.73</v>
      </c>
      <c r="I37" s="516">
        <v>7267.2</v>
      </c>
      <c r="J37" s="516">
        <v>8714.39</v>
      </c>
      <c r="K37" s="517">
        <v>0.02</v>
      </c>
      <c r="L37" s="518">
        <v>118911.61</v>
      </c>
    </row>
    <row r="38" spans="1:12">
      <c r="B38" s="546" t="s">
        <v>1685</v>
      </c>
      <c r="C38" s="516">
        <v>77113</v>
      </c>
      <c r="D38" s="516">
        <v>77113</v>
      </c>
      <c r="E38" s="516">
        <v>0</v>
      </c>
      <c r="F38" s="516">
        <v>5016.3500000000004</v>
      </c>
      <c r="G38" s="517">
        <v>0.01</v>
      </c>
      <c r="H38" s="516">
        <v>72096.649999999994</v>
      </c>
      <c r="I38" s="516">
        <v>0</v>
      </c>
      <c r="J38" s="516">
        <v>5016.3500000000004</v>
      </c>
      <c r="K38" s="517">
        <v>0.01</v>
      </c>
      <c r="L38" s="518">
        <v>72096.649999999994</v>
      </c>
    </row>
    <row r="39" spans="1:12">
      <c r="B39" s="546" t="s">
        <v>1686</v>
      </c>
      <c r="C39" s="516">
        <v>497407.23</v>
      </c>
      <c r="D39" s="516">
        <v>554122.23</v>
      </c>
      <c r="E39" s="516">
        <v>56364.77</v>
      </c>
      <c r="F39" s="516">
        <v>229870.02</v>
      </c>
      <c r="G39" s="517">
        <v>0.42</v>
      </c>
      <c r="H39" s="516">
        <v>324252.21000000002</v>
      </c>
      <c r="I39" s="516">
        <v>54601.19</v>
      </c>
      <c r="J39" s="516">
        <v>97957.86</v>
      </c>
      <c r="K39" s="517">
        <v>0.2</v>
      </c>
      <c r="L39" s="518">
        <v>456164.37</v>
      </c>
    </row>
    <row r="40" spans="1:12">
      <c r="B40" s="546" t="s">
        <v>1687</v>
      </c>
      <c r="C40" s="516">
        <v>582654.77</v>
      </c>
      <c r="D40" s="516">
        <v>574049.93999999994</v>
      </c>
      <c r="E40" s="516">
        <v>37353.769999999997</v>
      </c>
      <c r="F40" s="516">
        <v>105029.3</v>
      </c>
      <c r="G40" s="517">
        <v>0.19</v>
      </c>
      <c r="H40" s="516">
        <v>469020.64</v>
      </c>
      <c r="I40" s="516">
        <v>38567.4</v>
      </c>
      <c r="J40" s="516">
        <v>61352.84</v>
      </c>
      <c r="K40" s="517">
        <v>0.13</v>
      </c>
      <c r="L40" s="518">
        <v>512697.1</v>
      </c>
    </row>
    <row r="41" spans="1:12">
      <c r="B41" s="546" t="s">
        <v>1676</v>
      </c>
      <c r="C41" s="516">
        <v>8559.23</v>
      </c>
      <c r="D41" s="516">
        <v>8559.23</v>
      </c>
      <c r="E41" s="516">
        <v>0</v>
      </c>
      <c r="F41" s="516">
        <v>0</v>
      </c>
      <c r="G41" s="517">
        <v>0</v>
      </c>
      <c r="H41" s="516">
        <v>8559.23</v>
      </c>
      <c r="I41" s="516">
        <v>0</v>
      </c>
      <c r="J41" s="516">
        <v>0</v>
      </c>
      <c r="K41" s="517">
        <v>0</v>
      </c>
      <c r="L41" s="518">
        <v>8559.23</v>
      </c>
    </row>
    <row r="42" spans="1:12">
      <c r="B42" s="546" t="s">
        <v>1688</v>
      </c>
      <c r="C42" s="516">
        <v>68409.77</v>
      </c>
      <c r="D42" s="516">
        <v>67094.77</v>
      </c>
      <c r="E42" s="516">
        <v>4496.6000000000004</v>
      </c>
      <c r="F42" s="516">
        <v>8644</v>
      </c>
      <c r="G42" s="517">
        <v>0.02</v>
      </c>
      <c r="H42" s="516">
        <v>58450.77</v>
      </c>
      <c r="I42" s="516">
        <v>544</v>
      </c>
      <c r="J42" s="516">
        <v>4691.3999999999996</v>
      </c>
      <c r="K42" s="517">
        <v>0.01</v>
      </c>
      <c r="L42" s="518">
        <v>62403.37</v>
      </c>
    </row>
    <row r="43" spans="1:12">
      <c r="B43" s="546" t="s">
        <v>1689</v>
      </c>
      <c r="C43" s="516">
        <v>8</v>
      </c>
      <c r="D43" s="516">
        <v>3323</v>
      </c>
      <c r="E43" s="516">
        <v>3258.8</v>
      </c>
      <c r="F43" s="516">
        <v>3258.8</v>
      </c>
      <c r="G43" s="517">
        <v>0.01</v>
      </c>
      <c r="H43" s="516">
        <v>64.2</v>
      </c>
      <c r="I43" s="516">
        <v>2049</v>
      </c>
      <c r="J43" s="516">
        <v>2049</v>
      </c>
      <c r="K43" s="517">
        <v>0</v>
      </c>
      <c r="L43" s="518">
        <v>1274</v>
      </c>
    </row>
    <row r="44" spans="1:12">
      <c r="A44" s="747" t="s">
        <v>1690</v>
      </c>
      <c r="B44" s="748"/>
      <c r="C44" s="516">
        <v>32386275.52</v>
      </c>
      <c r="D44" s="516">
        <v>32386275.52</v>
      </c>
      <c r="E44" s="516">
        <v>4584266.7699999996</v>
      </c>
      <c r="F44" s="516">
        <v>11095914.76</v>
      </c>
      <c r="G44" s="517">
        <v>20.059999999999999</v>
      </c>
      <c r="H44" s="516">
        <v>21290360.760000002</v>
      </c>
      <c r="I44" s="516">
        <v>5074779.82</v>
      </c>
      <c r="J44" s="516">
        <v>9716889.25</v>
      </c>
      <c r="K44" s="516">
        <v>20.23</v>
      </c>
      <c r="L44" s="518">
        <v>22669386.27</v>
      </c>
    </row>
    <row r="45" spans="1:12">
      <c r="B45" s="546" t="s">
        <v>1668</v>
      </c>
      <c r="C45" s="516">
        <v>79998</v>
      </c>
      <c r="D45" s="516">
        <v>79998</v>
      </c>
      <c r="E45" s="516">
        <v>13676.66</v>
      </c>
      <c r="F45" s="516">
        <v>15433.44</v>
      </c>
      <c r="G45" s="517">
        <v>0.03</v>
      </c>
      <c r="H45" s="516">
        <v>64564.56</v>
      </c>
      <c r="I45" s="516">
        <v>7706.32</v>
      </c>
      <c r="J45" s="516">
        <v>7706.32</v>
      </c>
      <c r="K45" s="517">
        <v>0.02</v>
      </c>
      <c r="L45" s="518">
        <v>72291.679999999993</v>
      </c>
    </row>
    <row r="46" spans="1:12">
      <c r="B46" s="546" t="s">
        <v>1691</v>
      </c>
      <c r="C46" s="516">
        <v>27962675.059999999</v>
      </c>
      <c r="D46" s="516">
        <v>27962675.059999999</v>
      </c>
      <c r="E46" s="516">
        <v>4565025.1100000003</v>
      </c>
      <c r="F46" s="516">
        <v>8781306.5700000003</v>
      </c>
      <c r="G46" s="517">
        <v>15.88</v>
      </c>
      <c r="H46" s="516">
        <v>19181368.489999998</v>
      </c>
      <c r="I46" s="516">
        <v>4565025.1100000003</v>
      </c>
      <c r="J46" s="516">
        <v>8781306.5700000003</v>
      </c>
      <c r="K46" s="517">
        <v>18.28</v>
      </c>
      <c r="L46" s="518">
        <v>19181368.489999998</v>
      </c>
    </row>
    <row r="47" spans="1:12">
      <c r="B47" s="546" t="s">
        <v>1692</v>
      </c>
      <c r="C47" s="516">
        <v>4343602.46</v>
      </c>
      <c r="D47" s="516">
        <v>4343602.46</v>
      </c>
      <c r="E47" s="516">
        <v>5565</v>
      </c>
      <c r="F47" s="516">
        <v>2299174.75</v>
      </c>
      <c r="G47" s="517">
        <v>4.16</v>
      </c>
      <c r="H47" s="516">
        <v>2044427.71</v>
      </c>
      <c r="I47" s="516">
        <v>502048.39</v>
      </c>
      <c r="J47" s="516">
        <v>927876.36</v>
      </c>
      <c r="K47" s="517">
        <v>1.93</v>
      </c>
      <c r="L47" s="518">
        <v>3415726.1</v>
      </c>
    </row>
    <row r="48" spans="1:12">
      <c r="A48" s="747" t="s">
        <v>1693</v>
      </c>
      <c r="B48" s="748"/>
      <c r="C48" s="516">
        <v>23931166.809999999</v>
      </c>
      <c r="D48" s="516">
        <v>24772592.079999998</v>
      </c>
      <c r="E48" s="516">
        <v>4113365.92</v>
      </c>
      <c r="F48" s="516">
        <v>9521813.2599999998</v>
      </c>
      <c r="G48" s="517">
        <v>17.22</v>
      </c>
      <c r="H48" s="516">
        <v>15250778.82</v>
      </c>
      <c r="I48" s="516">
        <v>4306359.9000000004</v>
      </c>
      <c r="J48" s="516">
        <v>8110438.9699999997</v>
      </c>
      <c r="K48" s="516">
        <v>16.89</v>
      </c>
      <c r="L48" s="518">
        <v>16662153.109999999</v>
      </c>
    </row>
    <row r="49" spans="1:12">
      <c r="B49" s="546" t="s">
        <v>1668</v>
      </c>
      <c r="C49" s="516">
        <v>4980554.72</v>
      </c>
      <c r="D49" s="516">
        <v>4998011.88</v>
      </c>
      <c r="E49" s="516">
        <v>704062.04</v>
      </c>
      <c r="F49" s="516">
        <v>1811318.69</v>
      </c>
      <c r="G49" s="517">
        <v>3.27</v>
      </c>
      <c r="H49" s="516">
        <v>3186693.19</v>
      </c>
      <c r="I49" s="516">
        <v>865834.62</v>
      </c>
      <c r="J49" s="516">
        <v>1611179.44</v>
      </c>
      <c r="K49" s="517">
        <v>3.35</v>
      </c>
      <c r="L49" s="518">
        <v>3386832.44</v>
      </c>
    </row>
    <row r="50" spans="1:12">
      <c r="B50" s="546" t="s">
        <v>1672</v>
      </c>
      <c r="C50" s="516">
        <v>205789.7</v>
      </c>
      <c r="D50" s="516">
        <v>205789.7</v>
      </c>
      <c r="E50" s="516">
        <v>6103.68</v>
      </c>
      <c r="F50" s="516">
        <v>8545.1200000000008</v>
      </c>
      <c r="G50" s="517">
        <v>0.02</v>
      </c>
      <c r="H50" s="516">
        <v>197244.58</v>
      </c>
      <c r="I50" s="516">
        <v>2441.44</v>
      </c>
      <c r="J50" s="516">
        <v>4882.88</v>
      </c>
      <c r="K50" s="517">
        <v>0.01</v>
      </c>
      <c r="L50" s="518">
        <v>200906.82</v>
      </c>
    </row>
    <row r="51" spans="1:12">
      <c r="B51" s="546" t="s">
        <v>1676</v>
      </c>
      <c r="C51" s="516">
        <v>142541.38</v>
      </c>
      <c r="D51" s="516">
        <v>157541.38</v>
      </c>
      <c r="E51" s="516">
        <v>22078.720000000001</v>
      </c>
      <c r="F51" s="516">
        <v>52588.4</v>
      </c>
      <c r="G51" s="517">
        <v>0.1</v>
      </c>
      <c r="H51" s="516">
        <v>104952.98</v>
      </c>
      <c r="I51" s="516">
        <v>22078.720000000001</v>
      </c>
      <c r="J51" s="516">
        <v>52588.4</v>
      </c>
      <c r="K51" s="517">
        <v>0.11</v>
      </c>
      <c r="L51" s="518">
        <v>104952.98</v>
      </c>
    </row>
    <row r="52" spans="1:12">
      <c r="B52" s="546" t="s">
        <v>1677</v>
      </c>
      <c r="C52" s="516">
        <v>11</v>
      </c>
      <c r="D52" s="516">
        <v>11</v>
      </c>
      <c r="E52" s="516">
        <v>0</v>
      </c>
      <c r="F52" s="516">
        <v>0</v>
      </c>
      <c r="G52" s="517">
        <v>0</v>
      </c>
      <c r="H52" s="516">
        <v>11</v>
      </c>
      <c r="I52" s="516">
        <v>0</v>
      </c>
      <c r="J52" s="516">
        <v>0</v>
      </c>
      <c r="K52" s="517">
        <v>0</v>
      </c>
      <c r="L52" s="518">
        <v>11</v>
      </c>
    </row>
    <row r="53" spans="1:12">
      <c r="B53" s="546" t="s">
        <v>1694</v>
      </c>
      <c r="C53" s="516">
        <v>6046336.5499999998</v>
      </c>
      <c r="D53" s="516">
        <v>6725022.5499999998</v>
      </c>
      <c r="E53" s="516">
        <v>1013852.85</v>
      </c>
      <c r="F53" s="516">
        <v>2621004.75</v>
      </c>
      <c r="G53" s="517">
        <v>4.74</v>
      </c>
      <c r="H53" s="516">
        <v>4104017.8</v>
      </c>
      <c r="I53" s="516">
        <v>1058389.67</v>
      </c>
      <c r="J53" s="516">
        <v>1865048.09</v>
      </c>
      <c r="K53" s="517">
        <v>3.88</v>
      </c>
      <c r="L53" s="518">
        <v>4859974.46</v>
      </c>
    </row>
    <row r="54" spans="1:12">
      <c r="B54" s="546" t="s">
        <v>1692</v>
      </c>
      <c r="C54" s="516">
        <v>9846916.5099999998</v>
      </c>
      <c r="D54" s="516">
        <v>9930927.6199999992</v>
      </c>
      <c r="E54" s="516">
        <v>1876647.55</v>
      </c>
      <c r="F54" s="516">
        <v>4111672.36</v>
      </c>
      <c r="G54" s="517">
        <v>7.43</v>
      </c>
      <c r="H54" s="516">
        <v>5819255.2599999998</v>
      </c>
      <c r="I54" s="516">
        <v>1862192.44</v>
      </c>
      <c r="J54" s="516">
        <v>3705661.04</v>
      </c>
      <c r="K54" s="517">
        <v>7.71</v>
      </c>
      <c r="L54" s="518">
        <v>6225266.5800000001</v>
      </c>
    </row>
    <row r="55" spans="1:12">
      <c r="B55" s="546" t="s">
        <v>1695</v>
      </c>
      <c r="C55" s="516">
        <v>896753.26</v>
      </c>
      <c r="D55" s="516">
        <v>896753.26</v>
      </c>
      <c r="E55" s="516">
        <v>227911.12</v>
      </c>
      <c r="F55" s="516">
        <v>350482.11</v>
      </c>
      <c r="G55" s="517">
        <v>0.63</v>
      </c>
      <c r="H55" s="516">
        <v>546271.15</v>
      </c>
      <c r="I55" s="516">
        <v>224097.28</v>
      </c>
      <c r="J55" s="516">
        <v>331301.84000000003</v>
      </c>
      <c r="K55" s="517">
        <v>0.69</v>
      </c>
      <c r="L55" s="518">
        <v>565451.42000000004</v>
      </c>
    </row>
    <row r="56" spans="1:12">
      <c r="B56" s="546" t="s">
        <v>1696</v>
      </c>
      <c r="C56" s="516">
        <v>305559.36</v>
      </c>
      <c r="D56" s="516">
        <v>335559.36</v>
      </c>
      <c r="E56" s="516">
        <v>19665.57</v>
      </c>
      <c r="F56" s="516">
        <v>56002.27</v>
      </c>
      <c r="G56" s="517">
        <v>0.1</v>
      </c>
      <c r="H56" s="516">
        <v>279557.09000000003</v>
      </c>
      <c r="I56" s="516">
        <v>19665.57</v>
      </c>
      <c r="J56" s="516">
        <v>54706.27</v>
      </c>
      <c r="K56" s="517">
        <v>0.11</v>
      </c>
      <c r="L56" s="518">
        <v>280853.09000000003</v>
      </c>
    </row>
    <row r="57" spans="1:12">
      <c r="B57" s="546" t="s">
        <v>1697</v>
      </c>
      <c r="C57" s="516">
        <v>842799.25</v>
      </c>
      <c r="D57" s="516">
        <v>859070.25</v>
      </c>
      <c r="E57" s="516">
        <v>135267.59</v>
      </c>
      <c r="F57" s="516">
        <v>284981.88</v>
      </c>
      <c r="G57" s="517">
        <v>0.52</v>
      </c>
      <c r="H57" s="516">
        <v>574088.37</v>
      </c>
      <c r="I57" s="516">
        <v>139877.64000000001</v>
      </c>
      <c r="J57" s="516">
        <v>275876.21000000002</v>
      </c>
      <c r="K57" s="517">
        <v>0.56999999999999995</v>
      </c>
      <c r="L57" s="518">
        <v>583194.04</v>
      </c>
    </row>
    <row r="58" spans="1:12">
      <c r="B58" s="546" t="s">
        <v>1678</v>
      </c>
      <c r="C58" s="516">
        <v>663905.07999999996</v>
      </c>
      <c r="D58" s="516">
        <v>663905.07999999996</v>
      </c>
      <c r="E58" s="516">
        <v>107776.8</v>
      </c>
      <c r="F58" s="516">
        <v>225217.68</v>
      </c>
      <c r="G58" s="517">
        <v>0.41</v>
      </c>
      <c r="H58" s="516">
        <v>438687.4</v>
      </c>
      <c r="I58" s="516">
        <v>111782.52</v>
      </c>
      <c r="J58" s="516">
        <v>209194.8</v>
      </c>
      <c r="K58" s="517">
        <v>0.44</v>
      </c>
      <c r="L58" s="518">
        <v>454710.28</v>
      </c>
    </row>
    <row r="59" spans="1:12">
      <c r="A59" s="747" t="s">
        <v>1698</v>
      </c>
      <c r="B59" s="748"/>
      <c r="C59" s="516">
        <v>35134639.18</v>
      </c>
      <c r="D59" s="516">
        <v>36925324.100000001</v>
      </c>
      <c r="E59" s="516">
        <v>6652148.1799999997</v>
      </c>
      <c r="F59" s="516">
        <v>10687656.67</v>
      </c>
      <c r="G59" s="517">
        <v>19.32</v>
      </c>
      <c r="H59" s="516">
        <v>26237667.43</v>
      </c>
      <c r="I59" s="516">
        <v>5996733.3799999999</v>
      </c>
      <c r="J59" s="516">
        <v>9935212.8599999994</v>
      </c>
      <c r="K59" s="516">
        <v>20.68</v>
      </c>
      <c r="L59" s="518">
        <v>26990111.239999998</v>
      </c>
    </row>
    <row r="60" spans="1:12">
      <c r="B60" s="546" t="s">
        <v>1668</v>
      </c>
      <c r="C60" s="516">
        <v>50640</v>
      </c>
      <c r="D60" s="516">
        <v>96389.96</v>
      </c>
      <c r="E60" s="516">
        <v>45075.76</v>
      </c>
      <c r="F60" s="516">
        <v>70015.73</v>
      </c>
      <c r="G60" s="517">
        <v>0.13</v>
      </c>
      <c r="H60" s="516">
        <v>26374.23</v>
      </c>
      <c r="I60" s="516">
        <v>37177.35</v>
      </c>
      <c r="J60" s="516">
        <v>43525.5</v>
      </c>
      <c r="K60" s="517">
        <v>0.09</v>
      </c>
      <c r="L60" s="518">
        <v>52864.46</v>
      </c>
    </row>
    <row r="61" spans="1:12">
      <c r="B61" s="546" t="s">
        <v>1676</v>
      </c>
      <c r="C61" s="516">
        <v>91145.04</v>
      </c>
      <c r="D61" s="516">
        <v>93152.04</v>
      </c>
      <c r="E61" s="516">
        <v>9900.43</v>
      </c>
      <c r="F61" s="516">
        <v>19478.939999999999</v>
      </c>
      <c r="G61" s="517">
        <v>0.04</v>
      </c>
      <c r="H61" s="516">
        <v>73673.100000000006</v>
      </c>
      <c r="I61" s="516">
        <v>9900.43</v>
      </c>
      <c r="J61" s="516">
        <v>19478.939999999999</v>
      </c>
      <c r="K61" s="517">
        <v>0.04</v>
      </c>
      <c r="L61" s="518">
        <v>73673.100000000006</v>
      </c>
    </row>
    <row r="62" spans="1:12">
      <c r="B62" s="546" t="s">
        <v>1677</v>
      </c>
      <c r="C62" s="516">
        <v>23</v>
      </c>
      <c r="D62" s="516">
        <v>23</v>
      </c>
      <c r="E62" s="516">
        <v>0</v>
      </c>
      <c r="F62" s="516">
        <v>0</v>
      </c>
      <c r="G62" s="517">
        <v>0</v>
      </c>
      <c r="H62" s="516">
        <v>23</v>
      </c>
      <c r="I62" s="516">
        <v>0</v>
      </c>
      <c r="J62" s="516">
        <v>0</v>
      </c>
      <c r="K62" s="517">
        <v>0</v>
      </c>
      <c r="L62" s="518">
        <v>23</v>
      </c>
    </row>
    <row r="63" spans="1:12">
      <c r="B63" s="546" t="s">
        <v>1678</v>
      </c>
      <c r="C63" s="516">
        <v>1521449.16</v>
      </c>
      <c r="D63" s="516">
        <v>1944047.16</v>
      </c>
      <c r="E63" s="516">
        <v>305666.98</v>
      </c>
      <c r="F63" s="516">
        <v>581695.34</v>
      </c>
      <c r="G63" s="517">
        <v>1.05</v>
      </c>
      <c r="H63" s="516">
        <v>1362351.82</v>
      </c>
      <c r="I63" s="516">
        <v>305666.98</v>
      </c>
      <c r="J63" s="516">
        <v>581695.34</v>
      </c>
      <c r="K63" s="517">
        <v>1.21</v>
      </c>
      <c r="L63" s="518">
        <v>1362351.82</v>
      </c>
    </row>
    <row r="64" spans="1:12">
      <c r="B64" s="546" t="s">
        <v>1699</v>
      </c>
      <c r="C64" s="516">
        <v>19503609.329999998</v>
      </c>
      <c r="D64" s="516">
        <v>21394915.829999998</v>
      </c>
      <c r="E64" s="516">
        <v>3859693.52</v>
      </c>
      <c r="F64" s="516">
        <v>6258567.71</v>
      </c>
      <c r="G64" s="517">
        <v>11.32</v>
      </c>
      <c r="H64" s="516">
        <v>15136348.119999999</v>
      </c>
      <c r="I64" s="516">
        <v>3544606.48</v>
      </c>
      <c r="J64" s="516">
        <v>5874820.6100000003</v>
      </c>
      <c r="K64" s="517">
        <v>12.23</v>
      </c>
      <c r="L64" s="518">
        <v>15520095.220000001</v>
      </c>
    </row>
    <row r="65" spans="1:12">
      <c r="B65" s="546" t="s">
        <v>1700</v>
      </c>
      <c r="C65" s="516">
        <v>1400080</v>
      </c>
      <c r="D65" s="516">
        <v>1400080</v>
      </c>
      <c r="E65" s="516">
        <v>708957.11</v>
      </c>
      <c r="F65" s="516">
        <v>708957.11</v>
      </c>
      <c r="G65" s="517">
        <v>1.28</v>
      </c>
      <c r="H65" s="516">
        <v>691122.89</v>
      </c>
      <c r="I65" s="516">
        <v>393737.44</v>
      </c>
      <c r="J65" s="516">
        <v>393737.44</v>
      </c>
      <c r="K65" s="517">
        <v>0.82</v>
      </c>
      <c r="L65" s="518">
        <v>1006342.56</v>
      </c>
    </row>
    <row r="66" spans="1:12">
      <c r="B66" s="546" t="s">
        <v>1701</v>
      </c>
      <c r="C66" s="516">
        <v>9155558.7599999998</v>
      </c>
      <c r="D66" s="516">
        <v>8494640.2200000007</v>
      </c>
      <c r="E66" s="516">
        <v>1303216.5900000001</v>
      </c>
      <c r="F66" s="516">
        <v>2232314.5099999998</v>
      </c>
      <c r="G66" s="517">
        <v>4.04</v>
      </c>
      <c r="H66" s="516">
        <v>6262325.71</v>
      </c>
      <c r="I66" s="516">
        <v>1290119.1499999999</v>
      </c>
      <c r="J66" s="516">
        <v>2209439.94</v>
      </c>
      <c r="K66" s="517">
        <v>4.5999999999999996</v>
      </c>
      <c r="L66" s="518">
        <v>6285200.2800000003</v>
      </c>
    </row>
    <row r="67" spans="1:12">
      <c r="B67" s="546" t="s">
        <v>1702</v>
      </c>
      <c r="C67" s="516">
        <v>520437.13</v>
      </c>
      <c r="D67" s="516">
        <v>552308.13</v>
      </c>
      <c r="E67" s="516">
        <v>69058.490000000005</v>
      </c>
      <c r="F67" s="516">
        <v>126914.67</v>
      </c>
      <c r="G67" s="517">
        <v>0.23</v>
      </c>
      <c r="H67" s="516">
        <v>425393.46</v>
      </c>
      <c r="I67" s="516">
        <v>67386.37</v>
      </c>
      <c r="J67" s="516">
        <v>125242.55</v>
      </c>
      <c r="K67" s="517">
        <v>0.26</v>
      </c>
      <c r="L67" s="518">
        <v>427065.58</v>
      </c>
    </row>
    <row r="68" spans="1:12">
      <c r="B68" s="546" t="s">
        <v>1703</v>
      </c>
      <c r="C68" s="516">
        <v>1811547.68</v>
      </c>
      <c r="D68" s="516">
        <v>1869618.68</v>
      </c>
      <c r="E68" s="516">
        <v>189578.47</v>
      </c>
      <c r="F68" s="516">
        <v>370086.87</v>
      </c>
      <c r="G68" s="517">
        <v>0.67</v>
      </c>
      <c r="H68" s="516">
        <v>1499531.81</v>
      </c>
      <c r="I68" s="516">
        <v>187138.35</v>
      </c>
      <c r="J68" s="516">
        <v>367646.75</v>
      </c>
      <c r="K68" s="517">
        <v>0.77</v>
      </c>
      <c r="L68" s="518">
        <v>1501971.93</v>
      </c>
    </row>
    <row r="69" spans="1:12">
      <c r="B69" s="546" t="s">
        <v>1704</v>
      </c>
      <c r="C69" s="516">
        <v>1080149.08</v>
      </c>
      <c r="D69" s="516">
        <v>1080149.08</v>
      </c>
      <c r="E69" s="516">
        <v>161000.82999999999</v>
      </c>
      <c r="F69" s="516">
        <v>319625.78999999998</v>
      </c>
      <c r="G69" s="517">
        <v>0.57999999999999996</v>
      </c>
      <c r="H69" s="516">
        <v>760523.29</v>
      </c>
      <c r="I69" s="516">
        <v>161000.82999999999</v>
      </c>
      <c r="J69" s="516">
        <v>319625.78999999998</v>
      </c>
      <c r="K69" s="517">
        <v>0.67</v>
      </c>
      <c r="L69" s="518">
        <v>760523.29</v>
      </c>
    </row>
    <row r="70" spans="1:12">
      <c r="A70" s="747" t="s">
        <v>1705</v>
      </c>
      <c r="B70" s="748"/>
      <c r="C70" s="516">
        <v>496407.82</v>
      </c>
      <c r="D70" s="516">
        <v>489546.82</v>
      </c>
      <c r="E70" s="516">
        <v>15824.2</v>
      </c>
      <c r="F70" s="516">
        <v>19638.72</v>
      </c>
      <c r="G70" s="517">
        <v>0.04</v>
      </c>
      <c r="H70" s="516">
        <v>469908.1</v>
      </c>
      <c r="I70" s="516">
        <v>17064.52</v>
      </c>
      <c r="J70" s="516">
        <v>17064.52</v>
      </c>
      <c r="K70" s="516">
        <v>0.04</v>
      </c>
      <c r="L70" s="518">
        <v>472482.3</v>
      </c>
    </row>
    <row r="71" spans="1:12">
      <c r="B71" s="546" t="s">
        <v>1668</v>
      </c>
      <c r="C71" s="516">
        <v>2001</v>
      </c>
      <c r="D71" s="516">
        <v>2001</v>
      </c>
      <c r="E71" s="516">
        <v>0</v>
      </c>
      <c r="F71" s="516">
        <v>0</v>
      </c>
      <c r="G71" s="517">
        <v>0</v>
      </c>
      <c r="H71" s="516">
        <v>2001</v>
      </c>
      <c r="I71" s="516">
        <v>0</v>
      </c>
      <c r="J71" s="516">
        <v>0</v>
      </c>
      <c r="K71" s="517">
        <v>0</v>
      </c>
      <c r="L71" s="518">
        <v>2001</v>
      </c>
    </row>
    <row r="72" spans="1:12">
      <c r="B72" s="546" t="s">
        <v>1671</v>
      </c>
      <c r="C72" s="516">
        <v>1251.33</v>
      </c>
      <c r="D72" s="516">
        <v>284.33</v>
      </c>
      <c r="E72" s="516">
        <v>0</v>
      </c>
      <c r="F72" s="516">
        <v>0</v>
      </c>
      <c r="G72" s="517">
        <v>0</v>
      </c>
      <c r="H72" s="516">
        <v>284.33</v>
      </c>
      <c r="I72" s="516">
        <v>0</v>
      </c>
      <c r="J72" s="516">
        <v>0</v>
      </c>
      <c r="K72" s="517">
        <v>0</v>
      </c>
      <c r="L72" s="518">
        <v>284.33</v>
      </c>
    </row>
    <row r="73" spans="1:12">
      <c r="B73" s="546" t="s">
        <v>1706</v>
      </c>
      <c r="C73" s="516">
        <v>22001</v>
      </c>
      <c r="D73" s="516">
        <v>22001</v>
      </c>
      <c r="E73" s="516">
        <v>1355.25</v>
      </c>
      <c r="F73" s="516">
        <v>5169.7700000000004</v>
      </c>
      <c r="G73" s="517">
        <v>0.01</v>
      </c>
      <c r="H73" s="516">
        <v>16831.23</v>
      </c>
      <c r="I73" s="516">
        <v>2964.52</v>
      </c>
      <c r="J73" s="516">
        <v>2964.52</v>
      </c>
      <c r="K73" s="517">
        <v>0.01</v>
      </c>
      <c r="L73" s="518">
        <v>19036.48</v>
      </c>
    </row>
    <row r="74" spans="1:12">
      <c r="B74" s="546" t="s">
        <v>1707</v>
      </c>
      <c r="C74" s="516">
        <v>294245.33</v>
      </c>
      <c r="D74" s="516">
        <v>293351.33</v>
      </c>
      <c r="E74" s="516">
        <v>0</v>
      </c>
      <c r="F74" s="516">
        <v>0</v>
      </c>
      <c r="G74" s="517">
        <v>0</v>
      </c>
      <c r="H74" s="516">
        <v>293351.33</v>
      </c>
      <c r="I74" s="516">
        <v>0</v>
      </c>
      <c r="J74" s="516">
        <v>0</v>
      </c>
      <c r="K74" s="517">
        <v>0</v>
      </c>
      <c r="L74" s="518">
        <v>293351.33</v>
      </c>
    </row>
    <row r="75" spans="1:12">
      <c r="B75" s="546" t="s">
        <v>1679</v>
      </c>
      <c r="C75" s="516">
        <v>176909.16</v>
      </c>
      <c r="D75" s="516">
        <v>171909.16</v>
      </c>
      <c r="E75" s="516">
        <v>14468.95</v>
      </c>
      <c r="F75" s="516">
        <v>14468.95</v>
      </c>
      <c r="G75" s="517">
        <v>0.03</v>
      </c>
      <c r="H75" s="516">
        <v>157440.21</v>
      </c>
      <c r="I75" s="516">
        <v>14100</v>
      </c>
      <c r="J75" s="516">
        <v>14100</v>
      </c>
      <c r="K75" s="517">
        <v>0.03</v>
      </c>
      <c r="L75" s="518">
        <v>157809.16</v>
      </c>
    </row>
    <row r="76" spans="1:12">
      <c r="A76" s="747" t="s">
        <v>1708</v>
      </c>
      <c r="B76" s="748"/>
      <c r="C76" s="516">
        <v>18750</v>
      </c>
      <c r="D76" s="516">
        <v>18750</v>
      </c>
      <c r="E76" s="516">
        <v>196.94</v>
      </c>
      <c r="F76" s="516">
        <v>1356.98</v>
      </c>
      <c r="G76" s="517">
        <v>0</v>
      </c>
      <c r="H76" s="516">
        <v>17393.02</v>
      </c>
      <c r="I76" s="516">
        <v>560.91999999999996</v>
      </c>
      <c r="J76" s="516">
        <v>966.45</v>
      </c>
      <c r="K76" s="516">
        <v>0</v>
      </c>
      <c r="L76" s="518">
        <v>17783.55</v>
      </c>
    </row>
    <row r="77" spans="1:12">
      <c r="B77" s="546" t="s">
        <v>1668</v>
      </c>
      <c r="C77" s="516">
        <v>4750</v>
      </c>
      <c r="D77" s="516">
        <v>4750</v>
      </c>
      <c r="E77" s="516">
        <v>0</v>
      </c>
      <c r="F77" s="516">
        <v>0</v>
      </c>
      <c r="G77" s="517">
        <v>0</v>
      </c>
      <c r="H77" s="516">
        <v>4750</v>
      </c>
      <c r="I77" s="516">
        <v>0</v>
      </c>
      <c r="J77" s="516">
        <v>0</v>
      </c>
      <c r="K77" s="517">
        <v>0</v>
      </c>
      <c r="L77" s="518">
        <v>4750</v>
      </c>
    </row>
    <row r="78" spans="1:12">
      <c r="B78" s="546" t="s">
        <v>1709</v>
      </c>
      <c r="C78" s="516">
        <v>14000</v>
      </c>
      <c r="D78" s="516">
        <v>14000</v>
      </c>
      <c r="E78" s="516">
        <v>196.94</v>
      </c>
      <c r="F78" s="516">
        <v>1356.98</v>
      </c>
      <c r="G78" s="517">
        <v>0</v>
      </c>
      <c r="H78" s="516">
        <v>12643.02</v>
      </c>
      <c r="I78" s="516">
        <v>560.91999999999996</v>
      </c>
      <c r="J78" s="516">
        <v>966.45</v>
      </c>
      <c r="K78" s="517">
        <v>0</v>
      </c>
      <c r="L78" s="518">
        <v>13033.55</v>
      </c>
    </row>
    <row r="79" spans="1:12">
      <c r="A79" s="747" t="s">
        <v>1710</v>
      </c>
      <c r="B79" s="748"/>
      <c r="C79" s="516">
        <v>6449313.3899999997</v>
      </c>
      <c r="D79" s="516">
        <v>6442828.1699999999</v>
      </c>
      <c r="E79" s="516">
        <v>270608.76</v>
      </c>
      <c r="F79" s="516">
        <v>2090961.56</v>
      </c>
      <c r="G79" s="517">
        <v>3.78</v>
      </c>
      <c r="H79" s="516">
        <v>4351866.6100000003</v>
      </c>
      <c r="I79" s="516">
        <v>428900.17</v>
      </c>
      <c r="J79" s="516">
        <v>879373.11</v>
      </c>
      <c r="K79" s="516">
        <v>1.83</v>
      </c>
      <c r="L79" s="518">
        <v>5563455.0599999996</v>
      </c>
    </row>
    <row r="80" spans="1:12">
      <c r="B80" s="546" t="s">
        <v>1711</v>
      </c>
      <c r="C80" s="516">
        <v>4524013.3899999997</v>
      </c>
      <c r="D80" s="516">
        <v>4517528.17</v>
      </c>
      <c r="E80" s="516">
        <v>207723.28</v>
      </c>
      <c r="F80" s="516">
        <v>376028.74</v>
      </c>
      <c r="G80" s="517">
        <v>0.68</v>
      </c>
      <c r="H80" s="516">
        <v>4141499.43</v>
      </c>
      <c r="I80" s="516">
        <v>220183.6</v>
      </c>
      <c r="J80" s="516">
        <v>321860.53000000003</v>
      </c>
      <c r="K80" s="517">
        <v>0.67</v>
      </c>
      <c r="L80" s="518">
        <v>4195667.6399999997</v>
      </c>
    </row>
    <row r="81" spans="1:12">
      <c r="B81" s="546" t="s">
        <v>1712</v>
      </c>
      <c r="C81" s="516">
        <v>1925300</v>
      </c>
      <c r="D81" s="516">
        <v>1925300</v>
      </c>
      <c r="E81" s="516">
        <v>62885.48</v>
      </c>
      <c r="F81" s="516">
        <v>1714932.82</v>
      </c>
      <c r="G81" s="517">
        <v>3.1</v>
      </c>
      <c r="H81" s="516">
        <v>210367.18</v>
      </c>
      <c r="I81" s="516">
        <v>208716.57</v>
      </c>
      <c r="J81" s="516">
        <v>557512.57999999996</v>
      </c>
      <c r="K81" s="517">
        <v>1.1599999999999999</v>
      </c>
      <c r="L81" s="518">
        <v>1367787.42</v>
      </c>
    </row>
    <row r="82" spans="1:12">
      <c r="A82" s="747" t="s">
        <v>1713</v>
      </c>
      <c r="B82" s="748"/>
      <c r="C82" s="516">
        <v>318286.84000000003</v>
      </c>
      <c r="D82" s="516">
        <v>317286.84000000003</v>
      </c>
      <c r="E82" s="516">
        <v>0</v>
      </c>
      <c r="F82" s="516">
        <v>0</v>
      </c>
      <c r="G82" s="517">
        <v>0</v>
      </c>
      <c r="H82" s="516">
        <v>317286.84000000003</v>
      </c>
      <c r="I82" s="516">
        <v>0</v>
      </c>
      <c r="J82" s="516">
        <v>0</v>
      </c>
      <c r="K82" s="516">
        <v>0</v>
      </c>
      <c r="L82" s="518">
        <v>317286.84000000003</v>
      </c>
    </row>
    <row r="83" spans="1:12">
      <c r="B83" s="546" t="s">
        <v>1687</v>
      </c>
      <c r="C83" s="516">
        <v>4000</v>
      </c>
      <c r="D83" s="516">
        <v>4000</v>
      </c>
      <c r="E83" s="516">
        <v>0</v>
      </c>
      <c r="F83" s="516">
        <v>0</v>
      </c>
      <c r="G83" s="517">
        <v>0</v>
      </c>
      <c r="H83" s="516">
        <v>4000</v>
      </c>
      <c r="I83" s="516">
        <v>0</v>
      </c>
      <c r="J83" s="516">
        <v>0</v>
      </c>
      <c r="K83" s="517">
        <v>0</v>
      </c>
      <c r="L83" s="518">
        <v>4000</v>
      </c>
    </row>
    <row r="84" spans="1:12">
      <c r="B84" s="546" t="s">
        <v>1688</v>
      </c>
      <c r="C84" s="516">
        <v>65416.09</v>
      </c>
      <c r="D84" s="516">
        <v>64416.09</v>
      </c>
      <c r="E84" s="516">
        <v>0</v>
      </c>
      <c r="F84" s="516">
        <v>0</v>
      </c>
      <c r="G84" s="517">
        <v>0</v>
      </c>
      <c r="H84" s="516">
        <v>64416.09</v>
      </c>
      <c r="I84" s="516">
        <v>0</v>
      </c>
      <c r="J84" s="516">
        <v>0</v>
      </c>
      <c r="K84" s="517">
        <v>0</v>
      </c>
      <c r="L84" s="518">
        <v>64416.09</v>
      </c>
    </row>
    <row r="85" spans="1:12">
      <c r="B85" s="546" t="s">
        <v>1689</v>
      </c>
      <c r="C85" s="516">
        <v>248870.75</v>
      </c>
      <c r="D85" s="516">
        <v>248870.75</v>
      </c>
      <c r="E85" s="516">
        <v>0</v>
      </c>
      <c r="F85" s="516">
        <v>0</v>
      </c>
      <c r="G85" s="517">
        <v>0</v>
      </c>
      <c r="H85" s="516">
        <v>248870.75</v>
      </c>
      <c r="I85" s="516">
        <v>0</v>
      </c>
      <c r="J85" s="516">
        <v>0</v>
      </c>
      <c r="K85" s="517">
        <v>0</v>
      </c>
      <c r="L85" s="518">
        <v>248870.75</v>
      </c>
    </row>
    <row r="86" spans="1:12">
      <c r="A86" s="747" t="s">
        <v>1714</v>
      </c>
      <c r="B86" s="748"/>
      <c r="C86" s="516">
        <v>1996750</v>
      </c>
      <c r="D86" s="516">
        <v>1995026.9</v>
      </c>
      <c r="E86" s="516">
        <v>66160.28</v>
      </c>
      <c r="F86" s="516">
        <v>1232983.04</v>
      </c>
      <c r="G86" s="517">
        <v>2.23</v>
      </c>
      <c r="H86" s="516">
        <v>762043.86</v>
      </c>
      <c r="I86" s="516">
        <v>247110.9</v>
      </c>
      <c r="J86" s="516">
        <v>507116.24</v>
      </c>
      <c r="K86" s="516">
        <v>1.06</v>
      </c>
      <c r="L86" s="518">
        <v>1487910.66</v>
      </c>
    </row>
    <row r="87" spans="1:12">
      <c r="B87" s="546" t="s">
        <v>1715</v>
      </c>
      <c r="C87" s="516">
        <v>85330</v>
      </c>
      <c r="D87" s="516">
        <v>85330</v>
      </c>
      <c r="E87" s="516">
        <v>0</v>
      </c>
      <c r="F87" s="516">
        <v>46356.84</v>
      </c>
      <c r="G87" s="517">
        <v>0.08</v>
      </c>
      <c r="H87" s="516">
        <v>38973.160000000003</v>
      </c>
      <c r="I87" s="516">
        <v>5253.17</v>
      </c>
      <c r="J87" s="516">
        <v>15507.38</v>
      </c>
      <c r="K87" s="517">
        <v>0.03</v>
      </c>
      <c r="L87" s="518">
        <v>69822.62</v>
      </c>
    </row>
    <row r="88" spans="1:12">
      <c r="B88" s="546" t="s">
        <v>1716</v>
      </c>
      <c r="C88" s="516">
        <v>1911420</v>
      </c>
      <c r="D88" s="516">
        <v>1909696.9</v>
      </c>
      <c r="E88" s="516">
        <v>66160.28</v>
      </c>
      <c r="F88" s="516">
        <v>1186626.2</v>
      </c>
      <c r="G88" s="517">
        <v>2.15</v>
      </c>
      <c r="H88" s="516">
        <v>723070.7</v>
      </c>
      <c r="I88" s="516">
        <v>241857.73</v>
      </c>
      <c r="J88" s="516">
        <v>491608.86</v>
      </c>
      <c r="K88" s="517">
        <v>1.02</v>
      </c>
      <c r="L88" s="518">
        <v>1418088.04</v>
      </c>
    </row>
    <row r="89" spans="1:12">
      <c r="A89" s="747" t="s">
        <v>1717</v>
      </c>
      <c r="B89" s="748"/>
      <c r="C89" s="516">
        <v>220278.54</v>
      </c>
      <c r="D89" s="516">
        <v>204289.54</v>
      </c>
      <c r="E89" s="516">
        <v>11589</v>
      </c>
      <c r="F89" s="516">
        <v>27108.78</v>
      </c>
      <c r="G89" s="517">
        <v>0.05</v>
      </c>
      <c r="H89" s="516">
        <v>177180.76</v>
      </c>
      <c r="I89" s="516">
        <v>10960.98</v>
      </c>
      <c r="J89" s="516">
        <v>12804.72</v>
      </c>
      <c r="K89" s="516">
        <v>0.03</v>
      </c>
      <c r="L89" s="518">
        <v>191484.82</v>
      </c>
    </row>
    <row r="90" spans="1:12">
      <c r="B90" s="546" t="s">
        <v>1718</v>
      </c>
      <c r="C90" s="516">
        <v>10000</v>
      </c>
      <c r="D90" s="516">
        <v>5</v>
      </c>
      <c r="E90" s="516">
        <v>0</v>
      </c>
      <c r="F90" s="516">
        <v>0</v>
      </c>
      <c r="G90" s="517">
        <v>0</v>
      </c>
      <c r="H90" s="516">
        <v>5</v>
      </c>
      <c r="I90" s="516">
        <v>0</v>
      </c>
      <c r="J90" s="516">
        <v>0</v>
      </c>
      <c r="K90" s="517">
        <v>0</v>
      </c>
      <c r="L90" s="518">
        <v>5</v>
      </c>
    </row>
    <row r="91" spans="1:12">
      <c r="B91" s="546" t="s">
        <v>1719</v>
      </c>
      <c r="C91" s="516">
        <v>104128.8</v>
      </c>
      <c r="D91" s="516">
        <v>98134.8</v>
      </c>
      <c r="E91" s="516">
        <v>10800</v>
      </c>
      <c r="F91" s="516">
        <v>15011.82</v>
      </c>
      <c r="G91" s="517">
        <v>0.03</v>
      </c>
      <c r="H91" s="516">
        <v>83122.98</v>
      </c>
      <c r="I91" s="516">
        <v>852.98</v>
      </c>
      <c r="J91" s="516">
        <v>1496.76</v>
      </c>
      <c r="K91" s="517">
        <v>0</v>
      </c>
      <c r="L91" s="518">
        <v>96638.04</v>
      </c>
    </row>
    <row r="92" spans="1:12">
      <c r="B92" s="546" t="s">
        <v>1720</v>
      </c>
      <c r="C92" s="516">
        <v>106149.74</v>
      </c>
      <c r="D92" s="516">
        <v>106149.74</v>
      </c>
      <c r="E92" s="516">
        <v>789</v>
      </c>
      <c r="F92" s="516">
        <v>12096.96</v>
      </c>
      <c r="G92" s="517">
        <v>0.02</v>
      </c>
      <c r="H92" s="516">
        <v>94052.78</v>
      </c>
      <c r="I92" s="516">
        <v>10108</v>
      </c>
      <c r="J92" s="516">
        <v>11307.96</v>
      </c>
      <c r="K92" s="517">
        <v>0.02</v>
      </c>
      <c r="L92" s="518">
        <v>94841.78</v>
      </c>
    </row>
    <row r="93" spans="1:12">
      <c r="A93" s="747" t="s">
        <v>1721</v>
      </c>
      <c r="B93" s="748"/>
      <c r="C93" s="516">
        <v>873999</v>
      </c>
      <c r="D93" s="516">
        <v>1117524</v>
      </c>
      <c r="E93" s="516">
        <v>22300.11</v>
      </c>
      <c r="F93" s="516">
        <v>71634.91</v>
      </c>
      <c r="G93" s="517">
        <v>0.13</v>
      </c>
      <c r="H93" s="516">
        <v>1045889.09</v>
      </c>
      <c r="I93" s="516">
        <v>42730.6</v>
      </c>
      <c r="J93" s="516">
        <v>64032.38</v>
      </c>
      <c r="K93" s="516">
        <v>0.13</v>
      </c>
      <c r="L93" s="518">
        <v>1053491.6200000001</v>
      </c>
    </row>
    <row r="94" spans="1:12">
      <c r="B94" s="546" t="s">
        <v>1722</v>
      </c>
      <c r="C94" s="516">
        <v>40000</v>
      </c>
      <c r="D94" s="516">
        <v>40000</v>
      </c>
      <c r="E94" s="516">
        <v>0</v>
      </c>
      <c r="F94" s="516">
        <v>108.69</v>
      </c>
      <c r="G94" s="517">
        <v>0</v>
      </c>
      <c r="H94" s="516">
        <v>39891.31</v>
      </c>
      <c r="I94" s="516">
        <v>0</v>
      </c>
      <c r="J94" s="516">
        <v>108.69</v>
      </c>
      <c r="K94" s="517">
        <v>0</v>
      </c>
      <c r="L94" s="518">
        <v>39891.31</v>
      </c>
    </row>
    <row r="95" spans="1:12">
      <c r="B95" s="546" t="s">
        <v>1723</v>
      </c>
      <c r="C95" s="516">
        <v>541999</v>
      </c>
      <c r="D95" s="516">
        <v>785524</v>
      </c>
      <c r="E95" s="516">
        <v>0</v>
      </c>
      <c r="F95" s="516">
        <v>0</v>
      </c>
      <c r="G95" s="517">
        <v>0</v>
      </c>
      <c r="H95" s="516">
        <v>785524</v>
      </c>
      <c r="I95" s="516">
        <v>0</v>
      </c>
      <c r="J95" s="516">
        <v>0</v>
      </c>
      <c r="K95" s="517">
        <v>0</v>
      </c>
      <c r="L95" s="518">
        <v>785524</v>
      </c>
    </row>
    <row r="96" spans="1:12">
      <c r="B96" s="546" t="s">
        <v>1724</v>
      </c>
      <c r="C96" s="516">
        <v>267000</v>
      </c>
      <c r="D96" s="516">
        <v>267000</v>
      </c>
      <c r="E96" s="516">
        <v>21840.11</v>
      </c>
      <c r="F96" s="516">
        <v>66166.22</v>
      </c>
      <c r="G96" s="517">
        <v>0.12</v>
      </c>
      <c r="H96" s="516">
        <v>200833.78</v>
      </c>
      <c r="I96" s="516">
        <v>41233.78</v>
      </c>
      <c r="J96" s="516">
        <v>62426.87</v>
      </c>
      <c r="K96" s="517">
        <v>0.13</v>
      </c>
      <c r="L96" s="518">
        <v>204573.13</v>
      </c>
    </row>
    <row r="97" spans="1:12">
      <c r="B97" s="546" t="s">
        <v>1725</v>
      </c>
      <c r="C97" s="516">
        <v>25000</v>
      </c>
      <c r="D97" s="516">
        <v>25000</v>
      </c>
      <c r="E97" s="516">
        <v>460</v>
      </c>
      <c r="F97" s="516">
        <v>5360</v>
      </c>
      <c r="G97" s="517">
        <v>0.01</v>
      </c>
      <c r="H97" s="516">
        <v>19640</v>
      </c>
      <c r="I97" s="516">
        <v>1496.82</v>
      </c>
      <c r="J97" s="516">
        <v>1496.82</v>
      </c>
      <c r="K97" s="517">
        <v>0</v>
      </c>
      <c r="L97" s="518">
        <v>23503.18</v>
      </c>
    </row>
    <row r="98" spans="1:12">
      <c r="A98" s="747" t="s">
        <v>1726</v>
      </c>
      <c r="B98" s="748"/>
      <c r="C98" s="516">
        <v>15001</v>
      </c>
      <c r="D98" s="516">
        <v>15001</v>
      </c>
      <c r="E98" s="516">
        <v>1950</v>
      </c>
      <c r="F98" s="516">
        <v>1950</v>
      </c>
      <c r="G98" s="517">
        <v>0</v>
      </c>
      <c r="H98" s="516">
        <v>13051</v>
      </c>
      <c r="I98" s="516">
        <v>1950</v>
      </c>
      <c r="J98" s="516">
        <v>1950</v>
      </c>
      <c r="K98" s="516">
        <v>0</v>
      </c>
      <c r="L98" s="518">
        <v>13051</v>
      </c>
    </row>
    <row r="99" spans="1:12">
      <c r="B99" s="546" t="s">
        <v>1727</v>
      </c>
      <c r="C99" s="516">
        <v>15001</v>
      </c>
      <c r="D99" s="516">
        <v>15001</v>
      </c>
      <c r="E99" s="516">
        <v>1950</v>
      </c>
      <c r="F99" s="516">
        <v>1950</v>
      </c>
      <c r="G99" s="517">
        <v>0</v>
      </c>
      <c r="H99" s="516">
        <v>13051</v>
      </c>
      <c r="I99" s="516">
        <v>1950</v>
      </c>
      <c r="J99" s="516">
        <v>1950</v>
      </c>
      <c r="K99" s="517">
        <v>0</v>
      </c>
      <c r="L99" s="518">
        <v>13051</v>
      </c>
    </row>
    <row r="100" spans="1:12">
      <c r="A100" s="747" t="s">
        <v>1728</v>
      </c>
      <c r="B100" s="748"/>
      <c r="C100" s="516">
        <v>75004</v>
      </c>
      <c r="D100" s="516">
        <v>74009</v>
      </c>
      <c r="E100" s="516">
        <v>12515.2</v>
      </c>
      <c r="F100" s="516">
        <v>16965.2</v>
      </c>
      <c r="G100" s="517">
        <v>0.03</v>
      </c>
      <c r="H100" s="516">
        <v>57043.8</v>
      </c>
      <c r="I100" s="516">
        <v>10500.2</v>
      </c>
      <c r="J100" s="516">
        <v>10500.2</v>
      </c>
      <c r="K100" s="516">
        <v>0.02</v>
      </c>
      <c r="L100" s="518">
        <v>63508.800000000003</v>
      </c>
    </row>
    <row r="101" spans="1:12">
      <c r="B101" s="546" t="s">
        <v>1718</v>
      </c>
      <c r="C101" s="516">
        <v>1500</v>
      </c>
      <c r="D101" s="516">
        <v>1500</v>
      </c>
      <c r="E101" s="516">
        <v>0</v>
      </c>
      <c r="F101" s="516">
        <v>0</v>
      </c>
      <c r="G101" s="517">
        <v>0</v>
      </c>
      <c r="H101" s="516">
        <v>1500</v>
      </c>
      <c r="I101" s="516">
        <v>0</v>
      </c>
      <c r="J101" s="516">
        <v>0</v>
      </c>
      <c r="K101" s="517">
        <v>0</v>
      </c>
      <c r="L101" s="518">
        <v>1500</v>
      </c>
    </row>
    <row r="102" spans="1:12">
      <c r="B102" s="546" t="s">
        <v>1729</v>
      </c>
      <c r="C102" s="516">
        <v>46504</v>
      </c>
      <c r="D102" s="516">
        <v>46504</v>
      </c>
      <c r="E102" s="516">
        <v>3550.2</v>
      </c>
      <c r="F102" s="516">
        <v>3550.2</v>
      </c>
      <c r="G102" s="517">
        <v>0.01</v>
      </c>
      <c r="H102" s="516">
        <v>42953.8</v>
      </c>
      <c r="I102" s="516">
        <v>3550.2</v>
      </c>
      <c r="J102" s="516">
        <v>3550.2</v>
      </c>
      <c r="K102" s="517">
        <v>0.01</v>
      </c>
      <c r="L102" s="518">
        <v>42953.8</v>
      </c>
    </row>
    <row r="103" spans="1:12">
      <c r="B103" s="546" t="s">
        <v>1679</v>
      </c>
      <c r="C103" s="516">
        <v>27000</v>
      </c>
      <c r="D103" s="516">
        <v>26005</v>
      </c>
      <c r="E103" s="516">
        <v>8965</v>
      </c>
      <c r="F103" s="516">
        <v>13415</v>
      </c>
      <c r="G103" s="517">
        <v>0.02</v>
      </c>
      <c r="H103" s="516">
        <v>12590</v>
      </c>
      <c r="I103" s="516">
        <v>6950</v>
      </c>
      <c r="J103" s="516">
        <v>6950</v>
      </c>
      <c r="K103" s="517">
        <v>0.01</v>
      </c>
      <c r="L103" s="518">
        <v>19055</v>
      </c>
    </row>
    <row r="104" spans="1:12">
      <c r="A104" s="747" t="s">
        <v>1730</v>
      </c>
      <c r="B104" s="748"/>
      <c r="C104" s="516">
        <v>39980</v>
      </c>
      <c r="D104" s="516">
        <v>19928.52</v>
      </c>
      <c r="E104" s="516">
        <v>217.16</v>
      </c>
      <c r="F104" s="516">
        <v>3784.51</v>
      </c>
      <c r="G104" s="517">
        <v>0.01</v>
      </c>
      <c r="H104" s="516">
        <v>16144.01</v>
      </c>
      <c r="I104" s="516">
        <v>411.91</v>
      </c>
      <c r="J104" s="516">
        <v>979.26</v>
      </c>
      <c r="K104" s="516">
        <v>0</v>
      </c>
      <c r="L104" s="518">
        <v>18949.259999999998</v>
      </c>
    </row>
    <row r="105" spans="1:12">
      <c r="B105" s="546" t="s">
        <v>1731</v>
      </c>
      <c r="C105" s="516">
        <v>39980</v>
      </c>
      <c r="D105" s="516">
        <v>19928.52</v>
      </c>
      <c r="E105" s="516">
        <v>217.16</v>
      </c>
      <c r="F105" s="516">
        <v>3784.51</v>
      </c>
      <c r="G105" s="517">
        <v>0.01</v>
      </c>
      <c r="H105" s="516">
        <v>16144.01</v>
      </c>
      <c r="I105" s="516">
        <v>411.91</v>
      </c>
      <c r="J105" s="516">
        <v>979.26</v>
      </c>
      <c r="K105" s="517">
        <v>0</v>
      </c>
      <c r="L105" s="518">
        <v>18949.259999999998</v>
      </c>
    </row>
    <row r="106" spans="1:12">
      <c r="A106" s="747" t="s">
        <v>1732</v>
      </c>
      <c r="B106" s="748"/>
      <c r="C106" s="516">
        <v>6206048.1500000004</v>
      </c>
      <c r="D106" s="516">
        <v>6206048.1500000004</v>
      </c>
      <c r="E106" s="516">
        <v>151058.4</v>
      </c>
      <c r="F106" s="516">
        <v>303936</v>
      </c>
      <c r="G106" s="517">
        <v>0.55000000000000004</v>
      </c>
      <c r="H106" s="516">
        <v>5902112.1500000004</v>
      </c>
      <c r="I106" s="516">
        <v>95731.4</v>
      </c>
      <c r="J106" s="516">
        <v>181534.6</v>
      </c>
      <c r="K106" s="516">
        <v>0.38</v>
      </c>
      <c r="L106" s="518">
        <v>6024513.5499999998</v>
      </c>
    </row>
    <row r="107" spans="1:12">
      <c r="B107" s="546" t="s">
        <v>1733</v>
      </c>
      <c r="C107" s="516">
        <v>6206048.1500000004</v>
      </c>
      <c r="D107" s="516">
        <v>6206048.1500000004</v>
      </c>
      <c r="E107" s="516">
        <v>151058.4</v>
      </c>
      <c r="F107" s="516">
        <v>303936</v>
      </c>
      <c r="G107" s="517">
        <v>0.55000000000000004</v>
      </c>
      <c r="H107" s="516">
        <v>5902112.1500000004</v>
      </c>
      <c r="I107" s="516">
        <v>95731.4</v>
      </c>
      <c r="J107" s="516">
        <v>181534.6</v>
      </c>
      <c r="K107" s="517">
        <v>0.38</v>
      </c>
      <c r="L107" s="518">
        <v>6024513.5499999998</v>
      </c>
    </row>
    <row r="108" spans="1:12">
      <c r="A108" s="747" t="s">
        <v>1734</v>
      </c>
      <c r="B108" s="748"/>
      <c r="C108" s="516">
        <v>371658.55</v>
      </c>
      <c r="D108" s="516">
        <v>947106.43</v>
      </c>
      <c r="E108" s="516">
        <v>13760.54</v>
      </c>
      <c r="F108" s="516">
        <v>47337.919999999998</v>
      </c>
      <c r="G108" s="517">
        <v>0.09</v>
      </c>
      <c r="H108" s="516">
        <v>899768.51</v>
      </c>
      <c r="I108" s="516">
        <v>14354.29</v>
      </c>
      <c r="J108" s="516">
        <v>21020</v>
      </c>
      <c r="K108" s="516">
        <v>0.04</v>
      </c>
      <c r="L108" s="518">
        <v>926086.43</v>
      </c>
    </row>
    <row r="109" spans="1:12">
      <c r="B109" s="546" t="s">
        <v>1735</v>
      </c>
      <c r="C109" s="516">
        <v>371658.55</v>
      </c>
      <c r="D109" s="516">
        <v>947106.43</v>
      </c>
      <c r="E109" s="516">
        <v>13760.54</v>
      </c>
      <c r="F109" s="516">
        <v>47337.919999999998</v>
      </c>
      <c r="G109" s="517">
        <v>0.09</v>
      </c>
      <c r="H109" s="516">
        <v>899768.51</v>
      </c>
      <c r="I109" s="516">
        <v>14354.29</v>
      </c>
      <c r="J109" s="516">
        <v>21020</v>
      </c>
      <c r="K109" s="517">
        <v>0.04</v>
      </c>
      <c r="L109" s="518">
        <v>926086.43</v>
      </c>
    </row>
    <row r="110" spans="1:12">
      <c r="A110" s="747" t="s">
        <v>1736</v>
      </c>
      <c r="B110" s="748"/>
      <c r="C110" s="516">
        <v>2554500.75</v>
      </c>
      <c r="D110" s="516">
        <v>2573230.75</v>
      </c>
      <c r="E110" s="516">
        <v>344337</v>
      </c>
      <c r="F110" s="516">
        <v>1663099.04</v>
      </c>
      <c r="G110" s="517">
        <v>3.01</v>
      </c>
      <c r="H110" s="516">
        <v>910131.71</v>
      </c>
      <c r="I110" s="516">
        <v>555119.44999999995</v>
      </c>
      <c r="J110" s="516">
        <v>1027655.67</v>
      </c>
      <c r="K110" s="516">
        <v>2.14</v>
      </c>
      <c r="L110" s="518">
        <v>1545575.08</v>
      </c>
    </row>
    <row r="111" spans="1:12">
      <c r="B111" s="546" t="s">
        <v>1737</v>
      </c>
      <c r="C111" s="516">
        <v>1400</v>
      </c>
      <c r="D111" s="516">
        <v>0</v>
      </c>
      <c r="E111" s="516">
        <v>0</v>
      </c>
      <c r="F111" s="516">
        <v>0</v>
      </c>
      <c r="G111" s="517">
        <v>0</v>
      </c>
      <c r="H111" s="516">
        <v>0</v>
      </c>
      <c r="I111" s="516">
        <v>0</v>
      </c>
      <c r="J111" s="516">
        <v>0</v>
      </c>
      <c r="K111" s="517">
        <v>0</v>
      </c>
      <c r="L111" s="518">
        <v>0</v>
      </c>
    </row>
    <row r="112" spans="1:12">
      <c r="B112" s="546" t="s">
        <v>1738</v>
      </c>
      <c r="C112" s="516">
        <v>2553100.75</v>
      </c>
      <c r="D112" s="516">
        <v>2573230.75</v>
      </c>
      <c r="E112" s="516">
        <v>344337</v>
      </c>
      <c r="F112" s="516">
        <v>1663099.04</v>
      </c>
      <c r="G112" s="517">
        <v>3.01</v>
      </c>
      <c r="H112" s="516">
        <v>910131.71</v>
      </c>
      <c r="I112" s="516">
        <v>555119.44999999995</v>
      </c>
      <c r="J112" s="516">
        <v>1027655.67</v>
      </c>
      <c r="K112" s="517">
        <v>2.14</v>
      </c>
      <c r="L112" s="518">
        <v>1545575.08</v>
      </c>
    </row>
    <row r="113" spans="1:12">
      <c r="A113" s="747" t="s">
        <v>1739</v>
      </c>
      <c r="B113" s="748"/>
      <c r="C113" s="516">
        <v>709.85</v>
      </c>
      <c r="D113" s="516">
        <v>709.85</v>
      </c>
      <c r="E113" s="516">
        <v>0</v>
      </c>
      <c r="F113" s="516">
        <v>0</v>
      </c>
      <c r="G113" s="517">
        <v>0</v>
      </c>
      <c r="H113" s="516">
        <v>709.85</v>
      </c>
      <c r="I113" s="516">
        <v>0</v>
      </c>
      <c r="J113" s="516">
        <v>0</v>
      </c>
      <c r="K113" s="516">
        <v>0</v>
      </c>
      <c r="L113" s="518">
        <v>709.85</v>
      </c>
    </row>
    <row r="114" spans="1:12">
      <c r="B114" s="546" t="s">
        <v>1739</v>
      </c>
      <c r="C114" s="516">
        <v>709.85</v>
      </c>
      <c r="D114" s="516">
        <v>709.85</v>
      </c>
      <c r="E114" s="516">
        <v>0</v>
      </c>
      <c r="F114" s="516">
        <v>0</v>
      </c>
      <c r="G114" s="517">
        <v>0</v>
      </c>
      <c r="H114" s="516">
        <v>709.85</v>
      </c>
      <c r="I114" s="516">
        <v>0</v>
      </c>
      <c r="J114" s="516">
        <v>0</v>
      </c>
      <c r="K114" s="517">
        <v>0</v>
      </c>
      <c r="L114" s="518">
        <v>709.85</v>
      </c>
    </row>
    <row r="115" spans="1:12">
      <c r="A115" s="546" t="s">
        <v>1740</v>
      </c>
      <c r="B115" s="513"/>
      <c r="C115" s="516">
        <v>31912416.760000002</v>
      </c>
      <c r="D115" s="516">
        <v>32059530.91</v>
      </c>
      <c r="E115" s="516">
        <v>5520418.6200000001</v>
      </c>
      <c r="F115" s="516">
        <v>10414043.039999999</v>
      </c>
      <c r="G115" s="516">
        <v>18.828209591984464</v>
      </c>
      <c r="H115" s="516">
        <v>21645487.870000001</v>
      </c>
      <c r="I115" s="516">
        <v>5520418.6200000001</v>
      </c>
      <c r="J115" s="516">
        <v>10414043.039999999</v>
      </c>
      <c r="K115" s="516">
        <v>21.681368459963092</v>
      </c>
      <c r="L115" s="518">
        <v>21645487.870000001</v>
      </c>
    </row>
    <row r="116" spans="1:12">
      <c r="A116" s="751" t="s">
        <v>1741</v>
      </c>
      <c r="B116" s="752"/>
      <c r="C116" s="519">
        <v>166698144.47</v>
      </c>
      <c r="D116" s="519">
        <v>170225667.62</v>
      </c>
      <c r="E116" s="519">
        <v>25424362.539999999</v>
      </c>
      <c r="F116" s="519">
        <v>55310851.460000001</v>
      </c>
      <c r="G116" s="520" t="s">
        <v>1085</v>
      </c>
      <c r="H116" s="519">
        <v>114914816.16</v>
      </c>
      <c r="I116" s="519">
        <v>26057450.23</v>
      </c>
      <c r="J116" s="519">
        <v>48032222.039999999</v>
      </c>
      <c r="K116" s="520" t="s">
        <v>1085</v>
      </c>
      <c r="L116" s="521">
        <v>122193445.58</v>
      </c>
    </row>
    <row r="117" spans="1:12">
      <c r="A117" s="598" t="s">
        <v>1742</v>
      </c>
      <c r="B117" s="522"/>
      <c r="C117" s="523">
        <v>31912416.760000002</v>
      </c>
      <c r="D117" s="523">
        <v>32059530.91</v>
      </c>
      <c r="E117" s="523">
        <v>5520418.6200000001</v>
      </c>
      <c r="F117" s="523">
        <v>10414043.039999999</v>
      </c>
      <c r="G117" s="523">
        <v>18.828209591984464</v>
      </c>
      <c r="H117" s="523">
        <v>21645487.870000001</v>
      </c>
      <c r="I117" s="523">
        <v>5520418.6200000001</v>
      </c>
      <c r="J117" s="523">
        <v>10414043.039999999</v>
      </c>
      <c r="K117" s="523">
        <v>21.681368459963092</v>
      </c>
      <c r="L117" s="524">
        <v>21645487.870000001</v>
      </c>
    </row>
    <row r="118" spans="1:12">
      <c r="A118" s="747" t="s">
        <v>1662</v>
      </c>
      <c r="B118" s="748"/>
      <c r="C118" s="516">
        <v>701558.98</v>
      </c>
      <c r="D118" s="516">
        <v>608430.87</v>
      </c>
      <c r="E118" s="516">
        <v>35189.15</v>
      </c>
      <c r="F118" s="516">
        <v>69201.72</v>
      </c>
      <c r="G118" s="517">
        <v>0.13</v>
      </c>
      <c r="H118" s="516">
        <v>539229.15</v>
      </c>
      <c r="I118" s="516">
        <v>35189.15</v>
      </c>
      <c r="J118" s="516">
        <v>69201.72</v>
      </c>
      <c r="K118" s="516">
        <v>0.14000000000000001</v>
      </c>
      <c r="L118" s="518">
        <v>539229.15</v>
      </c>
    </row>
    <row r="119" spans="1:12">
      <c r="B119" s="546" t="s">
        <v>1663</v>
      </c>
      <c r="C119" s="516">
        <v>701558.98</v>
      </c>
      <c r="D119" s="516">
        <v>608430.87</v>
      </c>
      <c r="E119" s="516">
        <v>35189.15</v>
      </c>
      <c r="F119" s="516">
        <v>69201.72</v>
      </c>
      <c r="G119" s="517">
        <v>0.13</v>
      </c>
      <c r="H119" s="516">
        <v>539229.15</v>
      </c>
      <c r="I119" s="516">
        <v>35189.15</v>
      </c>
      <c r="J119" s="516">
        <v>69201.72</v>
      </c>
      <c r="K119" s="517">
        <v>0.14000000000000001</v>
      </c>
      <c r="L119" s="518">
        <v>539229.15</v>
      </c>
    </row>
    <row r="120" spans="1:12">
      <c r="A120" s="747" t="s">
        <v>1666</v>
      </c>
      <c r="B120" s="748"/>
      <c r="C120" s="516">
        <v>14122819.539999999</v>
      </c>
      <c r="D120" s="516">
        <v>14122819.539999999</v>
      </c>
      <c r="E120" s="516">
        <v>2409431.4</v>
      </c>
      <c r="F120" s="516">
        <v>4504141.99</v>
      </c>
      <c r="G120" s="517">
        <v>8.14</v>
      </c>
      <c r="H120" s="516">
        <v>9618677.5500000007</v>
      </c>
      <c r="I120" s="516">
        <v>2409431.4</v>
      </c>
      <c r="J120" s="516">
        <v>4504141.99</v>
      </c>
      <c r="K120" s="516">
        <v>9.3800000000000008</v>
      </c>
      <c r="L120" s="518">
        <v>9618677.5500000007</v>
      </c>
    </row>
    <row r="121" spans="1:12">
      <c r="B121" s="546" t="s">
        <v>1668</v>
      </c>
      <c r="C121" s="516">
        <v>1464781.08</v>
      </c>
      <c r="D121" s="516">
        <v>1773896.88</v>
      </c>
      <c r="E121" s="516">
        <v>221687.87</v>
      </c>
      <c r="F121" s="516">
        <v>388816.89</v>
      </c>
      <c r="G121" s="517">
        <v>0.7</v>
      </c>
      <c r="H121" s="516">
        <v>1385079.99</v>
      </c>
      <c r="I121" s="516">
        <v>221687.87</v>
      </c>
      <c r="J121" s="516">
        <v>388816.89</v>
      </c>
      <c r="K121" s="517">
        <v>0.81</v>
      </c>
      <c r="L121" s="518">
        <v>1385079.99</v>
      </c>
    </row>
    <row r="122" spans="1:12">
      <c r="B122" s="546" t="s">
        <v>1691</v>
      </c>
      <c r="C122" s="516">
        <v>12658038.460000001</v>
      </c>
      <c r="D122" s="516">
        <v>12348922.66</v>
      </c>
      <c r="E122" s="516">
        <v>2187743.5299999998</v>
      </c>
      <c r="F122" s="516">
        <v>4115325.1</v>
      </c>
      <c r="G122" s="517">
        <v>7.44</v>
      </c>
      <c r="H122" s="516">
        <v>8233597.5599999996</v>
      </c>
      <c r="I122" s="516">
        <v>2187743.5299999998</v>
      </c>
      <c r="J122" s="516">
        <v>4115325.1</v>
      </c>
      <c r="K122" s="517">
        <v>8.57</v>
      </c>
      <c r="L122" s="518">
        <v>8233597.5599999996</v>
      </c>
    </row>
    <row r="123" spans="1:12">
      <c r="A123" s="747" t="s">
        <v>1680</v>
      </c>
      <c r="B123" s="748"/>
      <c r="C123" s="516">
        <v>200</v>
      </c>
      <c r="D123" s="516">
        <v>200</v>
      </c>
      <c r="E123" s="516">
        <v>0</v>
      </c>
      <c r="F123" s="516">
        <v>0</v>
      </c>
      <c r="G123" s="517">
        <v>0</v>
      </c>
      <c r="H123" s="516">
        <v>200</v>
      </c>
      <c r="I123" s="516">
        <v>0</v>
      </c>
      <c r="J123" s="516">
        <v>0</v>
      </c>
      <c r="K123" s="516">
        <v>0</v>
      </c>
      <c r="L123" s="518">
        <v>200</v>
      </c>
    </row>
    <row r="124" spans="1:12">
      <c r="B124" s="546" t="s">
        <v>1681</v>
      </c>
      <c r="C124" s="516">
        <v>200</v>
      </c>
      <c r="D124" s="516">
        <v>200</v>
      </c>
      <c r="E124" s="516">
        <v>0</v>
      </c>
      <c r="F124" s="516">
        <v>0</v>
      </c>
      <c r="G124" s="517">
        <v>0</v>
      </c>
      <c r="H124" s="516">
        <v>200</v>
      </c>
      <c r="I124" s="516">
        <v>0</v>
      </c>
      <c r="J124" s="516">
        <v>0</v>
      </c>
      <c r="K124" s="517">
        <v>0</v>
      </c>
      <c r="L124" s="518">
        <v>200</v>
      </c>
    </row>
    <row r="125" spans="1:12">
      <c r="A125" s="747" t="s">
        <v>1693</v>
      </c>
      <c r="B125" s="748"/>
      <c r="C125" s="516">
        <v>5593489.3399999999</v>
      </c>
      <c r="D125" s="516">
        <v>5578489.3399999999</v>
      </c>
      <c r="E125" s="516">
        <v>904888.13</v>
      </c>
      <c r="F125" s="516">
        <v>1746804.71</v>
      </c>
      <c r="G125" s="517">
        <v>3.16</v>
      </c>
      <c r="H125" s="516">
        <v>3831684.63</v>
      </c>
      <c r="I125" s="516">
        <v>904888.13</v>
      </c>
      <c r="J125" s="516">
        <v>1746804.71</v>
      </c>
      <c r="K125" s="516">
        <v>3.64</v>
      </c>
      <c r="L125" s="518">
        <v>3831684.63</v>
      </c>
    </row>
    <row r="126" spans="1:12">
      <c r="B126" s="546" t="s">
        <v>1668</v>
      </c>
      <c r="C126" s="516">
        <v>137638.44</v>
      </c>
      <c r="D126" s="516">
        <v>137638.44</v>
      </c>
      <c r="E126" s="516">
        <v>14640.95</v>
      </c>
      <c r="F126" s="516">
        <v>29608.92</v>
      </c>
      <c r="G126" s="517">
        <v>0.05</v>
      </c>
      <c r="H126" s="516">
        <v>108029.52</v>
      </c>
      <c r="I126" s="516">
        <v>14640.95</v>
      </c>
      <c r="J126" s="516">
        <v>29608.92</v>
      </c>
      <c r="K126" s="517">
        <v>0.06</v>
      </c>
      <c r="L126" s="518">
        <v>108029.52</v>
      </c>
    </row>
    <row r="127" spans="1:12">
      <c r="B127" s="546" t="s">
        <v>1691</v>
      </c>
      <c r="C127" s="516">
        <v>5178968.3899999997</v>
      </c>
      <c r="D127" s="516">
        <v>5163968.3899999997</v>
      </c>
      <c r="E127" s="516">
        <v>858673.56</v>
      </c>
      <c r="F127" s="516">
        <v>1657044.08</v>
      </c>
      <c r="G127" s="517">
        <v>3</v>
      </c>
      <c r="H127" s="516">
        <v>3506924.31</v>
      </c>
      <c r="I127" s="516">
        <v>858673.56</v>
      </c>
      <c r="J127" s="516">
        <v>1657044.08</v>
      </c>
      <c r="K127" s="517">
        <v>3.45</v>
      </c>
      <c r="L127" s="518">
        <v>3506924.31</v>
      </c>
    </row>
    <row r="128" spans="1:12">
      <c r="B128" s="546" t="s">
        <v>1694</v>
      </c>
      <c r="C128" s="516">
        <v>154539.35999999999</v>
      </c>
      <c r="D128" s="516">
        <v>154539.35999999999</v>
      </c>
      <c r="E128" s="516">
        <v>17428.349999999999</v>
      </c>
      <c r="F128" s="516">
        <v>32824.160000000003</v>
      </c>
      <c r="G128" s="517">
        <v>0.06</v>
      </c>
      <c r="H128" s="516">
        <v>121715.2</v>
      </c>
      <c r="I128" s="516">
        <v>17428.349999999999</v>
      </c>
      <c r="J128" s="516">
        <v>32824.160000000003</v>
      </c>
      <c r="K128" s="517">
        <v>7.0000000000000007E-2</v>
      </c>
      <c r="L128" s="518">
        <v>121715.2</v>
      </c>
    </row>
    <row r="129" spans="1:12">
      <c r="B129" s="546" t="s">
        <v>1692</v>
      </c>
      <c r="C129" s="516">
        <v>98244.4</v>
      </c>
      <c r="D129" s="516">
        <v>98244.4</v>
      </c>
      <c r="E129" s="516">
        <v>11257.85</v>
      </c>
      <c r="F129" s="516">
        <v>21943.89</v>
      </c>
      <c r="G129" s="517">
        <v>0.04</v>
      </c>
      <c r="H129" s="516">
        <v>76300.509999999995</v>
      </c>
      <c r="I129" s="516">
        <v>11257.85</v>
      </c>
      <c r="J129" s="516">
        <v>21943.89</v>
      </c>
      <c r="K129" s="517">
        <v>0.05</v>
      </c>
      <c r="L129" s="518">
        <v>76300.509999999995</v>
      </c>
    </row>
    <row r="130" spans="1:12">
      <c r="B130" s="546" t="s">
        <v>1695</v>
      </c>
      <c r="C130" s="516">
        <v>4542.76</v>
      </c>
      <c r="D130" s="516">
        <v>4542.76</v>
      </c>
      <c r="E130" s="516">
        <v>461.72</v>
      </c>
      <c r="F130" s="516">
        <v>963.39</v>
      </c>
      <c r="G130" s="517">
        <v>0</v>
      </c>
      <c r="H130" s="516">
        <v>3579.37</v>
      </c>
      <c r="I130" s="516">
        <v>461.72</v>
      </c>
      <c r="J130" s="516">
        <v>963.39</v>
      </c>
      <c r="K130" s="517">
        <v>0</v>
      </c>
      <c r="L130" s="518">
        <v>3579.37</v>
      </c>
    </row>
    <row r="131" spans="1:12">
      <c r="B131" s="546" t="s">
        <v>1696</v>
      </c>
      <c r="C131" s="516">
        <v>500</v>
      </c>
      <c r="D131" s="516">
        <v>500</v>
      </c>
      <c r="E131" s="516">
        <v>0</v>
      </c>
      <c r="F131" s="516">
        <v>0</v>
      </c>
      <c r="G131" s="517">
        <v>0</v>
      </c>
      <c r="H131" s="516">
        <v>500</v>
      </c>
      <c r="I131" s="516">
        <v>0</v>
      </c>
      <c r="J131" s="516">
        <v>0</v>
      </c>
      <c r="K131" s="517">
        <v>0</v>
      </c>
      <c r="L131" s="518">
        <v>500</v>
      </c>
    </row>
    <row r="132" spans="1:12">
      <c r="B132" s="546" t="s">
        <v>1697</v>
      </c>
      <c r="C132" s="516">
        <v>19055.990000000002</v>
      </c>
      <c r="D132" s="516">
        <v>19055.990000000002</v>
      </c>
      <c r="E132" s="516">
        <v>2425.6999999999998</v>
      </c>
      <c r="F132" s="516">
        <v>4420.2700000000004</v>
      </c>
      <c r="G132" s="517">
        <v>0.01</v>
      </c>
      <c r="H132" s="516">
        <v>14635.72</v>
      </c>
      <c r="I132" s="516">
        <v>2425.6999999999998</v>
      </c>
      <c r="J132" s="516">
        <v>4420.2700000000004</v>
      </c>
      <c r="K132" s="517">
        <v>0.01</v>
      </c>
      <c r="L132" s="518">
        <v>14635.72</v>
      </c>
    </row>
    <row r="133" spans="1:12">
      <c r="A133" s="747" t="s">
        <v>1698</v>
      </c>
      <c r="B133" s="748"/>
      <c r="C133" s="516">
        <v>11200443.92</v>
      </c>
      <c r="D133" s="516">
        <v>11363158.07</v>
      </c>
      <c r="E133" s="516">
        <v>2107306.52</v>
      </c>
      <c r="F133" s="516">
        <v>3968829.9</v>
      </c>
      <c r="G133" s="517">
        <v>7.18</v>
      </c>
      <c r="H133" s="516">
        <v>7394328.1699999999</v>
      </c>
      <c r="I133" s="516">
        <v>2107306.52</v>
      </c>
      <c r="J133" s="516">
        <v>3968829.9</v>
      </c>
      <c r="K133" s="516">
        <v>8.26</v>
      </c>
      <c r="L133" s="518">
        <v>7394328.1699999999</v>
      </c>
    </row>
    <row r="134" spans="1:12">
      <c r="B134" s="546" t="s">
        <v>1691</v>
      </c>
      <c r="C134" s="516">
        <v>10037493.220000001</v>
      </c>
      <c r="D134" s="516">
        <v>10147215.369999999</v>
      </c>
      <c r="E134" s="516">
        <v>2028213.72</v>
      </c>
      <c r="F134" s="516">
        <v>3807505.67</v>
      </c>
      <c r="G134" s="517">
        <v>6.88</v>
      </c>
      <c r="H134" s="516">
        <v>6339709.7000000002</v>
      </c>
      <c r="I134" s="516">
        <v>2028213.72</v>
      </c>
      <c r="J134" s="516">
        <v>3807505.67</v>
      </c>
      <c r="K134" s="517">
        <v>7.93</v>
      </c>
      <c r="L134" s="518">
        <v>6339709.7000000002</v>
      </c>
    </row>
    <row r="135" spans="1:12">
      <c r="B135" s="546" t="s">
        <v>1699</v>
      </c>
      <c r="C135" s="516">
        <v>447049.67</v>
      </c>
      <c r="D135" s="516">
        <v>484749.67</v>
      </c>
      <c r="E135" s="516">
        <v>51922.66</v>
      </c>
      <c r="F135" s="516">
        <v>97080.59</v>
      </c>
      <c r="G135" s="517">
        <v>0.18</v>
      </c>
      <c r="H135" s="516">
        <v>387669.08</v>
      </c>
      <c r="I135" s="516">
        <v>51922.66</v>
      </c>
      <c r="J135" s="516">
        <v>97080.59</v>
      </c>
      <c r="K135" s="517">
        <v>0.2</v>
      </c>
      <c r="L135" s="518">
        <v>387669.08</v>
      </c>
    </row>
    <row r="136" spans="1:12">
      <c r="B136" s="546" t="s">
        <v>1701</v>
      </c>
      <c r="C136" s="516">
        <v>629118.94999999995</v>
      </c>
      <c r="D136" s="516">
        <v>642118.94999999995</v>
      </c>
      <c r="E136" s="516">
        <v>19719.57</v>
      </c>
      <c r="F136" s="516">
        <v>49483.44</v>
      </c>
      <c r="G136" s="517">
        <v>0.09</v>
      </c>
      <c r="H136" s="516">
        <v>592635.51</v>
      </c>
      <c r="I136" s="516">
        <v>19719.57</v>
      </c>
      <c r="J136" s="516">
        <v>49483.44</v>
      </c>
      <c r="K136" s="517">
        <v>0.1</v>
      </c>
      <c r="L136" s="518">
        <v>592635.51</v>
      </c>
    </row>
    <row r="137" spans="1:12">
      <c r="B137" s="546" t="s">
        <v>1702</v>
      </c>
      <c r="C137" s="516">
        <v>17237.47</v>
      </c>
      <c r="D137" s="516">
        <v>18287.47</v>
      </c>
      <c r="E137" s="516">
        <v>1665</v>
      </c>
      <c r="F137" s="516">
        <v>3298.38</v>
      </c>
      <c r="G137" s="517">
        <v>0.01</v>
      </c>
      <c r="H137" s="516">
        <v>14989.09</v>
      </c>
      <c r="I137" s="516">
        <v>1665</v>
      </c>
      <c r="J137" s="516">
        <v>3298.38</v>
      </c>
      <c r="K137" s="517">
        <v>0.01</v>
      </c>
      <c r="L137" s="518">
        <v>14989.09</v>
      </c>
    </row>
    <row r="138" spans="1:12">
      <c r="B138" s="546" t="s">
        <v>1703</v>
      </c>
      <c r="C138" s="516">
        <v>47965.77</v>
      </c>
      <c r="D138" s="516">
        <v>49207.77</v>
      </c>
      <c r="E138" s="516">
        <v>3733.77</v>
      </c>
      <c r="F138" s="516">
        <v>7177.7</v>
      </c>
      <c r="G138" s="517">
        <v>0.01</v>
      </c>
      <c r="H138" s="516">
        <v>42030.07</v>
      </c>
      <c r="I138" s="516">
        <v>3733.77</v>
      </c>
      <c r="J138" s="516">
        <v>7177.7</v>
      </c>
      <c r="K138" s="517">
        <v>0.01</v>
      </c>
      <c r="L138" s="518">
        <v>42030.07</v>
      </c>
    </row>
    <row r="139" spans="1:12">
      <c r="B139" s="546" t="s">
        <v>1704</v>
      </c>
      <c r="C139" s="516">
        <v>21578.84</v>
      </c>
      <c r="D139" s="516">
        <v>21578.84</v>
      </c>
      <c r="E139" s="516">
        <v>2051.8000000000002</v>
      </c>
      <c r="F139" s="516">
        <v>4284.12</v>
      </c>
      <c r="G139" s="517">
        <v>0.01</v>
      </c>
      <c r="H139" s="516">
        <v>17294.72</v>
      </c>
      <c r="I139" s="516">
        <v>2051.8000000000002</v>
      </c>
      <c r="J139" s="516">
        <v>4284.12</v>
      </c>
      <c r="K139" s="517">
        <v>0.01</v>
      </c>
      <c r="L139" s="518">
        <v>17294.72</v>
      </c>
    </row>
    <row r="140" spans="1:12">
      <c r="A140" s="747" t="s">
        <v>1736</v>
      </c>
      <c r="B140" s="748"/>
      <c r="C140" s="516">
        <v>293904.98</v>
      </c>
      <c r="D140" s="516">
        <v>386433.09</v>
      </c>
      <c r="E140" s="516">
        <v>63603.42</v>
      </c>
      <c r="F140" s="516">
        <v>125064.72</v>
      </c>
      <c r="G140" s="517">
        <v>0.23</v>
      </c>
      <c r="H140" s="516">
        <v>261368.37</v>
      </c>
      <c r="I140" s="516">
        <v>63603.42</v>
      </c>
      <c r="J140" s="516">
        <v>125064.72</v>
      </c>
      <c r="K140" s="516">
        <v>0.26</v>
      </c>
      <c r="L140" s="518">
        <v>261368.37</v>
      </c>
    </row>
    <row r="141" spans="1:12">
      <c r="B141" s="546" t="s">
        <v>1691</v>
      </c>
      <c r="C141" s="516">
        <v>288304.98</v>
      </c>
      <c r="D141" s="516">
        <v>381433.09</v>
      </c>
      <c r="E141" s="516">
        <v>63603.42</v>
      </c>
      <c r="F141" s="516">
        <v>125064.72</v>
      </c>
      <c r="G141" s="517">
        <v>0.23</v>
      </c>
      <c r="H141" s="516">
        <v>256368.37</v>
      </c>
      <c r="I141" s="516">
        <v>63603.42</v>
      </c>
      <c r="J141" s="516">
        <v>125064.72</v>
      </c>
      <c r="K141" s="517">
        <v>0.26</v>
      </c>
      <c r="L141" s="518">
        <v>256368.37</v>
      </c>
    </row>
    <row r="142" spans="1:12">
      <c r="B142" s="546" t="s">
        <v>1737</v>
      </c>
      <c r="C142" s="516">
        <v>600</v>
      </c>
      <c r="D142" s="516">
        <v>0</v>
      </c>
      <c r="E142" s="516">
        <v>0</v>
      </c>
      <c r="F142" s="516">
        <v>0</v>
      </c>
      <c r="G142" s="517">
        <v>0</v>
      </c>
      <c r="H142" s="516">
        <v>0</v>
      </c>
      <c r="I142" s="516">
        <v>0</v>
      </c>
      <c r="J142" s="516">
        <v>0</v>
      </c>
      <c r="K142" s="517">
        <v>0</v>
      </c>
      <c r="L142" s="518">
        <v>0</v>
      </c>
    </row>
    <row r="143" spans="1:12">
      <c r="B143" s="546" t="s">
        <v>1738</v>
      </c>
      <c r="C143" s="516">
        <v>5000</v>
      </c>
      <c r="D143" s="516">
        <v>5000</v>
      </c>
      <c r="E143" s="516">
        <v>0</v>
      </c>
      <c r="F143" s="516">
        <v>0</v>
      </c>
      <c r="G143" s="517">
        <v>0</v>
      </c>
      <c r="H143" s="516">
        <v>5000</v>
      </c>
      <c r="I143" s="516">
        <v>0</v>
      </c>
      <c r="J143" s="516">
        <v>0</v>
      </c>
      <c r="K143" s="517">
        <v>0</v>
      </c>
      <c r="L143" s="518">
        <v>5000</v>
      </c>
    </row>
    <row r="144" spans="1:12">
      <c r="A144" s="749" t="s">
        <v>277</v>
      </c>
      <c r="B144" s="750"/>
      <c r="C144" s="525">
        <v>31912416.760000002</v>
      </c>
      <c r="D144" s="525">
        <v>32059530.91</v>
      </c>
      <c r="E144" s="525">
        <v>5520418.6200000001</v>
      </c>
      <c r="F144" s="525">
        <v>10414043.039999999</v>
      </c>
      <c r="G144" s="525">
        <v>18.828209591984464</v>
      </c>
      <c r="H144" s="525">
        <v>21645487.870000001</v>
      </c>
      <c r="I144" s="525">
        <v>5520418.6200000001</v>
      </c>
      <c r="J144" s="525">
        <v>10414043.039999999</v>
      </c>
      <c r="K144" s="525">
        <v>21.681368459963092</v>
      </c>
      <c r="L144" s="526">
        <v>21645487.870000001</v>
      </c>
    </row>
  </sheetData>
  <mergeCells count="39">
    <mergeCell ref="A7:E7"/>
    <mergeCell ref="A1:L1"/>
    <mergeCell ref="A2:L2"/>
    <mergeCell ref="A3:L3"/>
    <mergeCell ref="A4:L4"/>
    <mergeCell ref="A5:L5"/>
    <mergeCell ref="A70:B70"/>
    <mergeCell ref="A8:B10"/>
    <mergeCell ref="E8:G8"/>
    <mergeCell ref="I8:K8"/>
    <mergeCell ref="A13:B13"/>
    <mergeCell ref="A15:B15"/>
    <mergeCell ref="A17:B17"/>
    <mergeCell ref="A31:B31"/>
    <mergeCell ref="A35:B35"/>
    <mergeCell ref="A44:B44"/>
    <mergeCell ref="A48:B48"/>
    <mergeCell ref="A59:B59"/>
    <mergeCell ref="A110:B110"/>
    <mergeCell ref="A76:B76"/>
    <mergeCell ref="A79:B79"/>
    <mergeCell ref="A82:B82"/>
    <mergeCell ref="A86:B86"/>
    <mergeCell ref="A89:B89"/>
    <mergeCell ref="A93:B93"/>
    <mergeCell ref="A98:B98"/>
    <mergeCell ref="A100:B100"/>
    <mergeCell ref="A104:B104"/>
    <mergeCell ref="A106:B106"/>
    <mergeCell ref="A108:B108"/>
    <mergeCell ref="A133:B133"/>
    <mergeCell ref="A140:B140"/>
    <mergeCell ref="A144:B144"/>
    <mergeCell ref="A113:B113"/>
    <mergeCell ref="A116:B116"/>
    <mergeCell ref="A118:B118"/>
    <mergeCell ref="A120:B120"/>
    <mergeCell ref="A123:B123"/>
    <mergeCell ref="A125:B125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184"/>
  <sheetViews>
    <sheetView workbookViewId="0">
      <selection sqref="A1:XFD1048576"/>
    </sheetView>
  </sheetViews>
  <sheetFormatPr defaultRowHeight="15"/>
  <cols>
    <col min="1" max="1" width="63.710937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>
      <c r="A1" s="717" t="s">
        <v>661</v>
      </c>
      <c r="B1" s="717"/>
      <c r="L1" s="562" t="s">
        <v>887</v>
      </c>
    </row>
    <row r="2" spans="1:13" ht="11.1" customHeight="1">
      <c r="A2" s="717" t="s">
        <v>888</v>
      </c>
      <c r="B2" s="717"/>
    </row>
    <row r="3" spans="1:13" ht="11.85" customHeight="1">
      <c r="A3" s="740" t="s">
        <v>889</v>
      </c>
      <c r="B3" s="740"/>
      <c r="C3" s="740"/>
      <c r="D3" s="740"/>
      <c r="E3" s="740"/>
      <c r="F3" s="740"/>
      <c r="G3" s="740"/>
      <c r="H3" s="740"/>
    </row>
    <row r="4" spans="1:13" ht="11.85" customHeight="1">
      <c r="A4" s="717" t="s">
        <v>890</v>
      </c>
      <c r="B4" s="717"/>
    </row>
    <row r="5" spans="1:13" ht="11.85" customHeight="1">
      <c r="A5" s="717" t="s">
        <v>1744</v>
      </c>
      <c r="B5" s="717"/>
    </row>
    <row r="6" spans="1:13" ht="5.85" customHeight="1"/>
    <row r="7" spans="1:13" ht="11.1" customHeight="1">
      <c r="A7" s="741" t="s">
        <v>891</v>
      </c>
      <c r="B7" s="741"/>
      <c r="C7" s="466"/>
      <c r="D7" s="466"/>
      <c r="E7" s="466"/>
      <c r="F7" s="466"/>
      <c r="G7" s="466"/>
      <c r="H7" s="745" t="s">
        <v>702</v>
      </c>
      <c r="I7" s="745"/>
      <c r="J7" s="745"/>
      <c r="K7" s="745"/>
      <c r="L7" s="745"/>
    </row>
    <row r="8" spans="1:13" ht="11.85" customHeight="1">
      <c r="A8" s="769" t="s">
        <v>892</v>
      </c>
      <c r="B8" s="770"/>
      <c r="C8" s="770"/>
      <c r="D8" s="770"/>
      <c r="E8" s="770"/>
      <c r="F8" s="770"/>
      <c r="G8" s="770"/>
      <c r="H8" s="770"/>
      <c r="I8" s="770"/>
      <c r="J8" s="770"/>
      <c r="K8" s="770"/>
      <c r="L8" s="771"/>
      <c r="M8" s="467"/>
    </row>
    <row r="9" spans="1:13" ht="11.85" customHeight="1">
      <c r="A9" s="769" t="s">
        <v>893</v>
      </c>
      <c r="B9" s="770"/>
      <c r="C9" s="770"/>
      <c r="D9" s="770"/>
      <c r="E9" s="770"/>
      <c r="F9" s="770"/>
      <c r="G9" s="770"/>
      <c r="H9" s="770"/>
      <c r="I9" s="770"/>
      <c r="J9" s="770"/>
      <c r="K9" s="770"/>
      <c r="L9" s="771"/>
      <c r="M9" s="467"/>
    </row>
    <row r="10" spans="1:13" ht="28.9" customHeight="1">
      <c r="A10" s="547" t="s">
        <v>894</v>
      </c>
      <c r="B10" s="712" t="s">
        <v>895</v>
      </c>
      <c r="C10" s="737"/>
      <c r="D10" s="738"/>
      <c r="E10" s="712" t="s">
        <v>896</v>
      </c>
      <c r="F10" s="737"/>
      <c r="G10" s="737"/>
      <c r="H10" s="737"/>
      <c r="I10" s="737"/>
      <c r="J10" s="737"/>
      <c r="K10" s="737"/>
      <c r="L10" s="738"/>
      <c r="M10" s="467"/>
    </row>
    <row r="11" spans="1:13" ht="11.85" customHeight="1">
      <c r="A11" s="577" t="s">
        <v>663</v>
      </c>
      <c r="B11" s="787" t="s">
        <v>1362</v>
      </c>
      <c r="C11" s="788"/>
      <c r="D11" s="789"/>
      <c r="E11" s="787" t="s">
        <v>2406</v>
      </c>
      <c r="F11" s="788"/>
      <c r="G11" s="788"/>
      <c r="H11" s="788"/>
      <c r="I11" s="788"/>
      <c r="J11" s="788"/>
      <c r="K11" s="788"/>
      <c r="L11" s="789"/>
      <c r="M11" s="467"/>
    </row>
    <row r="12" spans="1:13" ht="11.85" customHeight="1">
      <c r="A12" s="572" t="s">
        <v>897</v>
      </c>
      <c r="B12" s="784" t="s">
        <v>1363</v>
      </c>
      <c r="C12" s="785"/>
      <c r="D12" s="786"/>
      <c r="E12" s="784" t="s">
        <v>2407</v>
      </c>
      <c r="F12" s="785"/>
      <c r="G12" s="785"/>
      <c r="H12" s="785"/>
      <c r="I12" s="785"/>
      <c r="J12" s="785"/>
      <c r="K12" s="785"/>
      <c r="L12" s="786"/>
      <c r="M12" s="467"/>
    </row>
    <row r="13" spans="1:13" ht="11.1" customHeight="1">
      <c r="A13" s="574" t="s">
        <v>898</v>
      </c>
      <c r="B13" s="707" t="s">
        <v>1364</v>
      </c>
      <c r="C13" s="708"/>
      <c r="D13" s="709"/>
      <c r="E13" s="707" t="s">
        <v>2408</v>
      </c>
      <c r="F13" s="708"/>
      <c r="G13" s="708"/>
      <c r="H13" s="708"/>
      <c r="I13" s="708"/>
      <c r="J13" s="708"/>
      <c r="K13" s="708"/>
      <c r="L13" s="709"/>
      <c r="M13" s="467"/>
    </row>
    <row r="14" spans="1:13" ht="11.85" customHeight="1">
      <c r="A14" s="574" t="s">
        <v>899</v>
      </c>
      <c r="B14" s="707" t="s">
        <v>1365</v>
      </c>
      <c r="C14" s="708"/>
      <c r="D14" s="709"/>
      <c r="E14" s="707" t="s">
        <v>2409</v>
      </c>
      <c r="F14" s="708"/>
      <c r="G14" s="708"/>
      <c r="H14" s="708"/>
      <c r="I14" s="708"/>
      <c r="J14" s="708"/>
      <c r="K14" s="708"/>
      <c r="L14" s="709"/>
      <c r="M14" s="467"/>
    </row>
    <row r="15" spans="1:13" ht="11.85" customHeight="1">
      <c r="A15" s="574" t="s">
        <v>900</v>
      </c>
      <c r="B15" s="707" t="s">
        <v>1366</v>
      </c>
      <c r="C15" s="708"/>
      <c r="D15" s="709"/>
      <c r="E15" s="707" t="s">
        <v>2410</v>
      </c>
      <c r="F15" s="708"/>
      <c r="G15" s="708"/>
      <c r="H15" s="708"/>
      <c r="I15" s="708"/>
      <c r="J15" s="708"/>
      <c r="K15" s="708"/>
      <c r="L15" s="709"/>
      <c r="M15" s="467"/>
    </row>
    <row r="16" spans="1:13" ht="11.85" customHeight="1">
      <c r="A16" s="572" t="s">
        <v>901</v>
      </c>
      <c r="B16" s="784" t="s">
        <v>1367</v>
      </c>
      <c r="C16" s="785"/>
      <c r="D16" s="786"/>
      <c r="E16" s="784" t="s">
        <v>2411</v>
      </c>
      <c r="F16" s="785"/>
      <c r="G16" s="785"/>
      <c r="H16" s="785"/>
      <c r="I16" s="785"/>
      <c r="J16" s="785"/>
      <c r="K16" s="785"/>
      <c r="L16" s="786"/>
      <c r="M16" s="467"/>
    </row>
    <row r="17" spans="1:13" ht="11.1" customHeight="1">
      <c r="A17" s="574" t="s">
        <v>898</v>
      </c>
      <c r="B17" s="707" t="s">
        <v>1368</v>
      </c>
      <c r="C17" s="708"/>
      <c r="D17" s="709"/>
      <c r="E17" s="707" t="s">
        <v>2412</v>
      </c>
      <c r="F17" s="708"/>
      <c r="G17" s="708"/>
      <c r="H17" s="708"/>
      <c r="I17" s="708"/>
      <c r="J17" s="708"/>
      <c r="K17" s="708"/>
      <c r="L17" s="709"/>
      <c r="M17" s="467"/>
    </row>
    <row r="18" spans="1:13" ht="11.85" customHeight="1">
      <c r="A18" s="574" t="s">
        <v>899</v>
      </c>
      <c r="B18" s="707" t="s">
        <v>1369</v>
      </c>
      <c r="C18" s="708"/>
      <c r="D18" s="709"/>
      <c r="E18" s="707" t="s">
        <v>2413</v>
      </c>
      <c r="F18" s="708"/>
      <c r="G18" s="708"/>
      <c r="H18" s="708"/>
      <c r="I18" s="708"/>
      <c r="J18" s="708"/>
      <c r="K18" s="708"/>
      <c r="L18" s="709"/>
      <c r="M18" s="467"/>
    </row>
    <row r="19" spans="1:13" ht="11.85" customHeight="1">
      <c r="A19" s="574" t="s">
        <v>900</v>
      </c>
      <c r="B19" s="707" t="s">
        <v>1370</v>
      </c>
      <c r="C19" s="708"/>
      <c r="D19" s="709"/>
      <c r="E19" s="707" t="s">
        <v>2414</v>
      </c>
      <c r="F19" s="708"/>
      <c r="G19" s="708"/>
      <c r="H19" s="708"/>
      <c r="I19" s="708"/>
      <c r="J19" s="708"/>
      <c r="K19" s="708"/>
      <c r="L19" s="709"/>
      <c r="M19" s="467"/>
    </row>
    <row r="20" spans="1:13" ht="11.85" customHeight="1">
      <c r="A20" s="572" t="s">
        <v>667</v>
      </c>
      <c r="B20" s="784" t="s">
        <v>1371</v>
      </c>
      <c r="C20" s="785"/>
      <c r="D20" s="786"/>
      <c r="E20" s="784" t="s">
        <v>2415</v>
      </c>
      <c r="F20" s="785"/>
      <c r="G20" s="785"/>
      <c r="H20" s="785"/>
      <c r="I20" s="785"/>
      <c r="J20" s="785"/>
      <c r="K20" s="785"/>
      <c r="L20" s="786"/>
      <c r="M20" s="467"/>
    </row>
    <row r="21" spans="1:13" ht="11.1" customHeight="1">
      <c r="A21" s="574" t="s">
        <v>902</v>
      </c>
      <c r="B21" s="707" t="s">
        <v>656</v>
      </c>
      <c r="C21" s="708"/>
      <c r="D21" s="709"/>
      <c r="E21" s="707" t="s">
        <v>656</v>
      </c>
      <c r="F21" s="708"/>
      <c r="G21" s="708"/>
      <c r="H21" s="708"/>
      <c r="I21" s="708"/>
      <c r="J21" s="708"/>
      <c r="K21" s="708"/>
      <c r="L21" s="709"/>
      <c r="M21" s="467"/>
    </row>
    <row r="22" spans="1:13" ht="11.85" customHeight="1">
      <c r="A22" s="574" t="s">
        <v>903</v>
      </c>
      <c r="B22" s="707" t="s">
        <v>1371</v>
      </c>
      <c r="C22" s="708"/>
      <c r="D22" s="709"/>
      <c r="E22" s="707" t="s">
        <v>2415</v>
      </c>
      <c r="F22" s="708"/>
      <c r="G22" s="708"/>
      <c r="H22" s="708"/>
      <c r="I22" s="708"/>
      <c r="J22" s="708"/>
      <c r="K22" s="708"/>
      <c r="L22" s="709"/>
      <c r="M22" s="467"/>
    </row>
    <row r="23" spans="1:13" ht="11.85" customHeight="1">
      <c r="A23" s="574" t="s">
        <v>668</v>
      </c>
      <c r="B23" s="707" t="s">
        <v>656</v>
      </c>
      <c r="C23" s="708"/>
      <c r="D23" s="709"/>
      <c r="E23" s="707" t="s">
        <v>656</v>
      </c>
      <c r="F23" s="708"/>
      <c r="G23" s="708"/>
      <c r="H23" s="708"/>
      <c r="I23" s="708"/>
      <c r="J23" s="708"/>
      <c r="K23" s="708"/>
      <c r="L23" s="709"/>
      <c r="M23" s="467"/>
    </row>
    <row r="24" spans="1:13" ht="11.85" customHeight="1">
      <c r="A24" s="572" t="s">
        <v>669</v>
      </c>
      <c r="B24" s="784" t="s">
        <v>656</v>
      </c>
      <c r="C24" s="785"/>
      <c r="D24" s="786"/>
      <c r="E24" s="784" t="s">
        <v>656</v>
      </c>
      <c r="F24" s="785"/>
      <c r="G24" s="785"/>
      <c r="H24" s="785"/>
      <c r="I24" s="785"/>
      <c r="J24" s="785"/>
      <c r="K24" s="785"/>
      <c r="L24" s="786"/>
      <c r="M24" s="467"/>
    </row>
    <row r="25" spans="1:13" ht="11.1" customHeight="1">
      <c r="A25" s="572" t="s">
        <v>679</v>
      </c>
      <c r="B25" s="784" t="s">
        <v>1372</v>
      </c>
      <c r="C25" s="785"/>
      <c r="D25" s="786"/>
      <c r="E25" s="784" t="s">
        <v>2416</v>
      </c>
      <c r="F25" s="785"/>
      <c r="G25" s="785"/>
      <c r="H25" s="785"/>
      <c r="I25" s="785"/>
      <c r="J25" s="785"/>
      <c r="K25" s="785"/>
      <c r="L25" s="786"/>
      <c r="M25" s="467"/>
    </row>
    <row r="26" spans="1:13" ht="11.85" customHeight="1">
      <c r="A26" s="574" t="s">
        <v>904</v>
      </c>
      <c r="B26" s="707" t="s">
        <v>1373</v>
      </c>
      <c r="C26" s="708"/>
      <c r="D26" s="709"/>
      <c r="E26" s="707" t="s">
        <v>2417</v>
      </c>
      <c r="F26" s="708"/>
      <c r="G26" s="708"/>
      <c r="H26" s="708"/>
      <c r="I26" s="708"/>
      <c r="J26" s="708"/>
      <c r="K26" s="708"/>
      <c r="L26" s="709"/>
      <c r="M26" s="467"/>
    </row>
    <row r="27" spans="1:13" ht="11.85" customHeight="1">
      <c r="A27" s="574" t="s">
        <v>905</v>
      </c>
      <c r="B27" s="707" t="s">
        <v>1358</v>
      </c>
      <c r="C27" s="708"/>
      <c r="D27" s="709"/>
      <c r="E27" s="707" t="s">
        <v>2391</v>
      </c>
      <c r="F27" s="708"/>
      <c r="G27" s="708"/>
      <c r="H27" s="708"/>
      <c r="I27" s="708"/>
      <c r="J27" s="708"/>
      <c r="K27" s="708"/>
      <c r="L27" s="709"/>
      <c r="M27" s="467"/>
    </row>
    <row r="28" spans="1:13" ht="11.85" customHeight="1">
      <c r="A28" s="574" t="s">
        <v>853</v>
      </c>
      <c r="B28" s="707" t="s">
        <v>1374</v>
      </c>
      <c r="C28" s="708"/>
      <c r="D28" s="709"/>
      <c r="E28" s="707" t="s">
        <v>656</v>
      </c>
      <c r="F28" s="708"/>
      <c r="G28" s="708"/>
      <c r="H28" s="708"/>
      <c r="I28" s="708"/>
      <c r="J28" s="708"/>
      <c r="K28" s="708"/>
      <c r="L28" s="709"/>
      <c r="M28" s="467"/>
    </row>
    <row r="29" spans="1:13" ht="11.1" customHeight="1">
      <c r="A29" s="574" t="s">
        <v>906</v>
      </c>
      <c r="B29" s="784" t="s">
        <v>656</v>
      </c>
      <c r="C29" s="785"/>
      <c r="D29" s="786"/>
      <c r="E29" s="784" t="s">
        <v>656</v>
      </c>
      <c r="F29" s="785"/>
      <c r="G29" s="785"/>
      <c r="H29" s="785"/>
      <c r="I29" s="785"/>
      <c r="J29" s="785"/>
      <c r="K29" s="785"/>
      <c r="L29" s="786"/>
      <c r="M29" s="467"/>
    </row>
    <row r="30" spans="1:13" ht="11.85" customHeight="1">
      <c r="A30" s="574" t="s">
        <v>907</v>
      </c>
      <c r="B30" s="707" t="s">
        <v>656</v>
      </c>
      <c r="C30" s="708"/>
      <c r="D30" s="709"/>
      <c r="E30" s="707" t="s">
        <v>656</v>
      </c>
      <c r="F30" s="708"/>
      <c r="G30" s="708"/>
      <c r="H30" s="708"/>
      <c r="I30" s="708"/>
      <c r="J30" s="708"/>
      <c r="K30" s="708"/>
      <c r="L30" s="709"/>
      <c r="M30" s="467"/>
    </row>
    <row r="31" spans="1:13" ht="11.85" customHeight="1">
      <c r="A31" s="574" t="s">
        <v>854</v>
      </c>
      <c r="B31" s="707" t="s">
        <v>656</v>
      </c>
      <c r="C31" s="708"/>
      <c r="D31" s="709"/>
      <c r="E31" s="707" t="s">
        <v>656</v>
      </c>
      <c r="F31" s="708"/>
      <c r="G31" s="708"/>
      <c r="H31" s="708"/>
      <c r="I31" s="708"/>
      <c r="J31" s="708"/>
      <c r="K31" s="708"/>
      <c r="L31" s="709"/>
      <c r="M31" s="467"/>
    </row>
    <row r="32" spans="1:13" ht="11.85" customHeight="1">
      <c r="A32" s="575" t="s">
        <v>856</v>
      </c>
      <c r="B32" s="722" t="s">
        <v>656</v>
      </c>
      <c r="C32" s="724"/>
      <c r="D32" s="723"/>
      <c r="E32" s="722" t="s">
        <v>656</v>
      </c>
      <c r="F32" s="724"/>
      <c r="G32" s="724"/>
      <c r="H32" s="724"/>
      <c r="I32" s="724"/>
      <c r="J32" s="724"/>
      <c r="K32" s="724"/>
      <c r="L32" s="723"/>
      <c r="M32" s="467"/>
    </row>
    <row r="33" spans="1:13" ht="11.1" customHeight="1">
      <c r="A33" s="500" t="s">
        <v>908</v>
      </c>
      <c r="B33" s="781" t="s">
        <v>1375</v>
      </c>
      <c r="C33" s="782"/>
      <c r="D33" s="783"/>
      <c r="E33" s="781" t="s">
        <v>2418</v>
      </c>
      <c r="F33" s="782"/>
      <c r="G33" s="782"/>
      <c r="H33" s="782"/>
      <c r="I33" s="782"/>
      <c r="J33" s="782"/>
      <c r="K33" s="782"/>
      <c r="L33" s="783"/>
      <c r="M33" s="467"/>
    </row>
    <row r="34" spans="1:13" ht="5.85" customHeight="1">
      <c r="A34" s="468"/>
      <c r="B34" s="468"/>
      <c r="C34" s="468"/>
      <c r="D34" s="468"/>
      <c r="E34" s="468"/>
      <c r="F34" s="468"/>
      <c r="G34" s="468"/>
      <c r="H34" s="468"/>
      <c r="I34" s="468"/>
      <c r="J34" s="468"/>
      <c r="K34" s="468"/>
      <c r="L34" s="468"/>
    </row>
    <row r="35" spans="1:13" ht="35.450000000000003" customHeight="1">
      <c r="A35" s="547" t="s">
        <v>909</v>
      </c>
      <c r="B35" s="712" t="s">
        <v>910</v>
      </c>
      <c r="C35" s="738"/>
      <c r="D35" s="712" t="s">
        <v>911</v>
      </c>
      <c r="E35" s="738"/>
      <c r="F35" s="548" t="s">
        <v>912</v>
      </c>
      <c r="G35" s="712" t="s">
        <v>913</v>
      </c>
      <c r="H35" s="737"/>
      <c r="I35" s="738"/>
      <c r="J35" s="712" t="s">
        <v>914</v>
      </c>
      <c r="K35" s="737"/>
      <c r="L35" s="738"/>
      <c r="M35" s="467"/>
    </row>
    <row r="36" spans="1:13" ht="11.1" customHeight="1">
      <c r="A36" s="570" t="s">
        <v>915</v>
      </c>
      <c r="B36" s="702" t="s">
        <v>2419</v>
      </c>
      <c r="C36" s="703"/>
      <c r="D36" s="702" t="s">
        <v>2420</v>
      </c>
      <c r="E36" s="703"/>
      <c r="F36" s="556" t="s">
        <v>2420</v>
      </c>
      <c r="G36" s="702" t="s">
        <v>2421</v>
      </c>
      <c r="H36" s="731"/>
      <c r="I36" s="703"/>
      <c r="J36" s="702" t="s">
        <v>656</v>
      </c>
      <c r="K36" s="731"/>
      <c r="L36" s="703"/>
      <c r="M36" s="561"/>
    </row>
    <row r="37" spans="1:13" ht="11.85" customHeight="1">
      <c r="A37" s="574" t="s">
        <v>916</v>
      </c>
      <c r="B37" s="710" t="s">
        <v>2422</v>
      </c>
      <c r="C37" s="711"/>
      <c r="D37" s="710" t="s">
        <v>2423</v>
      </c>
      <c r="E37" s="711"/>
      <c r="F37" s="555" t="s">
        <v>2423</v>
      </c>
      <c r="G37" s="710" t="s">
        <v>2424</v>
      </c>
      <c r="H37" s="718"/>
      <c r="I37" s="711"/>
      <c r="J37" s="710" t="s">
        <v>656</v>
      </c>
      <c r="K37" s="718"/>
      <c r="L37" s="711"/>
      <c r="M37" s="561"/>
    </row>
    <row r="38" spans="1:13" ht="11.85" customHeight="1">
      <c r="A38" s="574" t="s">
        <v>917</v>
      </c>
      <c r="B38" s="710" t="s">
        <v>2425</v>
      </c>
      <c r="C38" s="711"/>
      <c r="D38" s="710" t="s">
        <v>2426</v>
      </c>
      <c r="E38" s="711"/>
      <c r="F38" s="555" t="s">
        <v>2426</v>
      </c>
      <c r="G38" s="710" t="s">
        <v>2427</v>
      </c>
      <c r="H38" s="718"/>
      <c r="I38" s="711"/>
      <c r="J38" s="710" t="s">
        <v>656</v>
      </c>
      <c r="K38" s="718"/>
      <c r="L38" s="711"/>
      <c r="M38" s="561"/>
    </row>
    <row r="39" spans="1:13" ht="11.85" customHeight="1">
      <c r="A39" s="572" t="s">
        <v>918</v>
      </c>
      <c r="B39" s="710">
        <v>1</v>
      </c>
      <c r="C39" s="711"/>
      <c r="D39" s="710" t="s">
        <v>656</v>
      </c>
      <c r="E39" s="711"/>
      <c r="F39" s="555" t="s">
        <v>656</v>
      </c>
      <c r="G39" s="710" t="s">
        <v>656</v>
      </c>
      <c r="H39" s="718"/>
      <c r="I39" s="711"/>
      <c r="J39" s="710" t="s">
        <v>656</v>
      </c>
      <c r="K39" s="718"/>
      <c r="L39" s="711"/>
      <c r="M39" s="561"/>
    </row>
    <row r="40" spans="1:13" ht="11.1" customHeight="1">
      <c r="A40" s="574" t="s">
        <v>904</v>
      </c>
      <c r="B40" s="710" t="s">
        <v>656</v>
      </c>
      <c r="C40" s="711"/>
      <c r="D40" s="710" t="s">
        <v>656</v>
      </c>
      <c r="E40" s="711"/>
      <c r="F40" s="555" t="s">
        <v>656</v>
      </c>
      <c r="G40" s="710" t="s">
        <v>656</v>
      </c>
      <c r="H40" s="718"/>
      <c r="I40" s="711"/>
      <c r="J40" s="710" t="s">
        <v>656</v>
      </c>
      <c r="K40" s="718"/>
      <c r="L40" s="711"/>
      <c r="M40" s="561"/>
    </row>
    <row r="41" spans="1:13" ht="11.85" customHeight="1">
      <c r="A41" s="575" t="s">
        <v>919</v>
      </c>
      <c r="B41" s="728">
        <v>1</v>
      </c>
      <c r="C41" s="729"/>
      <c r="D41" s="728" t="s">
        <v>656</v>
      </c>
      <c r="E41" s="729"/>
      <c r="F41" s="557" t="s">
        <v>656</v>
      </c>
      <c r="G41" s="728" t="s">
        <v>656</v>
      </c>
      <c r="H41" s="730"/>
      <c r="I41" s="729"/>
      <c r="J41" s="728" t="s">
        <v>656</v>
      </c>
      <c r="K41" s="730"/>
      <c r="L41" s="729"/>
      <c r="M41" s="561"/>
    </row>
    <row r="42" spans="1:13" ht="11.85" customHeight="1">
      <c r="A42" s="500" t="s">
        <v>920</v>
      </c>
      <c r="B42" s="761" t="s">
        <v>2428</v>
      </c>
      <c r="C42" s="762"/>
      <c r="D42" s="761" t="s">
        <v>2420</v>
      </c>
      <c r="E42" s="762"/>
      <c r="F42" s="552" t="s">
        <v>2420</v>
      </c>
      <c r="G42" s="761" t="s">
        <v>2421</v>
      </c>
      <c r="H42" s="763"/>
      <c r="I42" s="762"/>
      <c r="J42" s="761" t="s">
        <v>656</v>
      </c>
      <c r="K42" s="763"/>
      <c r="L42" s="762"/>
      <c r="M42" s="561"/>
    </row>
    <row r="43" spans="1:13" ht="5.85" customHeight="1">
      <c r="A43" s="468"/>
      <c r="B43" s="468"/>
      <c r="C43" s="468"/>
      <c r="D43" s="468"/>
      <c r="E43" s="468"/>
      <c r="F43" s="468"/>
      <c r="G43" s="468"/>
      <c r="H43" s="468"/>
      <c r="I43" s="468"/>
      <c r="J43" s="468"/>
      <c r="K43" s="468"/>
      <c r="L43" s="468"/>
    </row>
    <row r="44" spans="1:13" ht="11.1" customHeight="1">
      <c r="A44" s="500" t="s">
        <v>921</v>
      </c>
      <c r="B44" s="761" t="s">
        <v>2429</v>
      </c>
      <c r="C44" s="762"/>
      <c r="D44" s="761" t="s">
        <v>2430</v>
      </c>
      <c r="E44" s="762"/>
      <c r="F44" s="552" t="s">
        <v>2430</v>
      </c>
      <c r="G44" s="761" t="s">
        <v>2431</v>
      </c>
      <c r="H44" s="763"/>
      <c r="I44" s="762"/>
      <c r="J44" s="719"/>
      <c r="K44" s="721"/>
      <c r="L44" s="720"/>
      <c r="M44" s="561"/>
    </row>
    <row r="45" spans="1:13" ht="5.85" customHeight="1">
      <c r="A45" s="468"/>
      <c r="B45" s="468"/>
      <c r="C45" s="468"/>
      <c r="D45" s="468"/>
      <c r="E45" s="468"/>
      <c r="F45" s="468"/>
      <c r="G45" s="468"/>
      <c r="H45" s="468"/>
      <c r="I45" s="468"/>
      <c r="J45" s="468"/>
      <c r="K45" s="468"/>
      <c r="L45" s="468"/>
    </row>
    <row r="46" spans="1:13" ht="11.85" customHeight="1">
      <c r="A46" s="760" t="s">
        <v>2432</v>
      </c>
      <c r="B46" s="760"/>
      <c r="C46" s="760"/>
      <c r="D46" s="760"/>
      <c r="E46" s="760"/>
      <c r="F46" s="760"/>
      <c r="G46" s="760"/>
      <c r="H46" s="760"/>
      <c r="I46" s="760"/>
      <c r="J46" s="760"/>
      <c r="K46" s="760"/>
      <c r="L46" s="760"/>
    </row>
    <row r="47" spans="1:13" ht="11.85" customHeight="1">
      <c r="A47" s="717" t="s">
        <v>661</v>
      </c>
      <c r="B47" s="717"/>
      <c r="L47" s="562" t="s">
        <v>922</v>
      </c>
    </row>
    <row r="48" spans="1:13" ht="11.1" customHeight="1">
      <c r="A48" s="717" t="s">
        <v>888</v>
      </c>
      <c r="B48" s="717"/>
    </row>
    <row r="49" spans="1:13" ht="11.85" customHeight="1">
      <c r="A49" s="740" t="s">
        <v>889</v>
      </c>
      <c r="B49" s="740"/>
      <c r="C49" s="740"/>
      <c r="D49" s="740"/>
      <c r="E49" s="740"/>
      <c r="F49" s="740"/>
      <c r="G49" s="740"/>
      <c r="H49" s="740"/>
    </row>
    <row r="50" spans="1:13" ht="11.85" customHeight="1">
      <c r="A50" s="717" t="s">
        <v>890</v>
      </c>
      <c r="B50" s="717"/>
    </row>
    <row r="51" spans="1:13" ht="11.85" customHeight="1">
      <c r="A51" s="717" t="s">
        <v>1744</v>
      </c>
      <c r="B51" s="717"/>
    </row>
    <row r="52" spans="1:13" ht="5.85" customHeight="1"/>
    <row r="53" spans="1:13" ht="11.1" customHeight="1">
      <c r="A53" s="741" t="s">
        <v>891</v>
      </c>
      <c r="B53" s="741"/>
      <c r="C53" s="466"/>
      <c r="D53" s="466"/>
      <c r="E53" s="466"/>
      <c r="F53" s="466"/>
      <c r="G53" s="466"/>
      <c r="H53" s="745" t="s">
        <v>702</v>
      </c>
      <c r="I53" s="745"/>
      <c r="J53" s="745"/>
      <c r="K53" s="745"/>
      <c r="L53" s="745"/>
    </row>
    <row r="54" spans="1:13" ht="11.85" customHeight="1">
      <c r="A54" s="501" t="s">
        <v>923</v>
      </c>
      <c r="B54" s="769" t="s">
        <v>924</v>
      </c>
      <c r="C54" s="770"/>
      <c r="D54" s="770"/>
      <c r="E54" s="770"/>
      <c r="F54" s="770"/>
      <c r="G54" s="770"/>
      <c r="H54" s="770"/>
      <c r="I54" s="770"/>
      <c r="J54" s="770"/>
      <c r="K54" s="770"/>
      <c r="L54" s="771"/>
      <c r="M54" s="765"/>
    </row>
    <row r="55" spans="1:13" ht="11.85" customHeight="1">
      <c r="A55" s="502" t="s">
        <v>797</v>
      </c>
      <c r="B55" s="766" t="s">
        <v>656</v>
      </c>
      <c r="C55" s="767"/>
      <c r="D55" s="767"/>
      <c r="E55" s="767"/>
      <c r="F55" s="767"/>
      <c r="G55" s="767"/>
      <c r="H55" s="767"/>
      <c r="I55" s="767"/>
      <c r="J55" s="767"/>
      <c r="K55" s="767"/>
      <c r="L55" s="768"/>
      <c r="M55" s="765"/>
    </row>
    <row r="56" spans="1:13" ht="11.85" customHeight="1">
      <c r="A56" s="501" t="s">
        <v>925</v>
      </c>
      <c r="B56" s="769" t="s">
        <v>924</v>
      </c>
      <c r="C56" s="770"/>
      <c r="D56" s="770"/>
      <c r="E56" s="770"/>
      <c r="F56" s="770"/>
      <c r="G56" s="770"/>
      <c r="H56" s="770"/>
      <c r="I56" s="770"/>
      <c r="J56" s="770"/>
      <c r="K56" s="770"/>
      <c r="L56" s="771"/>
      <c r="M56" s="765"/>
    </row>
    <row r="57" spans="1:13" ht="11.1" customHeight="1">
      <c r="A57" s="502" t="s">
        <v>797</v>
      </c>
      <c r="B57" s="766" t="s">
        <v>1356</v>
      </c>
      <c r="C57" s="767"/>
      <c r="D57" s="767"/>
      <c r="E57" s="767"/>
      <c r="F57" s="767"/>
      <c r="G57" s="767"/>
      <c r="H57" s="767"/>
      <c r="I57" s="767"/>
      <c r="J57" s="767"/>
      <c r="K57" s="767"/>
      <c r="L57" s="768"/>
      <c r="M57" s="765"/>
    </row>
    <row r="58" spans="1:13" ht="23.65" customHeight="1">
      <c r="A58" s="547" t="s">
        <v>926</v>
      </c>
      <c r="B58" s="769" t="s">
        <v>927</v>
      </c>
      <c r="C58" s="770"/>
      <c r="D58" s="770"/>
      <c r="E58" s="770"/>
      <c r="F58" s="770"/>
      <c r="G58" s="770"/>
      <c r="H58" s="770"/>
      <c r="I58" s="770"/>
      <c r="J58" s="770"/>
      <c r="K58" s="770"/>
      <c r="L58" s="771"/>
      <c r="M58" s="467"/>
    </row>
    <row r="59" spans="1:13" ht="11.85" customHeight="1">
      <c r="A59" s="577" t="s">
        <v>928</v>
      </c>
      <c r="B59" s="702" t="s">
        <v>656</v>
      </c>
      <c r="C59" s="731"/>
      <c r="D59" s="731"/>
      <c r="E59" s="731"/>
      <c r="F59" s="731"/>
      <c r="G59" s="731"/>
      <c r="H59" s="731"/>
      <c r="I59" s="731"/>
      <c r="J59" s="731"/>
      <c r="K59" s="731"/>
      <c r="L59" s="703"/>
      <c r="M59" s="467"/>
    </row>
    <row r="60" spans="1:13" ht="11.1" customHeight="1">
      <c r="A60" s="574" t="s">
        <v>929</v>
      </c>
      <c r="B60" s="710" t="s">
        <v>656</v>
      </c>
      <c r="C60" s="718"/>
      <c r="D60" s="718"/>
      <c r="E60" s="718"/>
      <c r="F60" s="718"/>
      <c r="G60" s="718"/>
      <c r="H60" s="718"/>
      <c r="I60" s="718"/>
      <c r="J60" s="718"/>
      <c r="K60" s="718"/>
      <c r="L60" s="711"/>
      <c r="M60" s="467"/>
    </row>
    <row r="61" spans="1:13" ht="11.85" customHeight="1">
      <c r="A61" s="574" t="s">
        <v>930</v>
      </c>
      <c r="B61" s="710" t="s">
        <v>656</v>
      </c>
      <c r="C61" s="718"/>
      <c r="D61" s="718"/>
      <c r="E61" s="718"/>
      <c r="F61" s="718"/>
      <c r="G61" s="718"/>
      <c r="H61" s="718"/>
      <c r="I61" s="718"/>
      <c r="J61" s="718"/>
      <c r="K61" s="718"/>
      <c r="L61" s="711"/>
      <c r="M61" s="467"/>
    </row>
    <row r="62" spans="1:13" ht="11.85" customHeight="1">
      <c r="A62" s="575" t="s">
        <v>931</v>
      </c>
      <c r="B62" s="728" t="s">
        <v>656</v>
      </c>
      <c r="C62" s="730"/>
      <c r="D62" s="730"/>
      <c r="E62" s="730"/>
      <c r="F62" s="730"/>
      <c r="G62" s="730"/>
      <c r="H62" s="730"/>
      <c r="I62" s="730"/>
      <c r="J62" s="730"/>
      <c r="K62" s="730"/>
      <c r="L62" s="729"/>
      <c r="M62" s="467"/>
    </row>
    <row r="63" spans="1:13" ht="5.85" customHeight="1">
      <c r="A63" s="772"/>
      <c r="B63" s="773"/>
      <c r="C63" s="773"/>
      <c r="D63" s="773"/>
      <c r="E63" s="773"/>
      <c r="F63" s="773"/>
      <c r="G63" s="773"/>
      <c r="H63" s="773"/>
      <c r="I63" s="773"/>
      <c r="J63" s="773"/>
      <c r="K63" s="773"/>
      <c r="L63" s="773"/>
      <c r="M63" s="772"/>
    </row>
    <row r="64" spans="1:13" ht="11.1" customHeight="1">
      <c r="A64" s="547" t="s">
        <v>932</v>
      </c>
      <c r="B64" s="769" t="s">
        <v>933</v>
      </c>
      <c r="C64" s="770"/>
      <c r="D64" s="770"/>
      <c r="E64" s="770"/>
      <c r="F64" s="770"/>
      <c r="G64" s="770"/>
      <c r="H64" s="770"/>
      <c r="I64" s="770"/>
      <c r="J64" s="770"/>
      <c r="K64" s="770"/>
      <c r="L64" s="771"/>
      <c r="M64" s="467"/>
    </row>
    <row r="65" spans="1:13" ht="11.85" customHeight="1">
      <c r="A65" s="577" t="s">
        <v>934</v>
      </c>
      <c r="B65" s="702" t="s">
        <v>2433</v>
      </c>
      <c r="C65" s="731"/>
      <c r="D65" s="731"/>
      <c r="E65" s="731"/>
      <c r="F65" s="731"/>
      <c r="G65" s="731"/>
      <c r="H65" s="731"/>
      <c r="I65" s="731"/>
      <c r="J65" s="731"/>
      <c r="K65" s="731"/>
      <c r="L65" s="703"/>
      <c r="M65" s="467"/>
    </row>
    <row r="66" spans="1:13" ht="11.85" customHeight="1">
      <c r="A66" s="574" t="s">
        <v>935</v>
      </c>
      <c r="B66" s="710" t="s">
        <v>2434</v>
      </c>
      <c r="C66" s="718"/>
      <c r="D66" s="718"/>
      <c r="E66" s="718"/>
      <c r="F66" s="718"/>
      <c r="G66" s="718"/>
      <c r="H66" s="718"/>
      <c r="I66" s="718"/>
      <c r="J66" s="718"/>
      <c r="K66" s="718"/>
      <c r="L66" s="711"/>
      <c r="M66" s="467"/>
    </row>
    <row r="67" spans="1:13" ht="11.85" customHeight="1">
      <c r="A67" s="575" t="s">
        <v>936</v>
      </c>
      <c r="B67" s="728" t="s">
        <v>2435</v>
      </c>
      <c r="C67" s="730"/>
      <c r="D67" s="730"/>
      <c r="E67" s="730"/>
      <c r="F67" s="730"/>
      <c r="G67" s="730"/>
      <c r="H67" s="730"/>
      <c r="I67" s="730"/>
      <c r="J67" s="730"/>
      <c r="K67" s="730"/>
      <c r="L67" s="729"/>
      <c r="M67" s="467"/>
    </row>
    <row r="68" spans="1:13" ht="5.85" customHeight="1">
      <c r="A68" s="772"/>
      <c r="B68" s="774"/>
      <c r="C68" s="774"/>
      <c r="D68" s="774"/>
      <c r="E68" s="774"/>
      <c r="F68" s="774"/>
      <c r="G68" s="774"/>
      <c r="H68" s="774"/>
      <c r="I68" s="774"/>
      <c r="J68" s="774"/>
      <c r="K68" s="774"/>
      <c r="L68" s="774"/>
      <c r="M68" s="772"/>
    </row>
    <row r="69" spans="1:13" ht="74.099999999999994" customHeight="1"/>
    <row r="70" spans="1:13" ht="74.099999999999994" customHeight="1"/>
    <row r="71" spans="1:13" ht="71.099999999999994" customHeight="1"/>
    <row r="72" spans="1:13" ht="71.849999999999994" customHeight="1">
      <c r="A72" s="466"/>
      <c r="B72" s="466"/>
      <c r="C72" s="466"/>
      <c r="D72" s="466"/>
      <c r="E72" s="466"/>
      <c r="F72" s="466"/>
      <c r="G72" s="466"/>
      <c r="H72" s="466"/>
      <c r="I72" s="466"/>
      <c r="J72" s="466"/>
      <c r="K72" s="466"/>
      <c r="L72" s="466"/>
    </row>
    <row r="73" spans="1:13" ht="11.85" customHeight="1">
      <c r="A73" s="760" t="s">
        <v>2432</v>
      </c>
      <c r="B73" s="760"/>
      <c r="C73" s="760"/>
      <c r="D73" s="760"/>
      <c r="E73" s="760"/>
      <c r="F73" s="760"/>
      <c r="G73" s="760"/>
      <c r="H73" s="760"/>
      <c r="I73" s="760"/>
      <c r="J73" s="760"/>
      <c r="K73" s="760"/>
      <c r="L73" s="760"/>
    </row>
    <row r="74" spans="1:13" ht="11.85" customHeight="1">
      <c r="A74" s="717" t="s">
        <v>661</v>
      </c>
      <c r="B74" s="717"/>
      <c r="L74" s="562" t="s">
        <v>937</v>
      </c>
    </row>
    <row r="75" spans="1:13" ht="11.1" customHeight="1">
      <c r="A75" s="717" t="s">
        <v>888</v>
      </c>
      <c r="B75" s="717"/>
    </row>
    <row r="76" spans="1:13" ht="11.85" customHeight="1">
      <c r="A76" s="740" t="s">
        <v>889</v>
      </c>
      <c r="B76" s="740"/>
      <c r="C76" s="740"/>
      <c r="D76" s="740"/>
      <c r="E76" s="740"/>
      <c r="F76" s="740"/>
      <c r="G76" s="740"/>
      <c r="H76" s="740"/>
    </row>
    <row r="77" spans="1:13" ht="11.85" customHeight="1">
      <c r="A77" s="717" t="s">
        <v>890</v>
      </c>
      <c r="B77" s="717"/>
    </row>
    <row r="78" spans="1:13" ht="11.85" customHeight="1">
      <c r="A78" s="717" t="s">
        <v>1744</v>
      </c>
      <c r="B78" s="717"/>
    </row>
    <row r="79" spans="1:13" ht="5.85" customHeight="1"/>
    <row r="80" spans="1:13" ht="11.1" customHeight="1">
      <c r="A80" s="741" t="s">
        <v>891</v>
      </c>
      <c r="B80" s="741"/>
      <c r="C80" s="466"/>
      <c r="D80" s="466"/>
      <c r="E80" s="466"/>
      <c r="F80" s="466"/>
      <c r="G80" s="466"/>
      <c r="H80" s="745" t="s">
        <v>702</v>
      </c>
      <c r="I80" s="745"/>
      <c r="J80" s="745"/>
      <c r="K80" s="745"/>
      <c r="L80" s="745"/>
    </row>
    <row r="81" spans="1:13" ht="11.85" customHeight="1">
      <c r="A81" s="769" t="s">
        <v>938</v>
      </c>
      <c r="B81" s="770"/>
      <c r="C81" s="770"/>
      <c r="D81" s="770"/>
      <c r="E81" s="770"/>
      <c r="F81" s="770"/>
      <c r="G81" s="770"/>
      <c r="H81" s="770"/>
      <c r="I81" s="770"/>
      <c r="J81" s="770"/>
      <c r="K81" s="770"/>
      <c r="L81" s="771"/>
      <c r="M81" s="467"/>
    </row>
    <row r="82" spans="1:13" ht="28.9" customHeight="1">
      <c r="A82" s="547" t="s">
        <v>939</v>
      </c>
      <c r="B82" s="712" t="s">
        <v>895</v>
      </c>
      <c r="C82" s="738"/>
      <c r="D82" s="712" t="s">
        <v>896</v>
      </c>
      <c r="E82" s="737"/>
      <c r="F82" s="737"/>
      <c r="G82" s="737"/>
      <c r="H82" s="737"/>
      <c r="I82" s="737"/>
      <c r="J82" s="737"/>
      <c r="K82" s="737"/>
      <c r="L82" s="738"/>
      <c r="M82" s="467"/>
    </row>
    <row r="83" spans="1:13" ht="11.85" customHeight="1">
      <c r="A83" s="577" t="s">
        <v>940</v>
      </c>
      <c r="B83" s="778" t="s">
        <v>656</v>
      </c>
      <c r="C83" s="779"/>
      <c r="D83" s="778" t="s">
        <v>656</v>
      </c>
      <c r="E83" s="780"/>
      <c r="F83" s="780"/>
      <c r="G83" s="780"/>
      <c r="H83" s="780"/>
      <c r="I83" s="780"/>
      <c r="J83" s="780"/>
      <c r="K83" s="780"/>
      <c r="L83" s="779"/>
      <c r="M83" s="467"/>
    </row>
    <row r="84" spans="1:13" ht="11.85" customHeight="1">
      <c r="A84" s="572" t="s">
        <v>897</v>
      </c>
      <c r="B84" s="775" t="s">
        <v>656</v>
      </c>
      <c r="C84" s="776"/>
      <c r="D84" s="775" t="s">
        <v>656</v>
      </c>
      <c r="E84" s="777"/>
      <c r="F84" s="777"/>
      <c r="G84" s="777"/>
      <c r="H84" s="777"/>
      <c r="I84" s="777"/>
      <c r="J84" s="777"/>
      <c r="K84" s="777"/>
      <c r="L84" s="776"/>
      <c r="M84" s="467"/>
    </row>
    <row r="85" spans="1:13" ht="11.85" customHeight="1">
      <c r="A85" s="574" t="s">
        <v>898</v>
      </c>
      <c r="B85" s="710" t="s">
        <v>656</v>
      </c>
      <c r="C85" s="711"/>
      <c r="D85" s="710" t="s">
        <v>656</v>
      </c>
      <c r="E85" s="718"/>
      <c r="F85" s="718"/>
      <c r="G85" s="718"/>
      <c r="H85" s="718"/>
      <c r="I85" s="718"/>
      <c r="J85" s="718"/>
      <c r="K85" s="718"/>
      <c r="L85" s="711"/>
      <c r="M85" s="467"/>
    </row>
    <row r="86" spans="1:13" ht="11.1" customHeight="1">
      <c r="A86" s="574" t="s">
        <v>899</v>
      </c>
      <c r="B86" s="710" t="s">
        <v>656</v>
      </c>
      <c r="C86" s="711"/>
      <c r="D86" s="710" t="s">
        <v>656</v>
      </c>
      <c r="E86" s="718"/>
      <c r="F86" s="718"/>
      <c r="G86" s="718"/>
      <c r="H86" s="718"/>
      <c r="I86" s="718"/>
      <c r="J86" s="718"/>
      <c r="K86" s="718"/>
      <c r="L86" s="711"/>
      <c r="M86" s="467"/>
    </row>
    <row r="87" spans="1:13" ht="11.85" customHeight="1">
      <c r="A87" s="574" t="s">
        <v>900</v>
      </c>
      <c r="B87" s="710" t="s">
        <v>656</v>
      </c>
      <c r="C87" s="711"/>
      <c r="D87" s="710" t="s">
        <v>656</v>
      </c>
      <c r="E87" s="718"/>
      <c r="F87" s="718"/>
      <c r="G87" s="718"/>
      <c r="H87" s="718"/>
      <c r="I87" s="718"/>
      <c r="J87" s="718"/>
      <c r="K87" s="718"/>
      <c r="L87" s="711"/>
      <c r="M87" s="467"/>
    </row>
    <row r="88" spans="1:13" ht="11.85" customHeight="1">
      <c r="A88" s="572" t="s">
        <v>901</v>
      </c>
      <c r="B88" s="775" t="s">
        <v>656</v>
      </c>
      <c r="C88" s="776"/>
      <c r="D88" s="775" t="s">
        <v>656</v>
      </c>
      <c r="E88" s="777"/>
      <c r="F88" s="777"/>
      <c r="G88" s="777"/>
      <c r="H88" s="777"/>
      <c r="I88" s="777"/>
      <c r="J88" s="777"/>
      <c r="K88" s="777"/>
      <c r="L88" s="776"/>
      <c r="M88" s="467"/>
    </row>
    <row r="89" spans="1:13" ht="11.85" customHeight="1">
      <c r="A89" s="574" t="s">
        <v>898</v>
      </c>
      <c r="B89" s="710" t="s">
        <v>656</v>
      </c>
      <c r="C89" s="711"/>
      <c r="D89" s="710" t="s">
        <v>656</v>
      </c>
      <c r="E89" s="718"/>
      <c r="F89" s="718"/>
      <c r="G89" s="718"/>
      <c r="H89" s="718"/>
      <c r="I89" s="718"/>
      <c r="J89" s="718"/>
      <c r="K89" s="718"/>
      <c r="L89" s="711"/>
      <c r="M89" s="467"/>
    </row>
    <row r="90" spans="1:13" ht="11.1" customHeight="1">
      <c r="A90" s="574" t="s">
        <v>899</v>
      </c>
      <c r="B90" s="710" t="s">
        <v>656</v>
      </c>
      <c r="C90" s="711"/>
      <c r="D90" s="710" t="s">
        <v>656</v>
      </c>
      <c r="E90" s="718"/>
      <c r="F90" s="718"/>
      <c r="G90" s="718"/>
      <c r="H90" s="718"/>
      <c r="I90" s="718"/>
      <c r="J90" s="718"/>
      <c r="K90" s="718"/>
      <c r="L90" s="711"/>
      <c r="M90" s="467"/>
    </row>
    <row r="91" spans="1:13" ht="11.85" customHeight="1">
      <c r="A91" s="574" t="s">
        <v>900</v>
      </c>
      <c r="B91" s="710" t="s">
        <v>656</v>
      </c>
      <c r="C91" s="711"/>
      <c r="D91" s="710" t="s">
        <v>656</v>
      </c>
      <c r="E91" s="718"/>
      <c r="F91" s="718"/>
      <c r="G91" s="718"/>
      <c r="H91" s="718"/>
      <c r="I91" s="718"/>
      <c r="J91" s="718"/>
      <c r="K91" s="718"/>
      <c r="L91" s="711"/>
      <c r="M91" s="467"/>
    </row>
    <row r="92" spans="1:13" ht="11.85" customHeight="1">
      <c r="A92" s="572" t="s">
        <v>667</v>
      </c>
      <c r="B92" s="775" t="s">
        <v>656</v>
      </c>
      <c r="C92" s="776"/>
      <c r="D92" s="775" t="s">
        <v>656</v>
      </c>
      <c r="E92" s="777"/>
      <c r="F92" s="777"/>
      <c r="G92" s="777"/>
      <c r="H92" s="777"/>
      <c r="I92" s="777"/>
      <c r="J92" s="777"/>
      <c r="K92" s="777"/>
      <c r="L92" s="776"/>
      <c r="M92" s="467"/>
    </row>
    <row r="93" spans="1:13" ht="11.85" customHeight="1">
      <c r="A93" s="574" t="s">
        <v>902</v>
      </c>
      <c r="B93" s="710" t="s">
        <v>656</v>
      </c>
      <c r="C93" s="711"/>
      <c r="D93" s="710" t="s">
        <v>656</v>
      </c>
      <c r="E93" s="718"/>
      <c r="F93" s="718"/>
      <c r="G93" s="718"/>
      <c r="H93" s="718"/>
      <c r="I93" s="718"/>
      <c r="J93" s="718"/>
      <c r="K93" s="718"/>
      <c r="L93" s="711"/>
      <c r="M93" s="467"/>
    </row>
    <row r="94" spans="1:13" ht="11.1" customHeight="1">
      <c r="A94" s="574" t="s">
        <v>903</v>
      </c>
      <c r="B94" s="710" t="s">
        <v>656</v>
      </c>
      <c r="C94" s="711"/>
      <c r="D94" s="710" t="s">
        <v>656</v>
      </c>
      <c r="E94" s="718"/>
      <c r="F94" s="718"/>
      <c r="G94" s="718"/>
      <c r="H94" s="718"/>
      <c r="I94" s="718"/>
      <c r="J94" s="718"/>
      <c r="K94" s="718"/>
      <c r="L94" s="711"/>
      <c r="M94" s="467"/>
    </row>
    <row r="95" spans="1:13" ht="11.85" customHeight="1">
      <c r="A95" s="574" t="s">
        <v>668</v>
      </c>
      <c r="B95" s="710" t="s">
        <v>656</v>
      </c>
      <c r="C95" s="711"/>
      <c r="D95" s="710" t="s">
        <v>656</v>
      </c>
      <c r="E95" s="718"/>
      <c r="F95" s="718"/>
      <c r="G95" s="718"/>
      <c r="H95" s="718"/>
      <c r="I95" s="718"/>
      <c r="J95" s="718"/>
      <c r="K95" s="718"/>
      <c r="L95" s="711"/>
      <c r="M95" s="467"/>
    </row>
    <row r="96" spans="1:13" ht="11.85" customHeight="1">
      <c r="A96" s="572" t="s">
        <v>669</v>
      </c>
      <c r="B96" s="775" t="s">
        <v>656</v>
      </c>
      <c r="C96" s="776"/>
      <c r="D96" s="775" t="s">
        <v>656</v>
      </c>
      <c r="E96" s="777"/>
      <c r="F96" s="777"/>
      <c r="G96" s="777"/>
      <c r="H96" s="777"/>
      <c r="I96" s="777"/>
      <c r="J96" s="777"/>
      <c r="K96" s="777"/>
      <c r="L96" s="776"/>
      <c r="M96" s="467"/>
    </row>
    <row r="97" spans="1:13" ht="11.85" customHeight="1">
      <c r="A97" s="572" t="s">
        <v>679</v>
      </c>
      <c r="B97" s="775" t="s">
        <v>656</v>
      </c>
      <c r="C97" s="776"/>
      <c r="D97" s="775" t="s">
        <v>656</v>
      </c>
      <c r="E97" s="777"/>
      <c r="F97" s="777"/>
      <c r="G97" s="777"/>
      <c r="H97" s="777"/>
      <c r="I97" s="777"/>
      <c r="J97" s="777"/>
      <c r="K97" s="777"/>
      <c r="L97" s="776"/>
      <c r="M97" s="467"/>
    </row>
    <row r="98" spans="1:13" ht="11.1" customHeight="1">
      <c r="A98" s="574" t="s">
        <v>904</v>
      </c>
      <c r="B98" s="710" t="s">
        <v>656</v>
      </c>
      <c r="C98" s="711"/>
      <c r="D98" s="710" t="s">
        <v>656</v>
      </c>
      <c r="E98" s="718"/>
      <c r="F98" s="718"/>
      <c r="G98" s="718"/>
      <c r="H98" s="718"/>
      <c r="I98" s="718"/>
      <c r="J98" s="718"/>
      <c r="K98" s="718"/>
      <c r="L98" s="711"/>
      <c r="M98" s="467"/>
    </row>
    <row r="99" spans="1:13" ht="11.85" customHeight="1">
      <c r="A99" s="574" t="s">
        <v>853</v>
      </c>
      <c r="B99" s="710" t="s">
        <v>656</v>
      </c>
      <c r="C99" s="711"/>
      <c r="D99" s="710" t="s">
        <v>656</v>
      </c>
      <c r="E99" s="718"/>
      <c r="F99" s="718"/>
      <c r="G99" s="718"/>
      <c r="H99" s="718"/>
      <c r="I99" s="718"/>
      <c r="J99" s="718"/>
      <c r="K99" s="718"/>
      <c r="L99" s="711"/>
      <c r="M99" s="467"/>
    </row>
    <row r="100" spans="1:13" ht="11.85" customHeight="1">
      <c r="A100" s="574" t="s">
        <v>941</v>
      </c>
      <c r="B100" s="775" t="s">
        <v>656</v>
      </c>
      <c r="C100" s="776"/>
      <c r="D100" s="775" t="s">
        <v>656</v>
      </c>
      <c r="E100" s="777"/>
      <c r="F100" s="777"/>
      <c r="G100" s="777"/>
      <c r="H100" s="777"/>
      <c r="I100" s="777"/>
      <c r="J100" s="777"/>
      <c r="K100" s="777"/>
      <c r="L100" s="776"/>
      <c r="M100" s="467"/>
    </row>
    <row r="101" spans="1:13" ht="11.85" customHeight="1">
      <c r="A101" s="574" t="s">
        <v>907</v>
      </c>
      <c r="B101" s="710" t="s">
        <v>656</v>
      </c>
      <c r="C101" s="711"/>
      <c r="D101" s="710" t="s">
        <v>656</v>
      </c>
      <c r="E101" s="718"/>
      <c r="F101" s="718"/>
      <c r="G101" s="718"/>
      <c r="H101" s="718"/>
      <c r="I101" s="718"/>
      <c r="J101" s="718"/>
      <c r="K101" s="718"/>
      <c r="L101" s="711"/>
      <c r="M101" s="467"/>
    </row>
    <row r="102" spans="1:13" ht="11.1" customHeight="1">
      <c r="A102" s="574" t="s">
        <v>854</v>
      </c>
      <c r="B102" s="710" t="s">
        <v>656</v>
      </c>
      <c r="C102" s="711"/>
      <c r="D102" s="710" t="s">
        <v>656</v>
      </c>
      <c r="E102" s="718"/>
      <c r="F102" s="718"/>
      <c r="G102" s="718"/>
      <c r="H102" s="718"/>
      <c r="I102" s="718"/>
      <c r="J102" s="718"/>
      <c r="K102" s="718"/>
      <c r="L102" s="711"/>
      <c r="M102" s="467"/>
    </row>
    <row r="103" spans="1:13" ht="11.85" customHeight="1">
      <c r="A103" s="575" t="s">
        <v>856</v>
      </c>
      <c r="B103" s="728" t="s">
        <v>656</v>
      </c>
      <c r="C103" s="729"/>
      <c r="D103" s="728" t="s">
        <v>656</v>
      </c>
      <c r="E103" s="730"/>
      <c r="F103" s="730"/>
      <c r="G103" s="730"/>
      <c r="H103" s="730"/>
      <c r="I103" s="730"/>
      <c r="J103" s="730"/>
      <c r="K103" s="730"/>
      <c r="L103" s="729"/>
      <c r="M103" s="467"/>
    </row>
    <row r="104" spans="1:13" ht="11.85" customHeight="1">
      <c r="A104" s="500" t="s">
        <v>942</v>
      </c>
      <c r="B104" s="761" t="s">
        <v>656</v>
      </c>
      <c r="C104" s="762"/>
      <c r="D104" s="761" t="s">
        <v>656</v>
      </c>
      <c r="E104" s="763"/>
      <c r="F104" s="763"/>
      <c r="G104" s="763"/>
      <c r="H104" s="763"/>
      <c r="I104" s="763"/>
      <c r="J104" s="763"/>
      <c r="K104" s="763"/>
      <c r="L104" s="762"/>
      <c r="M104" s="467"/>
    </row>
    <row r="105" spans="1:13" ht="5.85" customHeight="1">
      <c r="A105" s="468"/>
      <c r="B105" s="468"/>
      <c r="C105" s="468"/>
      <c r="D105" s="468"/>
      <c r="E105" s="468"/>
      <c r="F105" s="468"/>
      <c r="G105" s="468"/>
      <c r="H105" s="468"/>
      <c r="I105" s="468"/>
      <c r="J105" s="468"/>
      <c r="K105" s="468"/>
      <c r="L105" s="468"/>
    </row>
    <row r="106" spans="1:13" ht="34.700000000000003" customHeight="1">
      <c r="A106" s="547" t="s">
        <v>943</v>
      </c>
      <c r="B106" s="712" t="s">
        <v>910</v>
      </c>
      <c r="C106" s="738"/>
      <c r="D106" s="712" t="s">
        <v>911</v>
      </c>
      <c r="E106" s="738"/>
      <c r="F106" s="548" t="s">
        <v>912</v>
      </c>
      <c r="G106" s="712" t="s">
        <v>944</v>
      </c>
      <c r="H106" s="737"/>
      <c r="I106" s="738"/>
      <c r="J106" s="712" t="s">
        <v>914</v>
      </c>
      <c r="K106" s="737"/>
      <c r="L106" s="738"/>
      <c r="M106" s="467"/>
    </row>
    <row r="107" spans="1:13" ht="11.85" customHeight="1">
      <c r="A107" s="570" t="s">
        <v>915</v>
      </c>
      <c r="B107" s="778" t="s">
        <v>656</v>
      </c>
      <c r="C107" s="779"/>
      <c r="D107" s="778" t="s">
        <v>656</v>
      </c>
      <c r="E107" s="779"/>
      <c r="F107" s="560" t="s">
        <v>656</v>
      </c>
      <c r="G107" s="778" t="s">
        <v>656</v>
      </c>
      <c r="H107" s="780"/>
      <c r="I107" s="779"/>
      <c r="J107" s="778" t="s">
        <v>656</v>
      </c>
      <c r="K107" s="780"/>
      <c r="L107" s="779"/>
      <c r="M107" s="561"/>
    </row>
    <row r="108" spans="1:13" ht="11.85" customHeight="1">
      <c r="A108" s="574" t="s">
        <v>916</v>
      </c>
      <c r="B108" s="710" t="s">
        <v>656</v>
      </c>
      <c r="C108" s="711"/>
      <c r="D108" s="710" t="s">
        <v>656</v>
      </c>
      <c r="E108" s="711"/>
      <c r="F108" s="555" t="s">
        <v>656</v>
      </c>
      <c r="G108" s="710" t="s">
        <v>656</v>
      </c>
      <c r="H108" s="718"/>
      <c r="I108" s="711"/>
      <c r="J108" s="710" t="s">
        <v>656</v>
      </c>
      <c r="K108" s="718"/>
      <c r="L108" s="711"/>
      <c r="M108" s="561"/>
    </row>
    <row r="109" spans="1:13" ht="11.1" customHeight="1">
      <c r="A109" s="574" t="s">
        <v>917</v>
      </c>
      <c r="B109" s="710" t="s">
        <v>656</v>
      </c>
      <c r="C109" s="711"/>
      <c r="D109" s="710" t="s">
        <v>656</v>
      </c>
      <c r="E109" s="711"/>
      <c r="F109" s="555" t="s">
        <v>656</v>
      </c>
      <c r="G109" s="710" t="s">
        <v>656</v>
      </c>
      <c r="H109" s="718"/>
      <c r="I109" s="711"/>
      <c r="J109" s="710" t="s">
        <v>656</v>
      </c>
      <c r="K109" s="718"/>
      <c r="L109" s="711"/>
      <c r="M109" s="561"/>
    </row>
    <row r="110" spans="1:13" ht="11.85" customHeight="1">
      <c r="A110" s="572" t="s">
        <v>918</v>
      </c>
      <c r="B110" s="775" t="s">
        <v>656</v>
      </c>
      <c r="C110" s="776"/>
      <c r="D110" s="775" t="s">
        <v>656</v>
      </c>
      <c r="E110" s="776"/>
      <c r="F110" s="559" t="s">
        <v>656</v>
      </c>
      <c r="G110" s="775" t="s">
        <v>656</v>
      </c>
      <c r="H110" s="777"/>
      <c r="I110" s="776"/>
      <c r="J110" s="775" t="s">
        <v>656</v>
      </c>
      <c r="K110" s="777"/>
      <c r="L110" s="776"/>
      <c r="M110" s="561"/>
    </row>
    <row r="111" spans="1:13" ht="11.85" customHeight="1">
      <c r="A111" s="574" t="s">
        <v>904</v>
      </c>
      <c r="B111" s="710" t="s">
        <v>656</v>
      </c>
      <c r="C111" s="711"/>
      <c r="D111" s="710" t="s">
        <v>656</v>
      </c>
      <c r="E111" s="711"/>
      <c r="F111" s="555" t="s">
        <v>656</v>
      </c>
      <c r="G111" s="710" t="s">
        <v>656</v>
      </c>
      <c r="H111" s="718"/>
      <c r="I111" s="711"/>
      <c r="J111" s="710" t="s">
        <v>656</v>
      </c>
      <c r="K111" s="718"/>
      <c r="L111" s="711"/>
      <c r="M111" s="561"/>
    </row>
    <row r="112" spans="1:13" ht="11.85" customHeight="1">
      <c r="A112" s="575" t="s">
        <v>919</v>
      </c>
      <c r="B112" s="728" t="s">
        <v>656</v>
      </c>
      <c r="C112" s="729"/>
      <c r="D112" s="728" t="s">
        <v>656</v>
      </c>
      <c r="E112" s="729"/>
      <c r="F112" s="557" t="s">
        <v>656</v>
      </c>
      <c r="G112" s="728" t="s">
        <v>656</v>
      </c>
      <c r="H112" s="730"/>
      <c r="I112" s="729"/>
      <c r="J112" s="728" t="s">
        <v>656</v>
      </c>
      <c r="K112" s="730"/>
      <c r="L112" s="729"/>
      <c r="M112" s="561"/>
    </row>
    <row r="113" spans="1:13" ht="11.1" customHeight="1">
      <c r="A113" s="500" t="s">
        <v>945</v>
      </c>
      <c r="B113" s="761" t="s">
        <v>656</v>
      </c>
      <c r="C113" s="762"/>
      <c r="D113" s="761" t="s">
        <v>656</v>
      </c>
      <c r="E113" s="762"/>
      <c r="F113" s="552" t="s">
        <v>656</v>
      </c>
      <c r="G113" s="761" t="s">
        <v>656</v>
      </c>
      <c r="H113" s="763"/>
      <c r="I113" s="762"/>
      <c r="J113" s="761" t="s">
        <v>656</v>
      </c>
      <c r="K113" s="763"/>
      <c r="L113" s="762"/>
      <c r="M113" s="561"/>
    </row>
    <row r="114" spans="1:13" ht="5.85" customHeight="1">
      <c r="A114" s="468"/>
      <c r="B114" s="468"/>
      <c r="C114" s="468"/>
      <c r="D114" s="468"/>
      <c r="E114" s="468"/>
      <c r="F114" s="468"/>
      <c r="G114" s="468"/>
      <c r="H114" s="468"/>
      <c r="I114" s="468"/>
      <c r="J114" s="468"/>
      <c r="K114" s="468"/>
      <c r="L114" s="468"/>
    </row>
    <row r="115" spans="1:13" ht="11.85" customHeight="1">
      <c r="A115" s="500" t="s">
        <v>946</v>
      </c>
      <c r="B115" s="761" t="s">
        <v>656</v>
      </c>
      <c r="C115" s="762"/>
      <c r="D115" s="761" t="s">
        <v>656</v>
      </c>
      <c r="E115" s="762"/>
      <c r="F115" s="552" t="s">
        <v>656</v>
      </c>
      <c r="G115" s="761" t="s">
        <v>656</v>
      </c>
      <c r="H115" s="763"/>
      <c r="I115" s="762"/>
      <c r="J115" s="719"/>
      <c r="K115" s="721"/>
      <c r="L115" s="720"/>
      <c r="M115" s="561"/>
    </row>
    <row r="116" spans="1:13" ht="28.9" customHeight="1">
      <c r="A116" s="468"/>
      <c r="B116" s="468"/>
      <c r="C116" s="468"/>
      <c r="D116" s="468"/>
      <c r="E116" s="468"/>
      <c r="F116" s="468"/>
      <c r="G116" s="468"/>
      <c r="H116" s="468"/>
      <c r="I116" s="468"/>
      <c r="J116" s="468"/>
      <c r="K116" s="468"/>
      <c r="L116" s="468"/>
    </row>
    <row r="117" spans="1:13" ht="11.85" customHeight="1">
      <c r="A117" s="760" t="s">
        <v>2432</v>
      </c>
      <c r="B117" s="760"/>
      <c r="C117" s="760"/>
      <c r="D117" s="760"/>
      <c r="E117" s="760"/>
      <c r="F117" s="760"/>
      <c r="G117" s="760"/>
      <c r="H117" s="760"/>
      <c r="I117" s="760"/>
      <c r="J117" s="760"/>
      <c r="K117" s="760"/>
      <c r="L117" s="760"/>
    </row>
    <row r="118" spans="1:13" ht="11.85" customHeight="1">
      <c r="A118" s="717" t="s">
        <v>661</v>
      </c>
      <c r="B118" s="717"/>
      <c r="L118" s="562" t="s">
        <v>947</v>
      </c>
    </row>
    <row r="119" spans="1:13" ht="11.1" customHeight="1">
      <c r="A119" s="717" t="s">
        <v>888</v>
      </c>
      <c r="B119" s="717"/>
    </row>
    <row r="120" spans="1:13" ht="11.85" customHeight="1">
      <c r="A120" s="740" t="s">
        <v>889</v>
      </c>
      <c r="B120" s="740"/>
      <c r="C120" s="740"/>
      <c r="D120" s="740"/>
      <c r="E120" s="740"/>
      <c r="F120" s="740"/>
      <c r="G120" s="740"/>
      <c r="H120" s="740"/>
    </row>
    <row r="121" spans="1:13" ht="11.85" customHeight="1">
      <c r="A121" s="717" t="s">
        <v>890</v>
      </c>
      <c r="B121" s="717"/>
    </row>
    <row r="122" spans="1:13" ht="11.85" customHeight="1">
      <c r="A122" s="717" t="s">
        <v>1744</v>
      </c>
      <c r="B122" s="717"/>
    </row>
    <row r="123" spans="1:13" ht="5.85" customHeight="1"/>
    <row r="124" spans="1:13" ht="11.1" customHeight="1">
      <c r="A124" s="741" t="s">
        <v>891</v>
      </c>
      <c r="B124" s="741"/>
      <c r="C124" s="466"/>
      <c r="D124" s="466"/>
      <c r="E124" s="466"/>
      <c r="F124" s="466"/>
      <c r="G124" s="466"/>
      <c r="H124" s="745" t="s">
        <v>702</v>
      </c>
      <c r="I124" s="745"/>
      <c r="J124" s="745"/>
      <c r="K124" s="745"/>
      <c r="L124" s="745"/>
    </row>
    <row r="125" spans="1:13" ht="23.65" customHeight="1">
      <c r="A125" s="547" t="s">
        <v>948</v>
      </c>
      <c r="B125" s="769" t="s">
        <v>927</v>
      </c>
      <c r="C125" s="770"/>
      <c r="D125" s="770"/>
      <c r="E125" s="770"/>
      <c r="F125" s="770"/>
      <c r="G125" s="770"/>
      <c r="H125" s="770"/>
      <c r="I125" s="770"/>
      <c r="J125" s="770"/>
      <c r="K125" s="770"/>
      <c r="L125" s="771"/>
      <c r="M125" s="467"/>
    </row>
    <row r="126" spans="1:13" ht="11.85" customHeight="1">
      <c r="A126" s="577" t="s">
        <v>949</v>
      </c>
      <c r="B126" s="702" t="s">
        <v>656</v>
      </c>
      <c r="C126" s="731"/>
      <c r="D126" s="731"/>
      <c r="E126" s="731"/>
      <c r="F126" s="731"/>
      <c r="G126" s="731"/>
      <c r="H126" s="731"/>
      <c r="I126" s="731"/>
      <c r="J126" s="731"/>
      <c r="K126" s="731"/>
      <c r="L126" s="703"/>
      <c r="M126" s="467"/>
    </row>
    <row r="127" spans="1:13" ht="11.1" customHeight="1">
      <c r="A127" s="575" t="s">
        <v>950</v>
      </c>
      <c r="B127" s="728" t="s">
        <v>656</v>
      </c>
      <c r="C127" s="730"/>
      <c r="D127" s="730"/>
      <c r="E127" s="730"/>
      <c r="F127" s="730"/>
      <c r="G127" s="730"/>
      <c r="H127" s="730"/>
      <c r="I127" s="730"/>
      <c r="J127" s="730"/>
      <c r="K127" s="730"/>
      <c r="L127" s="729"/>
      <c r="M127" s="467"/>
    </row>
    <row r="128" spans="1:13" ht="5.85" customHeight="1">
      <c r="A128" s="468"/>
      <c r="B128" s="468"/>
      <c r="C128" s="468"/>
      <c r="D128" s="468"/>
      <c r="E128" s="468"/>
      <c r="F128" s="468"/>
      <c r="G128" s="468"/>
      <c r="H128" s="468"/>
      <c r="I128" s="468"/>
      <c r="J128" s="468"/>
      <c r="K128" s="468"/>
      <c r="L128" s="468"/>
    </row>
    <row r="129" spans="1:13" ht="23.65" customHeight="1">
      <c r="A129" s="547" t="s">
        <v>1376</v>
      </c>
      <c r="B129" s="769" t="s">
        <v>933</v>
      </c>
      <c r="C129" s="770"/>
      <c r="D129" s="770"/>
      <c r="E129" s="770"/>
      <c r="F129" s="770"/>
      <c r="G129" s="770"/>
      <c r="H129" s="770"/>
      <c r="I129" s="770"/>
      <c r="J129" s="770"/>
      <c r="K129" s="770"/>
      <c r="L129" s="771"/>
      <c r="M129" s="467"/>
    </row>
    <row r="130" spans="1:13" ht="11.1" customHeight="1">
      <c r="A130" s="577" t="s">
        <v>934</v>
      </c>
      <c r="B130" s="702" t="s">
        <v>656</v>
      </c>
      <c r="C130" s="731"/>
      <c r="D130" s="731"/>
      <c r="E130" s="731"/>
      <c r="F130" s="731"/>
      <c r="G130" s="731"/>
      <c r="H130" s="731"/>
      <c r="I130" s="731"/>
      <c r="J130" s="731"/>
      <c r="K130" s="731"/>
      <c r="L130" s="703"/>
      <c r="M130" s="467"/>
    </row>
    <row r="131" spans="1:13" ht="11.85" customHeight="1">
      <c r="A131" s="574" t="s">
        <v>935</v>
      </c>
      <c r="B131" s="710" t="s">
        <v>2436</v>
      </c>
      <c r="C131" s="718"/>
      <c r="D131" s="718"/>
      <c r="E131" s="718"/>
      <c r="F131" s="718"/>
      <c r="G131" s="718"/>
      <c r="H131" s="718"/>
      <c r="I131" s="718"/>
      <c r="J131" s="718"/>
      <c r="K131" s="718"/>
      <c r="L131" s="711"/>
      <c r="M131" s="467"/>
    </row>
    <row r="132" spans="1:13" ht="11.85" customHeight="1">
      <c r="A132" s="575" t="s">
        <v>936</v>
      </c>
      <c r="B132" s="728" t="s">
        <v>656</v>
      </c>
      <c r="C132" s="730"/>
      <c r="D132" s="730"/>
      <c r="E132" s="730"/>
      <c r="F132" s="730"/>
      <c r="G132" s="730"/>
      <c r="H132" s="730"/>
      <c r="I132" s="730"/>
      <c r="J132" s="730"/>
      <c r="K132" s="730"/>
      <c r="L132" s="729"/>
      <c r="M132" s="467"/>
    </row>
    <row r="133" spans="1:13" ht="5.85" customHeight="1">
      <c r="A133" s="468"/>
      <c r="B133" s="468"/>
      <c r="C133" s="468"/>
      <c r="D133" s="468"/>
      <c r="E133" s="468"/>
      <c r="F133" s="468"/>
      <c r="G133" s="468"/>
      <c r="H133" s="468"/>
      <c r="I133" s="468"/>
      <c r="J133" s="468"/>
      <c r="K133" s="468"/>
      <c r="L133" s="468"/>
    </row>
    <row r="134" spans="1:13" ht="11.85" customHeight="1">
      <c r="A134" s="769" t="s">
        <v>951</v>
      </c>
      <c r="B134" s="770"/>
      <c r="C134" s="770"/>
      <c r="D134" s="770"/>
      <c r="E134" s="770"/>
      <c r="F134" s="770"/>
      <c r="G134" s="770"/>
      <c r="H134" s="770"/>
      <c r="I134" s="770"/>
      <c r="J134" s="770"/>
      <c r="K134" s="770"/>
      <c r="L134" s="771"/>
      <c r="M134" s="467"/>
    </row>
    <row r="135" spans="1:13" ht="28.9" customHeight="1">
      <c r="A135" s="547" t="s">
        <v>952</v>
      </c>
      <c r="B135" s="712" t="s">
        <v>844</v>
      </c>
      <c r="C135" s="738"/>
      <c r="D135" s="712" t="s">
        <v>896</v>
      </c>
      <c r="E135" s="737"/>
      <c r="F135" s="737"/>
      <c r="G135" s="737"/>
      <c r="H135" s="737"/>
      <c r="I135" s="737"/>
      <c r="J135" s="737"/>
      <c r="K135" s="737"/>
      <c r="L135" s="738"/>
      <c r="M135" s="467"/>
    </row>
    <row r="136" spans="1:13" ht="11.85" customHeight="1">
      <c r="A136" s="503" t="s">
        <v>3</v>
      </c>
      <c r="B136" s="719" t="s">
        <v>1377</v>
      </c>
      <c r="C136" s="720"/>
      <c r="D136" s="719" t="s">
        <v>2437</v>
      </c>
      <c r="E136" s="721"/>
      <c r="F136" s="721"/>
      <c r="G136" s="721"/>
      <c r="H136" s="721"/>
      <c r="I136" s="721"/>
      <c r="J136" s="721"/>
      <c r="K136" s="721"/>
      <c r="L136" s="720"/>
      <c r="M136" s="467"/>
    </row>
    <row r="137" spans="1:13" ht="11.1" customHeight="1">
      <c r="A137" s="500" t="s">
        <v>953</v>
      </c>
      <c r="B137" s="761" t="s">
        <v>1377</v>
      </c>
      <c r="C137" s="762"/>
      <c r="D137" s="761" t="s">
        <v>2437</v>
      </c>
      <c r="E137" s="763"/>
      <c r="F137" s="763"/>
      <c r="G137" s="763"/>
      <c r="H137" s="763"/>
      <c r="I137" s="763"/>
      <c r="J137" s="763"/>
      <c r="K137" s="763"/>
      <c r="L137" s="762"/>
      <c r="M137" s="467"/>
    </row>
    <row r="138" spans="1:13" ht="5.85" customHeight="1">
      <c r="A138" s="468"/>
      <c r="B138" s="468"/>
      <c r="C138" s="468"/>
      <c r="D138" s="468"/>
      <c r="E138" s="468"/>
      <c r="F138" s="468"/>
      <c r="G138" s="468"/>
      <c r="H138" s="468"/>
      <c r="I138" s="468"/>
      <c r="J138" s="468"/>
      <c r="K138" s="468"/>
      <c r="L138" s="468"/>
    </row>
    <row r="139" spans="1:13" ht="35.450000000000003" customHeight="1">
      <c r="A139" s="547" t="s">
        <v>954</v>
      </c>
      <c r="B139" s="712" t="s">
        <v>955</v>
      </c>
      <c r="C139" s="738"/>
      <c r="D139" s="712" t="s">
        <v>911</v>
      </c>
      <c r="E139" s="738"/>
      <c r="F139" s="548" t="s">
        <v>912</v>
      </c>
      <c r="G139" s="712" t="s">
        <v>913</v>
      </c>
      <c r="H139" s="737"/>
      <c r="I139" s="738"/>
      <c r="J139" s="712" t="s">
        <v>914</v>
      </c>
      <c r="K139" s="737"/>
      <c r="L139" s="738"/>
      <c r="M139" s="467"/>
    </row>
    <row r="140" spans="1:13" ht="11.1" customHeight="1">
      <c r="A140" s="577" t="s">
        <v>956</v>
      </c>
      <c r="B140" s="702" t="s">
        <v>1378</v>
      </c>
      <c r="C140" s="703"/>
      <c r="D140" s="702" t="s">
        <v>2438</v>
      </c>
      <c r="E140" s="703"/>
      <c r="F140" s="556" t="s">
        <v>2439</v>
      </c>
      <c r="G140" s="702" t="s">
        <v>2440</v>
      </c>
      <c r="H140" s="731"/>
      <c r="I140" s="703"/>
      <c r="J140" s="702" t="s">
        <v>656</v>
      </c>
      <c r="K140" s="731"/>
      <c r="L140" s="703"/>
      <c r="M140" s="561"/>
    </row>
    <row r="141" spans="1:13" ht="11.85" customHeight="1">
      <c r="A141" s="574" t="s">
        <v>957</v>
      </c>
      <c r="B141" s="710">
        <v>10</v>
      </c>
      <c r="C141" s="711"/>
      <c r="D141" s="710" t="s">
        <v>656</v>
      </c>
      <c r="E141" s="711"/>
      <c r="F141" s="555" t="s">
        <v>656</v>
      </c>
      <c r="G141" s="710" t="s">
        <v>656</v>
      </c>
      <c r="H141" s="718"/>
      <c r="I141" s="711"/>
      <c r="J141" s="710" t="s">
        <v>656</v>
      </c>
      <c r="K141" s="718"/>
      <c r="L141" s="711"/>
      <c r="M141" s="561"/>
    </row>
    <row r="142" spans="1:13" ht="11.85" customHeight="1">
      <c r="A142" s="574" t="s">
        <v>958</v>
      </c>
      <c r="B142" s="710" t="s">
        <v>1379</v>
      </c>
      <c r="C142" s="711"/>
      <c r="D142" s="710" t="s">
        <v>2438</v>
      </c>
      <c r="E142" s="711"/>
      <c r="F142" s="555" t="s">
        <v>2439</v>
      </c>
      <c r="G142" s="710" t="s">
        <v>2440</v>
      </c>
      <c r="H142" s="718"/>
      <c r="I142" s="711"/>
      <c r="J142" s="710" t="s">
        <v>656</v>
      </c>
      <c r="K142" s="718"/>
      <c r="L142" s="711"/>
      <c r="M142" s="561"/>
    </row>
    <row r="143" spans="1:13" ht="11.85" customHeight="1">
      <c r="A143" s="575" t="s">
        <v>959</v>
      </c>
      <c r="B143" s="728" t="s">
        <v>1380</v>
      </c>
      <c r="C143" s="729"/>
      <c r="D143" s="728" t="s">
        <v>656</v>
      </c>
      <c r="E143" s="729"/>
      <c r="F143" s="557" t="s">
        <v>656</v>
      </c>
      <c r="G143" s="728" t="s">
        <v>656</v>
      </c>
      <c r="H143" s="730"/>
      <c r="I143" s="729"/>
      <c r="J143" s="728" t="s">
        <v>656</v>
      </c>
      <c r="K143" s="730"/>
      <c r="L143" s="729"/>
      <c r="M143" s="561"/>
    </row>
    <row r="144" spans="1:13" ht="11.1" customHeight="1">
      <c r="A144" s="500" t="s">
        <v>960</v>
      </c>
      <c r="B144" s="761" t="s">
        <v>1381</v>
      </c>
      <c r="C144" s="762"/>
      <c r="D144" s="761" t="s">
        <v>2438</v>
      </c>
      <c r="E144" s="762"/>
      <c r="F144" s="552" t="s">
        <v>2439</v>
      </c>
      <c r="G144" s="761" t="s">
        <v>2440</v>
      </c>
      <c r="H144" s="763"/>
      <c r="I144" s="762"/>
      <c r="J144" s="761" t="s">
        <v>656</v>
      </c>
      <c r="K144" s="763"/>
      <c r="L144" s="762"/>
      <c r="M144" s="561"/>
    </row>
    <row r="145" spans="1:13" ht="5.85" customHeight="1">
      <c r="A145" s="468"/>
      <c r="B145" s="468"/>
      <c r="C145" s="468"/>
      <c r="D145" s="468"/>
      <c r="E145" s="468"/>
      <c r="F145" s="468"/>
      <c r="G145" s="468"/>
      <c r="H145" s="468"/>
      <c r="I145" s="468"/>
      <c r="J145" s="468"/>
      <c r="K145" s="468"/>
      <c r="L145" s="468"/>
    </row>
    <row r="146" spans="1:13" ht="11.85" customHeight="1">
      <c r="A146" s="500" t="s">
        <v>961</v>
      </c>
      <c r="B146" s="761" t="s">
        <v>1382</v>
      </c>
      <c r="C146" s="762"/>
      <c r="D146" s="761" t="s">
        <v>2441</v>
      </c>
      <c r="E146" s="762"/>
      <c r="F146" s="552" t="s">
        <v>2442</v>
      </c>
      <c r="G146" s="761" t="s">
        <v>2443</v>
      </c>
      <c r="H146" s="763"/>
      <c r="I146" s="762"/>
      <c r="J146" s="719"/>
      <c r="K146" s="721"/>
      <c r="L146" s="720"/>
      <c r="M146" s="561"/>
    </row>
    <row r="147" spans="1:13" ht="22.9" customHeight="1">
      <c r="A147" s="547" t="s">
        <v>1383</v>
      </c>
      <c r="B147" s="769" t="s">
        <v>933</v>
      </c>
      <c r="C147" s="770"/>
      <c r="D147" s="770"/>
      <c r="E147" s="770"/>
      <c r="F147" s="770"/>
      <c r="G147" s="770"/>
      <c r="H147" s="770"/>
      <c r="I147" s="770"/>
      <c r="J147" s="770"/>
      <c r="K147" s="770"/>
      <c r="L147" s="771"/>
      <c r="M147" s="467"/>
    </row>
    <row r="148" spans="1:13" ht="11.85" customHeight="1">
      <c r="A148" s="577" t="s">
        <v>934</v>
      </c>
      <c r="B148" s="702">
        <v>-891.65</v>
      </c>
      <c r="C148" s="731"/>
      <c r="D148" s="731"/>
      <c r="E148" s="731"/>
      <c r="F148" s="731"/>
      <c r="G148" s="731"/>
      <c r="H148" s="731"/>
      <c r="I148" s="731"/>
      <c r="J148" s="731"/>
      <c r="K148" s="731"/>
      <c r="L148" s="703"/>
      <c r="M148" s="467"/>
    </row>
    <row r="149" spans="1:13" ht="11.85" customHeight="1">
      <c r="A149" s="574" t="s">
        <v>935</v>
      </c>
      <c r="B149" s="710" t="s">
        <v>2444</v>
      </c>
      <c r="C149" s="718"/>
      <c r="D149" s="718"/>
      <c r="E149" s="718"/>
      <c r="F149" s="718"/>
      <c r="G149" s="718"/>
      <c r="H149" s="718"/>
      <c r="I149" s="718"/>
      <c r="J149" s="718"/>
      <c r="K149" s="718"/>
      <c r="L149" s="711"/>
      <c r="M149" s="467"/>
    </row>
    <row r="150" spans="1:13" ht="11.85" customHeight="1">
      <c r="A150" s="575" t="s">
        <v>936</v>
      </c>
      <c r="B150" s="728" t="s">
        <v>656</v>
      </c>
      <c r="C150" s="730"/>
      <c r="D150" s="730"/>
      <c r="E150" s="730"/>
      <c r="F150" s="730"/>
      <c r="G150" s="730"/>
      <c r="H150" s="730"/>
      <c r="I150" s="730"/>
      <c r="J150" s="730"/>
      <c r="K150" s="730"/>
      <c r="L150" s="729"/>
      <c r="M150" s="467"/>
    </row>
    <row r="151" spans="1:13" ht="5.85" customHeight="1">
      <c r="A151" s="468"/>
      <c r="B151" s="468"/>
      <c r="C151" s="468"/>
      <c r="D151" s="468"/>
      <c r="E151" s="468"/>
      <c r="F151" s="468"/>
      <c r="G151" s="468"/>
      <c r="H151" s="468"/>
      <c r="I151" s="468"/>
      <c r="J151" s="468"/>
      <c r="K151" s="468"/>
      <c r="L151" s="468"/>
    </row>
    <row r="152" spans="1:13" ht="11.1" customHeight="1">
      <c r="A152" s="769" t="s">
        <v>963</v>
      </c>
      <c r="B152" s="770"/>
      <c r="C152" s="770"/>
      <c r="D152" s="770"/>
      <c r="E152" s="770"/>
      <c r="F152" s="770"/>
      <c r="G152" s="770"/>
      <c r="H152" s="770"/>
      <c r="I152" s="770"/>
      <c r="J152" s="770"/>
      <c r="K152" s="770"/>
      <c r="L152" s="771"/>
      <c r="M152" s="467"/>
    </row>
    <row r="153" spans="1:13" ht="29.65" customHeight="1">
      <c r="A153" s="547" t="s">
        <v>964</v>
      </c>
      <c r="B153" s="712" t="s">
        <v>844</v>
      </c>
      <c r="C153" s="738"/>
      <c r="D153" s="712" t="s">
        <v>896</v>
      </c>
      <c r="E153" s="737"/>
      <c r="F153" s="737"/>
      <c r="G153" s="737"/>
      <c r="H153" s="737"/>
      <c r="I153" s="737"/>
      <c r="J153" s="737"/>
      <c r="K153" s="737"/>
      <c r="L153" s="738"/>
      <c r="M153" s="467"/>
    </row>
    <row r="154" spans="1:13" ht="11.1" customHeight="1">
      <c r="A154" s="577" t="s">
        <v>965</v>
      </c>
      <c r="B154" s="702" t="s">
        <v>656</v>
      </c>
      <c r="C154" s="703"/>
      <c r="D154" s="702" t="s">
        <v>656</v>
      </c>
      <c r="E154" s="731"/>
      <c r="F154" s="731"/>
      <c r="G154" s="731"/>
      <c r="H154" s="731"/>
      <c r="I154" s="731"/>
      <c r="J154" s="731"/>
      <c r="K154" s="731"/>
      <c r="L154" s="703"/>
      <c r="M154" s="467"/>
    </row>
    <row r="155" spans="1:13" ht="11.85" customHeight="1">
      <c r="A155" s="575" t="s">
        <v>966</v>
      </c>
      <c r="B155" s="728" t="s">
        <v>656</v>
      </c>
      <c r="C155" s="729"/>
      <c r="D155" s="728" t="s">
        <v>656</v>
      </c>
      <c r="E155" s="730"/>
      <c r="F155" s="730"/>
      <c r="G155" s="730"/>
      <c r="H155" s="730"/>
      <c r="I155" s="730"/>
      <c r="J155" s="730"/>
      <c r="K155" s="730"/>
      <c r="L155" s="729"/>
      <c r="M155" s="467"/>
    </row>
    <row r="156" spans="1:13" ht="11.85" customHeight="1">
      <c r="A156" s="500" t="s">
        <v>967</v>
      </c>
      <c r="B156" s="761" t="s">
        <v>656</v>
      </c>
      <c r="C156" s="762"/>
      <c r="D156" s="761" t="s">
        <v>656</v>
      </c>
      <c r="E156" s="763"/>
      <c r="F156" s="763"/>
      <c r="G156" s="763"/>
      <c r="H156" s="763"/>
      <c r="I156" s="763"/>
      <c r="J156" s="763"/>
      <c r="K156" s="763"/>
      <c r="L156" s="762"/>
      <c r="M156" s="467"/>
    </row>
    <row r="157" spans="1:13" ht="28.9" customHeight="1">
      <c r="A157" s="468"/>
      <c r="B157" s="468"/>
      <c r="C157" s="468"/>
      <c r="D157" s="468"/>
      <c r="E157" s="468"/>
      <c r="F157" s="468"/>
      <c r="G157" s="468"/>
      <c r="H157" s="468"/>
      <c r="I157" s="468"/>
      <c r="J157" s="468"/>
      <c r="K157" s="468"/>
      <c r="L157" s="468"/>
    </row>
    <row r="158" spans="1:13" ht="11.85" customHeight="1">
      <c r="A158" s="760" t="s">
        <v>2432</v>
      </c>
      <c r="B158" s="760"/>
      <c r="C158" s="760"/>
      <c r="D158" s="760"/>
      <c r="E158" s="760"/>
      <c r="F158" s="760"/>
      <c r="G158" s="760"/>
      <c r="H158" s="760"/>
      <c r="I158" s="760"/>
      <c r="J158" s="760"/>
      <c r="K158" s="760"/>
      <c r="L158" s="760"/>
    </row>
    <row r="159" spans="1:13" ht="11.85" customHeight="1">
      <c r="A159" s="717" t="s">
        <v>661</v>
      </c>
      <c r="B159" s="717"/>
      <c r="L159" s="562" t="s">
        <v>962</v>
      </c>
    </row>
    <row r="160" spans="1:13" ht="11.1" customHeight="1">
      <c r="A160" s="717" t="s">
        <v>888</v>
      </c>
      <c r="B160" s="717"/>
    </row>
    <row r="161" spans="1:13" ht="11.85" customHeight="1">
      <c r="A161" s="740" t="s">
        <v>889</v>
      </c>
      <c r="B161" s="740"/>
      <c r="C161" s="740"/>
      <c r="D161" s="740"/>
      <c r="E161" s="740"/>
      <c r="F161" s="740"/>
      <c r="G161" s="740"/>
      <c r="H161" s="740"/>
    </row>
    <row r="162" spans="1:13" ht="11.85" customHeight="1">
      <c r="A162" s="717" t="s">
        <v>890</v>
      </c>
      <c r="B162" s="717"/>
    </row>
    <row r="163" spans="1:13" ht="11.85" customHeight="1">
      <c r="A163" s="717" t="s">
        <v>1744</v>
      </c>
      <c r="B163" s="717"/>
    </row>
    <row r="164" spans="1:13" ht="5.85" customHeight="1"/>
    <row r="165" spans="1:13" ht="11.1" customHeight="1">
      <c r="A165" s="741" t="s">
        <v>891</v>
      </c>
      <c r="B165" s="741"/>
      <c r="C165" s="466"/>
      <c r="D165" s="466"/>
      <c r="E165" s="466"/>
      <c r="F165" s="466"/>
      <c r="G165" s="466"/>
      <c r="H165" s="745" t="s">
        <v>702</v>
      </c>
      <c r="I165" s="745"/>
      <c r="J165" s="745"/>
      <c r="K165" s="745"/>
      <c r="L165" s="745"/>
    </row>
    <row r="166" spans="1:13" ht="35.450000000000003" customHeight="1">
      <c r="A166" s="547" t="s">
        <v>968</v>
      </c>
      <c r="B166" s="712" t="s">
        <v>955</v>
      </c>
      <c r="C166" s="738"/>
      <c r="D166" s="712" t="s">
        <v>911</v>
      </c>
      <c r="E166" s="738"/>
      <c r="F166" s="548" t="s">
        <v>912</v>
      </c>
      <c r="G166" s="712" t="s">
        <v>913</v>
      </c>
      <c r="H166" s="737"/>
      <c r="I166" s="738"/>
      <c r="J166" s="712" t="s">
        <v>914</v>
      </c>
      <c r="K166" s="737"/>
      <c r="L166" s="738"/>
      <c r="M166" s="467"/>
    </row>
    <row r="167" spans="1:13" ht="11.1" customHeight="1">
      <c r="A167" s="577" t="s">
        <v>916</v>
      </c>
      <c r="B167" s="702" t="s">
        <v>656</v>
      </c>
      <c r="C167" s="703"/>
      <c r="D167" s="702" t="s">
        <v>656</v>
      </c>
      <c r="E167" s="703"/>
      <c r="F167" s="556" t="s">
        <v>656</v>
      </c>
      <c r="G167" s="702" t="s">
        <v>656</v>
      </c>
      <c r="H167" s="731"/>
      <c r="I167" s="703"/>
      <c r="J167" s="702" t="s">
        <v>656</v>
      </c>
      <c r="K167" s="731"/>
      <c r="L167" s="703"/>
      <c r="M167" s="467"/>
    </row>
    <row r="168" spans="1:13" ht="11.85" customHeight="1">
      <c r="A168" s="574" t="s">
        <v>796</v>
      </c>
      <c r="B168" s="710" t="s">
        <v>656</v>
      </c>
      <c r="C168" s="711"/>
      <c r="D168" s="710" t="s">
        <v>656</v>
      </c>
      <c r="E168" s="711"/>
      <c r="F168" s="555" t="s">
        <v>656</v>
      </c>
      <c r="G168" s="710" t="s">
        <v>656</v>
      </c>
      <c r="H168" s="718"/>
      <c r="I168" s="711"/>
      <c r="J168" s="710" t="s">
        <v>656</v>
      </c>
      <c r="K168" s="718"/>
      <c r="L168" s="711"/>
      <c r="M168" s="467"/>
    </row>
    <row r="169" spans="1:13" ht="11.85" customHeight="1">
      <c r="A169" s="575" t="s">
        <v>918</v>
      </c>
      <c r="B169" s="728" t="s">
        <v>656</v>
      </c>
      <c r="C169" s="729"/>
      <c r="D169" s="728" t="s">
        <v>656</v>
      </c>
      <c r="E169" s="729"/>
      <c r="F169" s="557" t="s">
        <v>656</v>
      </c>
      <c r="G169" s="728" t="s">
        <v>656</v>
      </c>
      <c r="H169" s="730"/>
      <c r="I169" s="729"/>
      <c r="J169" s="728" t="s">
        <v>656</v>
      </c>
      <c r="K169" s="730"/>
      <c r="L169" s="729"/>
      <c r="M169" s="467"/>
    </row>
    <row r="170" spans="1:13" ht="11.85" customHeight="1">
      <c r="A170" s="500" t="s">
        <v>969</v>
      </c>
      <c r="B170" s="761" t="s">
        <v>656</v>
      </c>
      <c r="C170" s="762"/>
      <c r="D170" s="761" t="s">
        <v>656</v>
      </c>
      <c r="E170" s="762"/>
      <c r="F170" s="552" t="s">
        <v>656</v>
      </c>
      <c r="G170" s="761" t="s">
        <v>656</v>
      </c>
      <c r="H170" s="763"/>
      <c r="I170" s="762"/>
      <c r="J170" s="761" t="s">
        <v>656</v>
      </c>
      <c r="K170" s="763"/>
      <c r="L170" s="762"/>
      <c r="M170" s="467"/>
    </row>
    <row r="171" spans="1:13" ht="5.0999999999999996" customHeight="1">
      <c r="A171" s="468"/>
      <c r="B171" s="468"/>
      <c r="C171" s="468"/>
      <c r="D171" s="468"/>
      <c r="E171" s="468"/>
      <c r="F171" s="468"/>
      <c r="G171" s="468"/>
      <c r="H171" s="468"/>
      <c r="I171" s="468"/>
      <c r="J171" s="468"/>
      <c r="K171" s="468"/>
      <c r="L171" s="468"/>
    </row>
    <row r="172" spans="1:13" ht="11.85" customHeight="1">
      <c r="A172" s="500" t="s">
        <v>970</v>
      </c>
      <c r="B172" s="761" t="s">
        <v>656</v>
      </c>
      <c r="C172" s="762"/>
      <c r="D172" s="761" t="s">
        <v>656</v>
      </c>
      <c r="E172" s="762"/>
      <c r="F172" s="552" t="s">
        <v>656</v>
      </c>
      <c r="G172" s="761" t="s">
        <v>656</v>
      </c>
      <c r="H172" s="763"/>
      <c r="I172" s="762"/>
      <c r="J172" s="719"/>
      <c r="K172" s="721"/>
      <c r="L172" s="720"/>
      <c r="M172" s="467"/>
    </row>
    <row r="173" spans="1:13" ht="11.85" customHeight="1">
      <c r="A173" s="469"/>
      <c r="B173" s="469"/>
      <c r="C173" s="469"/>
      <c r="D173" s="469"/>
      <c r="E173" s="469"/>
      <c r="F173" s="469"/>
      <c r="G173" s="469"/>
      <c r="H173" s="469"/>
      <c r="I173" s="469"/>
      <c r="J173" s="469"/>
      <c r="K173" s="469"/>
      <c r="L173" s="469"/>
    </row>
    <row r="174" spans="1:13" ht="22.9" customHeight="1">
      <c r="A174" s="764" t="s">
        <v>971</v>
      </c>
      <c r="B174" s="764"/>
      <c r="C174" s="764"/>
      <c r="D174" s="764"/>
      <c r="E174" s="764"/>
      <c r="F174" s="764"/>
      <c r="G174" s="764"/>
      <c r="H174" s="764"/>
      <c r="I174" s="764"/>
      <c r="J174" s="764"/>
    </row>
    <row r="175" spans="1:13" ht="5.85" customHeight="1"/>
    <row r="176" spans="1:13" ht="11.85" customHeight="1"/>
    <row r="177" spans="1:12" ht="17.850000000000001" customHeight="1"/>
    <row r="178" spans="1:12" ht="11.1" customHeight="1"/>
    <row r="179" spans="1:12" ht="11.85" customHeight="1"/>
    <row r="180" spans="1:12" ht="74.099999999999994" customHeight="1"/>
    <row r="181" spans="1:12" ht="74.099999999999994" customHeight="1"/>
    <row r="182" spans="1:12" ht="62.1" customHeight="1"/>
    <row r="183" spans="1:12" ht="63.6" customHeight="1">
      <c r="A183" s="466"/>
      <c r="B183" s="466"/>
      <c r="C183" s="466"/>
      <c r="D183" s="466"/>
      <c r="E183" s="466"/>
      <c r="F183" s="466"/>
      <c r="G183" s="466"/>
      <c r="H183" s="466"/>
      <c r="I183" s="466"/>
      <c r="J183" s="466"/>
      <c r="K183" s="466"/>
      <c r="L183" s="466"/>
    </row>
    <row r="184" spans="1:12" ht="11.85" customHeight="1">
      <c r="A184" s="760" t="s">
        <v>2432</v>
      </c>
      <c r="B184" s="760"/>
      <c r="C184" s="760"/>
      <c r="D184" s="760"/>
      <c r="E184" s="760"/>
      <c r="F184" s="760"/>
      <c r="G184" s="760"/>
      <c r="H184" s="760"/>
      <c r="I184" s="760"/>
      <c r="J184" s="760"/>
      <c r="K184" s="760"/>
      <c r="L184" s="760"/>
    </row>
  </sheetData>
  <mergeCells count="306">
    <mergeCell ref="A161:H161"/>
    <mergeCell ref="A163:B163"/>
    <mergeCell ref="H165:L165"/>
    <mergeCell ref="B166:C166"/>
    <mergeCell ref="D166:E166"/>
    <mergeCell ref="G166:I166"/>
    <mergeCell ref="J166:L166"/>
    <mergeCell ref="B167:C167"/>
    <mergeCell ref="D167:E167"/>
    <mergeCell ref="G167:I167"/>
    <mergeCell ref="J167:L167"/>
    <mergeCell ref="A162:B162"/>
    <mergeCell ref="B154:C154"/>
    <mergeCell ref="D154:L154"/>
    <mergeCell ref="B155:C155"/>
    <mergeCell ref="D155:L155"/>
    <mergeCell ref="B156:C156"/>
    <mergeCell ref="D156:L156"/>
    <mergeCell ref="A158:L158"/>
    <mergeCell ref="A159:B159"/>
    <mergeCell ref="A160:B160"/>
    <mergeCell ref="D137:L137"/>
    <mergeCell ref="B142:C142"/>
    <mergeCell ref="D142:E142"/>
    <mergeCell ref="G142:I142"/>
    <mergeCell ref="J142:L142"/>
    <mergeCell ref="B144:C144"/>
    <mergeCell ref="D144:E144"/>
    <mergeCell ref="G144:I144"/>
    <mergeCell ref="J144:L144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43:C143"/>
    <mergeCell ref="D143:E143"/>
    <mergeCell ref="G143:I143"/>
    <mergeCell ref="J143:L143"/>
    <mergeCell ref="B113:C113"/>
    <mergeCell ref="D113:E113"/>
    <mergeCell ref="G113:I113"/>
    <mergeCell ref="J113:L113"/>
    <mergeCell ref="B115:C115"/>
    <mergeCell ref="D115:E115"/>
    <mergeCell ref="G115:I115"/>
    <mergeCell ref="J115:L115"/>
    <mergeCell ref="A117:L117"/>
    <mergeCell ref="B82:C82"/>
    <mergeCell ref="D82:L82"/>
    <mergeCell ref="D87:L87"/>
    <mergeCell ref="B88:C88"/>
    <mergeCell ref="D88:L88"/>
    <mergeCell ref="B89:C89"/>
    <mergeCell ref="D89:L89"/>
    <mergeCell ref="B102:C102"/>
    <mergeCell ref="D102:L102"/>
    <mergeCell ref="B90:C90"/>
    <mergeCell ref="D90:L90"/>
    <mergeCell ref="B91:C91"/>
    <mergeCell ref="D91:L91"/>
    <mergeCell ref="B95:C95"/>
    <mergeCell ref="D95:L95"/>
    <mergeCell ref="B96:C96"/>
    <mergeCell ref="D96:L96"/>
    <mergeCell ref="B97:C97"/>
    <mergeCell ref="D97:L97"/>
    <mergeCell ref="B92:C92"/>
    <mergeCell ref="D92:L92"/>
    <mergeCell ref="B93:C93"/>
    <mergeCell ref="D93:L93"/>
    <mergeCell ref="B94:C94"/>
    <mergeCell ref="B40:C40"/>
    <mergeCell ref="D40:E40"/>
    <mergeCell ref="G40:I40"/>
    <mergeCell ref="J40:L40"/>
    <mergeCell ref="B41:C41"/>
    <mergeCell ref="D41:E41"/>
    <mergeCell ref="G41:I41"/>
    <mergeCell ref="J41:L41"/>
    <mergeCell ref="B42:C42"/>
    <mergeCell ref="D42:E42"/>
    <mergeCell ref="G42:I42"/>
    <mergeCell ref="J42:L42"/>
    <mergeCell ref="B12:D12"/>
    <mergeCell ref="E12:L12"/>
    <mergeCell ref="A8:L8"/>
    <mergeCell ref="A9:L9"/>
    <mergeCell ref="B10:D10"/>
    <mergeCell ref="E10:L10"/>
    <mergeCell ref="B11:D11"/>
    <mergeCell ref="E11:L11"/>
    <mergeCell ref="A1:B1"/>
    <mergeCell ref="A2:B2"/>
    <mergeCell ref="A3:H3"/>
    <mergeCell ref="A4:B4"/>
    <mergeCell ref="A5:B5"/>
    <mergeCell ref="A7:B7"/>
    <mergeCell ref="H7:L7"/>
    <mergeCell ref="B15:D15"/>
    <mergeCell ref="E15:L15"/>
    <mergeCell ref="B16:D16"/>
    <mergeCell ref="E16:L16"/>
    <mergeCell ref="B17:D17"/>
    <mergeCell ref="E17:L17"/>
    <mergeCell ref="B13:D13"/>
    <mergeCell ref="E13:L13"/>
    <mergeCell ref="B14:D14"/>
    <mergeCell ref="E14:L14"/>
    <mergeCell ref="B21:D21"/>
    <mergeCell ref="E21:L21"/>
    <mergeCell ref="B22:D22"/>
    <mergeCell ref="E22:L22"/>
    <mergeCell ref="B23:D23"/>
    <mergeCell ref="E23:L23"/>
    <mergeCell ref="B18:D18"/>
    <mergeCell ref="E18:L18"/>
    <mergeCell ref="B19:D19"/>
    <mergeCell ref="E19:L19"/>
    <mergeCell ref="B20:D20"/>
    <mergeCell ref="E20:L20"/>
    <mergeCell ref="B27:D27"/>
    <mergeCell ref="E27:L27"/>
    <mergeCell ref="B28:D28"/>
    <mergeCell ref="E28:L28"/>
    <mergeCell ref="B29:D29"/>
    <mergeCell ref="E29:L29"/>
    <mergeCell ref="B24:D24"/>
    <mergeCell ref="E24:L24"/>
    <mergeCell ref="B25:D25"/>
    <mergeCell ref="E25:L25"/>
    <mergeCell ref="B26:D26"/>
    <mergeCell ref="E26:L26"/>
    <mergeCell ref="B33:D33"/>
    <mergeCell ref="E33:L33"/>
    <mergeCell ref="B35:C35"/>
    <mergeCell ref="D35:E35"/>
    <mergeCell ref="G35:I35"/>
    <mergeCell ref="J35:L35"/>
    <mergeCell ref="B30:D30"/>
    <mergeCell ref="E30:L30"/>
    <mergeCell ref="B31:D31"/>
    <mergeCell ref="E31:L31"/>
    <mergeCell ref="B32:D32"/>
    <mergeCell ref="E32:L32"/>
    <mergeCell ref="B38:C38"/>
    <mergeCell ref="D38:E38"/>
    <mergeCell ref="G38:I38"/>
    <mergeCell ref="J38:L38"/>
    <mergeCell ref="B39:C39"/>
    <mergeCell ref="D39:E39"/>
    <mergeCell ref="G39:I39"/>
    <mergeCell ref="J39:L39"/>
    <mergeCell ref="B36:C36"/>
    <mergeCell ref="D36:E36"/>
    <mergeCell ref="G36:I36"/>
    <mergeCell ref="J36:L36"/>
    <mergeCell ref="B37:C37"/>
    <mergeCell ref="D37:E37"/>
    <mergeCell ref="G37:I37"/>
    <mergeCell ref="J37:L37"/>
    <mergeCell ref="A48:B48"/>
    <mergeCell ref="B44:C44"/>
    <mergeCell ref="D44:E44"/>
    <mergeCell ref="G44:I44"/>
    <mergeCell ref="J44:L44"/>
    <mergeCell ref="A46:L46"/>
    <mergeCell ref="A47:B47"/>
    <mergeCell ref="A49:H49"/>
    <mergeCell ref="A50:B50"/>
    <mergeCell ref="A51:B51"/>
    <mergeCell ref="A53:B53"/>
    <mergeCell ref="H53:L53"/>
    <mergeCell ref="B67:L67"/>
    <mergeCell ref="A81:L81"/>
    <mergeCell ref="B61:L61"/>
    <mergeCell ref="B62:L62"/>
    <mergeCell ref="B65:L65"/>
    <mergeCell ref="B66:L66"/>
    <mergeCell ref="A73:L73"/>
    <mergeCell ref="A74:B74"/>
    <mergeCell ref="A75:B75"/>
    <mergeCell ref="A76:H76"/>
    <mergeCell ref="A77:B77"/>
    <mergeCell ref="A78:B78"/>
    <mergeCell ref="A80:B80"/>
    <mergeCell ref="H80:L80"/>
    <mergeCell ref="B83:C83"/>
    <mergeCell ref="D83:L83"/>
    <mergeCell ref="B84:C84"/>
    <mergeCell ref="D84:L84"/>
    <mergeCell ref="B85:C85"/>
    <mergeCell ref="D85:L85"/>
    <mergeCell ref="B86:C86"/>
    <mergeCell ref="D86:L86"/>
    <mergeCell ref="B87:C87"/>
    <mergeCell ref="D94:L94"/>
    <mergeCell ref="B101:C101"/>
    <mergeCell ref="D101:L101"/>
    <mergeCell ref="B103:C103"/>
    <mergeCell ref="B98:C98"/>
    <mergeCell ref="D98:L98"/>
    <mergeCell ref="B99:C99"/>
    <mergeCell ref="D99:L99"/>
    <mergeCell ref="B100:C100"/>
    <mergeCell ref="D100:L100"/>
    <mergeCell ref="D103:L103"/>
    <mergeCell ref="B106:C106"/>
    <mergeCell ref="D106:E106"/>
    <mergeCell ref="G106:I106"/>
    <mergeCell ref="J106:L106"/>
    <mergeCell ref="B107:C107"/>
    <mergeCell ref="D107:E107"/>
    <mergeCell ref="G107:I107"/>
    <mergeCell ref="J107:L107"/>
    <mergeCell ref="B104:C104"/>
    <mergeCell ref="D104:L104"/>
    <mergeCell ref="B110:C110"/>
    <mergeCell ref="D110:E110"/>
    <mergeCell ref="G110:I110"/>
    <mergeCell ref="J110:L110"/>
    <mergeCell ref="B112:C112"/>
    <mergeCell ref="D112:E112"/>
    <mergeCell ref="G112:I112"/>
    <mergeCell ref="J112:L112"/>
    <mergeCell ref="B108:C108"/>
    <mergeCell ref="D108:E108"/>
    <mergeCell ref="G108:I108"/>
    <mergeCell ref="J108:L108"/>
    <mergeCell ref="B109:C109"/>
    <mergeCell ref="D109:E109"/>
    <mergeCell ref="G109:I109"/>
    <mergeCell ref="J109:L109"/>
    <mergeCell ref="B111:C111"/>
    <mergeCell ref="D111:E111"/>
    <mergeCell ref="G111:I111"/>
    <mergeCell ref="J111:L111"/>
    <mergeCell ref="A118:B118"/>
    <mergeCell ref="A119:B119"/>
    <mergeCell ref="A120:H120"/>
    <mergeCell ref="A121:B121"/>
    <mergeCell ref="A122:B122"/>
    <mergeCell ref="B139:C139"/>
    <mergeCell ref="D139:E139"/>
    <mergeCell ref="G139:I139"/>
    <mergeCell ref="J139:L139"/>
    <mergeCell ref="B137:C137"/>
    <mergeCell ref="B136:C136"/>
    <mergeCell ref="B135:C135"/>
    <mergeCell ref="H124:L124"/>
    <mergeCell ref="B125:L125"/>
    <mergeCell ref="B126:L126"/>
    <mergeCell ref="B127:L127"/>
    <mergeCell ref="B129:L129"/>
    <mergeCell ref="B130:L130"/>
    <mergeCell ref="B131:L131"/>
    <mergeCell ref="B132:L132"/>
    <mergeCell ref="A134:L134"/>
    <mergeCell ref="A124:B124"/>
    <mergeCell ref="D135:L135"/>
    <mergeCell ref="D136:L136"/>
    <mergeCell ref="B153:C153"/>
    <mergeCell ref="D153:L153"/>
    <mergeCell ref="B147:L147"/>
    <mergeCell ref="B146:C146"/>
    <mergeCell ref="D146:E146"/>
    <mergeCell ref="G146:I146"/>
    <mergeCell ref="J146:L146"/>
    <mergeCell ref="B148:L148"/>
    <mergeCell ref="B149:L149"/>
    <mergeCell ref="B150:L150"/>
    <mergeCell ref="A152:L152"/>
    <mergeCell ref="M54:M55"/>
    <mergeCell ref="B55:L55"/>
    <mergeCell ref="B58:L58"/>
    <mergeCell ref="A63:M63"/>
    <mergeCell ref="B64:L64"/>
    <mergeCell ref="A68:M68"/>
    <mergeCell ref="B56:L56"/>
    <mergeCell ref="M56:M57"/>
    <mergeCell ref="B57:L57"/>
    <mergeCell ref="B59:L59"/>
    <mergeCell ref="B60:L60"/>
    <mergeCell ref="B54:L54"/>
    <mergeCell ref="J169:L169"/>
    <mergeCell ref="A165:B165"/>
    <mergeCell ref="B168:C168"/>
    <mergeCell ref="D168:E168"/>
    <mergeCell ref="G168:I168"/>
    <mergeCell ref="J168:L168"/>
    <mergeCell ref="B169:C169"/>
    <mergeCell ref="D169:E169"/>
    <mergeCell ref="G169:I169"/>
    <mergeCell ref="A184:L184"/>
    <mergeCell ref="B170:C170"/>
    <mergeCell ref="D170:E170"/>
    <mergeCell ref="G170:I170"/>
    <mergeCell ref="J170:L170"/>
    <mergeCell ref="B172:C172"/>
    <mergeCell ref="D172:E172"/>
    <mergeCell ref="G172:I172"/>
    <mergeCell ref="J172:L172"/>
    <mergeCell ref="A174:J17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135"/>
  <sheetViews>
    <sheetView workbookViewId="0">
      <selection sqref="A1:XFD1048576"/>
    </sheetView>
  </sheetViews>
  <sheetFormatPr defaultRowHeight="15"/>
  <cols>
    <col min="1" max="1" width="27.28515625" customWidth="1"/>
    <col min="2" max="2" width="5" customWidth="1"/>
    <col min="3" max="3" width="9.140625" customWidth="1"/>
    <col min="4" max="4" width="3" customWidth="1"/>
    <col min="5" max="5" width="6.140625" customWidth="1"/>
    <col min="6" max="6" width="9.140625" customWidth="1"/>
    <col min="7" max="7" width="8.140625" customWidth="1"/>
    <col min="8" max="8" width="0.85546875" customWidth="1"/>
    <col min="9" max="9" width="5.140625" customWidth="1"/>
    <col min="10" max="10" width="4" customWidth="1"/>
    <col min="11" max="11" width="7" customWidth="1"/>
    <col min="12" max="12" width="2" customWidth="1"/>
    <col min="13" max="13" width="9.140625" customWidth="1"/>
  </cols>
  <sheetData>
    <row r="1" spans="1:13" ht="11.85" customHeight="1">
      <c r="A1" s="717" t="s">
        <v>661</v>
      </c>
      <c r="B1" s="717"/>
      <c r="C1" s="717"/>
      <c r="D1" s="717"/>
      <c r="L1" s="859" t="s">
        <v>662</v>
      </c>
      <c r="M1" s="859"/>
    </row>
    <row r="2" spans="1:13" ht="11.1" customHeight="1">
      <c r="A2" s="717" t="s">
        <v>655</v>
      </c>
      <c r="B2" s="717"/>
      <c r="C2" s="717"/>
      <c r="D2" s="717"/>
    </row>
    <row r="3" spans="1:13" ht="11.85" customHeight="1">
      <c r="A3" s="740" t="s">
        <v>972</v>
      </c>
      <c r="B3" s="740"/>
      <c r="C3" s="740"/>
      <c r="D3" s="740"/>
    </row>
    <row r="4" spans="1:13" ht="11.85" customHeight="1">
      <c r="A4" s="717" t="s">
        <v>660</v>
      </c>
      <c r="B4" s="717"/>
      <c r="C4" s="717"/>
      <c r="D4" s="717"/>
    </row>
    <row r="5" spans="1:13" ht="11.85" customHeight="1">
      <c r="A5" s="717" t="s">
        <v>1744</v>
      </c>
      <c r="B5" s="717"/>
      <c r="C5" s="717"/>
      <c r="D5" s="717"/>
    </row>
    <row r="6" spans="1:13" ht="5.85" customHeight="1"/>
    <row r="7" spans="1:13" ht="11.1" customHeight="1">
      <c r="A7" s="549" t="s">
        <v>973</v>
      </c>
      <c r="B7" s="466"/>
      <c r="C7" s="466"/>
      <c r="D7" s="466"/>
      <c r="E7" s="466"/>
      <c r="F7" s="466"/>
      <c r="G7" s="466"/>
      <c r="H7" s="466"/>
      <c r="I7" s="466"/>
      <c r="J7" s="745" t="s">
        <v>766</v>
      </c>
      <c r="K7" s="745"/>
      <c r="L7" s="745"/>
      <c r="M7" s="745"/>
    </row>
    <row r="8" spans="1:13" ht="11.85" customHeight="1">
      <c r="A8" s="734" t="s">
        <v>974</v>
      </c>
      <c r="B8" s="735"/>
      <c r="C8" s="735"/>
      <c r="D8" s="735"/>
      <c r="E8" s="735"/>
      <c r="F8" s="735"/>
      <c r="G8" s="735"/>
      <c r="H8" s="735"/>
      <c r="I8" s="735"/>
      <c r="J8" s="735"/>
      <c r="K8" s="735"/>
      <c r="L8" s="735"/>
      <c r="M8" s="736"/>
    </row>
    <row r="9" spans="1:13" ht="11.85" customHeight="1">
      <c r="A9" s="734" t="s">
        <v>975</v>
      </c>
      <c r="B9" s="812"/>
      <c r="C9" s="840" t="s">
        <v>707</v>
      </c>
      <c r="D9" s="823" t="s">
        <v>1384</v>
      </c>
      <c r="E9" s="824"/>
      <c r="F9" s="824"/>
      <c r="G9" s="824"/>
      <c r="H9" s="824"/>
      <c r="I9" s="824"/>
      <c r="J9" s="824"/>
      <c r="K9" s="824"/>
      <c r="L9" s="824"/>
      <c r="M9" s="825"/>
    </row>
    <row r="10" spans="1:13" ht="11.85" customHeight="1">
      <c r="A10" s="813"/>
      <c r="B10" s="814"/>
      <c r="C10" s="841"/>
      <c r="D10" s="853" t="s">
        <v>708</v>
      </c>
      <c r="E10" s="854"/>
      <c r="F10" s="854"/>
      <c r="G10" s="854"/>
      <c r="H10" s="854"/>
      <c r="I10" s="854"/>
      <c r="J10" s="854"/>
      <c r="K10" s="854"/>
      <c r="L10" s="854"/>
      <c r="M10" s="855"/>
    </row>
    <row r="11" spans="1:13" ht="5.0999999999999996" customHeight="1">
      <c r="A11" s="815"/>
      <c r="B11" s="806"/>
      <c r="C11" s="836"/>
      <c r="D11" s="856" t="s">
        <v>733</v>
      </c>
      <c r="E11" s="857"/>
      <c r="F11" s="857"/>
      <c r="G11" s="857"/>
      <c r="H11" s="857"/>
      <c r="I11" s="857"/>
      <c r="J11" s="857"/>
      <c r="K11" s="857"/>
      <c r="L11" s="857"/>
      <c r="M11" s="858"/>
    </row>
    <row r="12" spans="1:13" ht="11.85" customHeight="1">
      <c r="A12" s="838" t="s">
        <v>976</v>
      </c>
      <c r="B12" s="839"/>
      <c r="C12" s="564" t="s">
        <v>2148</v>
      </c>
      <c r="D12" s="704" t="s">
        <v>2151</v>
      </c>
      <c r="E12" s="705"/>
      <c r="F12" s="705"/>
      <c r="G12" s="705"/>
      <c r="H12" s="705"/>
      <c r="I12" s="705"/>
      <c r="J12" s="705"/>
      <c r="K12" s="705"/>
      <c r="L12" s="705"/>
      <c r="M12" s="706"/>
    </row>
    <row r="13" spans="1:13" ht="11.85" customHeight="1">
      <c r="A13" s="832" t="s">
        <v>664</v>
      </c>
      <c r="B13" s="833"/>
      <c r="C13" s="550" t="s">
        <v>1309</v>
      </c>
      <c r="D13" s="707" t="s">
        <v>2157</v>
      </c>
      <c r="E13" s="708"/>
      <c r="F13" s="708"/>
      <c r="G13" s="708"/>
      <c r="H13" s="708"/>
      <c r="I13" s="708"/>
      <c r="J13" s="708"/>
      <c r="K13" s="708"/>
      <c r="L13" s="708"/>
      <c r="M13" s="709"/>
    </row>
    <row r="14" spans="1:13" ht="11.85" customHeight="1">
      <c r="A14" s="832" t="s">
        <v>206</v>
      </c>
      <c r="B14" s="833"/>
      <c r="C14" s="550" t="s">
        <v>1385</v>
      </c>
      <c r="D14" s="707" t="s">
        <v>2446</v>
      </c>
      <c r="E14" s="708"/>
      <c r="F14" s="708"/>
      <c r="G14" s="708"/>
      <c r="H14" s="708"/>
      <c r="I14" s="708"/>
      <c r="J14" s="708"/>
      <c r="K14" s="708"/>
      <c r="L14" s="708"/>
      <c r="M14" s="709"/>
    </row>
    <row r="15" spans="1:13" ht="11.1" customHeight="1">
      <c r="A15" s="832" t="s">
        <v>665</v>
      </c>
      <c r="B15" s="833"/>
      <c r="C15" s="550" t="s">
        <v>1386</v>
      </c>
      <c r="D15" s="707" t="s">
        <v>2455</v>
      </c>
      <c r="E15" s="708"/>
      <c r="F15" s="708"/>
      <c r="G15" s="708"/>
      <c r="H15" s="708"/>
      <c r="I15" s="708"/>
      <c r="J15" s="708"/>
      <c r="K15" s="708"/>
      <c r="L15" s="708"/>
      <c r="M15" s="709"/>
    </row>
    <row r="16" spans="1:13" ht="11.85" customHeight="1">
      <c r="A16" s="832" t="s">
        <v>208</v>
      </c>
      <c r="B16" s="833"/>
      <c r="C16" s="550" t="s">
        <v>1387</v>
      </c>
      <c r="D16" s="707" t="s">
        <v>2452</v>
      </c>
      <c r="E16" s="708"/>
      <c r="F16" s="708"/>
      <c r="G16" s="708"/>
      <c r="H16" s="708"/>
      <c r="I16" s="708"/>
      <c r="J16" s="708"/>
      <c r="K16" s="708"/>
      <c r="L16" s="708"/>
      <c r="M16" s="709"/>
    </row>
    <row r="17" spans="1:13" ht="11.85" customHeight="1">
      <c r="A17" s="832" t="s">
        <v>204</v>
      </c>
      <c r="B17" s="833"/>
      <c r="C17" s="550" t="s">
        <v>1388</v>
      </c>
      <c r="D17" s="707" t="s">
        <v>2461</v>
      </c>
      <c r="E17" s="708"/>
      <c r="F17" s="708"/>
      <c r="G17" s="708"/>
      <c r="H17" s="708"/>
      <c r="I17" s="708"/>
      <c r="J17" s="708"/>
      <c r="K17" s="708"/>
      <c r="L17" s="708"/>
      <c r="M17" s="709"/>
    </row>
    <row r="18" spans="1:13" ht="11.85" customHeight="1">
      <c r="A18" s="832" t="s">
        <v>977</v>
      </c>
      <c r="B18" s="833"/>
      <c r="C18" s="550" t="s">
        <v>1389</v>
      </c>
      <c r="D18" s="707" t="s">
        <v>2653</v>
      </c>
      <c r="E18" s="708"/>
      <c r="F18" s="708"/>
      <c r="G18" s="708"/>
      <c r="H18" s="708"/>
      <c r="I18" s="708"/>
      <c r="J18" s="708"/>
      <c r="K18" s="708"/>
      <c r="L18" s="708"/>
      <c r="M18" s="709"/>
    </row>
    <row r="19" spans="1:13" ht="11.1" customHeight="1">
      <c r="A19" s="832" t="s">
        <v>666</v>
      </c>
      <c r="B19" s="833"/>
      <c r="C19" s="550" t="s">
        <v>1315</v>
      </c>
      <c r="D19" s="707" t="s">
        <v>2176</v>
      </c>
      <c r="E19" s="708"/>
      <c r="F19" s="708"/>
      <c r="G19" s="708"/>
      <c r="H19" s="708"/>
      <c r="I19" s="708"/>
      <c r="J19" s="708"/>
      <c r="K19" s="708"/>
      <c r="L19" s="708"/>
      <c r="M19" s="709"/>
    </row>
    <row r="20" spans="1:13" ht="11.85" customHeight="1">
      <c r="A20" s="832" t="s">
        <v>667</v>
      </c>
      <c r="B20" s="833"/>
      <c r="C20" s="550" t="s">
        <v>1319</v>
      </c>
      <c r="D20" s="707" t="s">
        <v>2194</v>
      </c>
      <c r="E20" s="708"/>
      <c r="F20" s="708"/>
      <c r="G20" s="708"/>
      <c r="H20" s="708"/>
      <c r="I20" s="708"/>
      <c r="J20" s="708"/>
      <c r="K20" s="708"/>
      <c r="L20" s="708"/>
      <c r="M20" s="709"/>
    </row>
    <row r="21" spans="1:13" ht="11.85" customHeight="1">
      <c r="A21" s="832" t="s">
        <v>978</v>
      </c>
      <c r="B21" s="833"/>
      <c r="C21" s="550" t="s">
        <v>1321</v>
      </c>
      <c r="D21" s="707" t="s">
        <v>2206</v>
      </c>
      <c r="E21" s="708"/>
      <c r="F21" s="708"/>
      <c r="G21" s="708"/>
      <c r="H21" s="708"/>
      <c r="I21" s="708"/>
      <c r="J21" s="708"/>
      <c r="K21" s="708"/>
      <c r="L21" s="708"/>
      <c r="M21" s="709"/>
    </row>
    <row r="22" spans="1:13" ht="11.85" customHeight="1">
      <c r="A22" s="832" t="s">
        <v>668</v>
      </c>
      <c r="B22" s="833"/>
      <c r="C22" s="550" t="s">
        <v>1320</v>
      </c>
      <c r="D22" s="707" t="s">
        <v>2200</v>
      </c>
      <c r="E22" s="708"/>
      <c r="F22" s="708"/>
      <c r="G22" s="708"/>
      <c r="H22" s="708"/>
      <c r="I22" s="708"/>
      <c r="J22" s="708"/>
      <c r="K22" s="708"/>
      <c r="L22" s="708"/>
      <c r="M22" s="709"/>
    </row>
    <row r="23" spans="1:13" ht="11.1" customHeight="1">
      <c r="A23" s="832" t="s">
        <v>670</v>
      </c>
      <c r="B23" s="833"/>
      <c r="C23" s="550" t="s">
        <v>2223</v>
      </c>
      <c r="D23" s="707" t="s">
        <v>2226</v>
      </c>
      <c r="E23" s="708"/>
      <c r="F23" s="708"/>
      <c r="G23" s="708"/>
      <c r="H23" s="708"/>
      <c r="I23" s="708"/>
      <c r="J23" s="708"/>
      <c r="K23" s="708"/>
      <c r="L23" s="708"/>
      <c r="M23" s="709"/>
    </row>
    <row r="24" spans="1:13" ht="11.85" customHeight="1">
      <c r="A24" s="832" t="s">
        <v>671</v>
      </c>
      <c r="B24" s="833"/>
      <c r="C24" s="550" t="s">
        <v>2654</v>
      </c>
      <c r="D24" s="707" t="s">
        <v>2655</v>
      </c>
      <c r="E24" s="708"/>
      <c r="F24" s="708"/>
      <c r="G24" s="708"/>
      <c r="H24" s="708"/>
      <c r="I24" s="708"/>
      <c r="J24" s="708"/>
      <c r="K24" s="708"/>
      <c r="L24" s="708"/>
      <c r="M24" s="709"/>
    </row>
    <row r="25" spans="1:13" ht="11.85" customHeight="1">
      <c r="A25" s="832" t="s">
        <v>672</v>
      </c>
      <c r="B25" s="833"/>
      <c r="C25" s="550" t="s">
        <v>1390</v>
      </c>
      <c r="D25" s="707" t="s">
        <v>2656</v>
      </c>
      <c r="E25" s="708"/>
      <c r="F25" s="708"/>
      <c r="G25" s="708"/>
      <c r="H25" s="708"/>
      <c r="I25" s="708"/>
      <c r="J25" s="708"/>
      <c r="K25" s="708"/>
      <c r="L25" s="708"/>
      <c r="M25" s="709"/>
    </row>
    <row r="26" spans="1:13" ht="11.85" customHeight="1">
      <c r="A26" s="832" t="s">
        <v>673</v>
      </c>
      <c r="B26" s="833"/>
      <c r="C26" s="550" t="s">
        <v>1391</v>
      </c>
      <c r="D26" s="707" t="s">
        <v>2657</v>
      </c>
      <c r="E26" s="708"/>
      <c r="F26" s="708"/>
      <c r="G26" s="708"/>
      <c r="H26" s="708"/>
      <c r="I26" s="708"/>
      <c r="J26" s="708"/>
      <c r="K26" s="708"/>
      <c r="L26" s="708"/>
      <c r="M26" s="709"/>
    </row>
    <row r="27" spans="1:13" ht="11.1" customHeight="1">
      <c r="A27" s="832" t="s">
        <v>674</v>
      </c>
      <c r="B27" s="833"/>
      <c r="C27" s="550" t="s">
        <v>1392</v>
      </c>
      <c r="D27" s="707" t="s">
        <v>2658</v>
      </c>
      <c r="E27" s="708"/>
      <c r="F27" s="708"/>
      <c r="G27" s="708"/>
      <c r="H27" s="708"/>
      <c r="I27" s="708"/>
      <c r="J27" s="708"/>
      <c r="K27" s="708"/>
      <c r="L27" s="708"/>
      <c r="M27" s="709"/>
    </row>
    <row r="28" spans="1:13" ht="11.85" customHeight="1">
      <c r="A28" s="832" t="s">
        <v>675</v>
      </c>
      <c r="B28" s="833"/>
      <c r="C28" s="550" t="s">
        <v>656</v>
      </c>
      <c r="D28" s="707" t="s">
        <v>656</v>
      </c>
      <c r="E28" s="708"/>
      <c r="F28" s="708"/>
      <c r="G28" s="708"/>
      <c r="H28" s="708"/>
      <c r="I28" s="708"/>
      <c r="J28" s="708"/>
      <c r="K28" s="708"/>
      <c r="L28" s="708"/>
      <c r="M28" s="709"/>
    </row>
    <row r="29" spans="1:13" ht="11.85" customHeight="1">
      <c r="A29" s="832" t="s">
        <v>676</v>
      </c>
      <c r="B29" s="833"/>
      <c r="C29" s="550" t="s">
        <v>1393</v>
      </c>
      <c r="D29" s="707" t="s">
        <v>2659</v>
      </c>
      <c r="E29" s="708"/>
      <c r="F29" s="708"/>
      <c r="G29" s="708"/>
      <c r="H29" s="708"/>
      <c r="I29" s="708"/>
      <c r="J29" s="708"/>
      <c r="K29" s="708"/>
      <c r="L29" s="708"/>
      <c r="M29" s="709"/>
    </row>
    <row r="30" spans="1:13" ht="11.85" customHeight="1">
      <c r="A30" s="832" t="s">
        <v>677</v>
      </c>
      <c r="B30" s="833"/>
      <c r="C30" s="550" t="s">
        <v>1328</v>
      </c>
      <c r="D30" s="707" t="s">
        <v>2250</v>
      </c>
      <c r="E30" s="708"/>
      <c r="F30" s="708"/>
      <c r="G30" s="708"/>
      <c r="H30" s="708"/>
      <c r="I30" s="708"/>
      <c r="J30" s="708"/>
      <c r="K30" s="708"/>
      <c r="L30" s="708"/>
      <c r="M30" s="709"/>
    </row>
    <row r="31" spans="1:13" ht="11.1" customHeight="1">
      <c r="A31" s="832" t="s">
        <v>678</v>
      </c>
      <c r="B31" s="833"/>
      <c r="C31" s="550" t="s">
        <v>2660</v>
      </c>
      <c r="D31" s="707" t="s">
        <v>2661</v>
      </c>
      <c r="E31" s="708"/>
      <c r="F31" s="708"/>
      <c r="G31" s="708"/>
      <c r="H31" s="708"/>
      <c r="I31" s="708"/>
      <c r="J31" s="708"/>
      <c r="K31" s="708"/>
      <c r="L31" s="708"/>
      <c r="M31" s="709"/>
    </row>
    <row r="32" spans="1:13" ht="11.85" customHeight="1">
      <c r="A32" s="832" t="s">
        <v>853</v>
      </c>
      <c r="B32" s="833"/>
      <c r="C32" s="550" t="s">
        <v>1394</v>
      </c>
      <c r="D32" s="707" t="s">
        <v>2662</v>
      </c>
      <c r="E32" s="708"/>
      <c r="F32" s="708"/>
      <c r="G32" s="708"/>
      <c r="H32" s="708"/>
      <c r="I32" s="708"/>
      <c r="J32" s="708"/>
      <c r="K32" s="708"/>
      <c r="L32" s="708"/>
      <c r="M32" s="709"/>
    </row>
    <row r="33" spans="1:13" ht="11.85" customHeight="1">
      <c r="A33" s="832" t="s">
        <v>979</v>
      </c>
      <c r="B33" s="833"/>
      <c r="C33" s="550" t="s">
        <v>1395</v>
      </c>
      <c r="D33" s="707" t="s">
        <v>2663</v>
      </c>
      <c r="E33" s="708"/>
      <c r="F33" s="708"/>
      <c r="G33" s="708"/>
      <c r="H33" s="708"/>
      <c r="I33" s="708"/>
      <c r="J33" s="708"/>
      <c r="K33" s="708"/>
      <c r="L33" s="708"/>
      <c r="M33" s="709"/>
    </row>
    <row r="34" spans="1:13" ht="11.85" customHeight="1">
      <c r="A34" s="832" t="s">
        <v>980</v>
      </c>
      <c r="B34" s="833"/>
      <c r="C34" s="550" t="s">
        <v>1396</v>
      </c>
      <c r="D34" s="707" t="s">
        <v>2664</v>
      </c>
      <c r="E34" s="708"/>
      <c r="F34" s="708"/>
      <c r="G34" s="708"/>
      <c r="H34" s="708"/>
      <c r="I34" s="708"/>
      <c r="J34" s="708"/>
      <c r="K34" s="708"/>
      <c r="L34" s="708"/>
      <c r="M34" s="709"/>
    </row>
    <row r="35" spans="1:13" ht="11.1" customHeight="1">
      <c r="A35" s="832" t="s">
        <v>981</v>
      </c>
      <c r="B35" s="833"/>
      <c r="C35" s="550" t="s">
        <v>2665</v>
      </c>
      <c r="D35" s="707" t="s">
        <v>2666</v>
      </c>
      <c r="E35" s="708"/>
      <c r="F35" s="708"/>
      <c r="G35" s="708"/>
      <c r="H35" s="708"/>
      <c r="I35" s="708"/>
      <c r="J35" s="708"/>
      <c r="K35" s="708"/>
      <c r="L35" s="708"/>
      <c r="M35" s="709"/>
    </row>
    <row r="36" spans="1:13" ht="11.85" customHeight="1">
      <c r="A36" s="832" t="s">
        <v>982</v>
      </c>
      <c r="B36" s="833"/>
      <c r="C36" s="550" t="s">
        <v>1334</v>
      </c>
      <c r="D36" s="707" t="s">
        <v>2278</v>
      </c>
      <c r="E36" s="708"/>
      <c r="F36" s="708"/>
      <c r="G36" s="708"/>
      <c r="H36" s="708"/>
      <c r="I36" s="708"/>
      <c r="J36" s="708"/>
      <c r="K36" s="708"/>
      <c r="L36" s="708"/>
      <c r="M36" s="709"/>
    </row>
    <row r="37" spans="1:13" ht="11.85" customHeight="1">
      <c r="A37" s="832" t="s">
        <v>983</v>
      </c>
      <c r="B37" s="833"/>
      <c r="C37" s="550" t="s">
        <v>1335</v>
      </c>
      <c r="D37" s="707" t="s">
        <v>656</v>
      </c>
      <c r="E37" s="708"/>
      <c r="F37" s="708"/>
      <c r="G37" s="708"/>
      <c r="H37" s="708"/>
      <c r="I37" s="708"/>
      <c r="J37" s="708"/>
      <c r="K37" s="708"/>
      <c r="L37" s="708"/>
      <c r="M37" s="709"/>
    </row>
    <row r="38" spans="1:13" ht="11.85" customHeight="1">
      <c r="A38" s="832" t="s">
        <v>984</v>
      </c>
      <c r="B38" s="833"/>
      <c r="C38" s="550" t="s">
        <v>1336</v>
      </c>
      <c r="D38" s="707" t="s">
        <v>1337</v>
      </c>
      <c r="E38" s="708"/>
      <c r="F38" s="708"/>
      <c r="G38" s="708"/>
      <c r="H38" s="708"/>
      <c r="I38" s="708"/>
      <c r="J38" s="708"/>
      <c r="K38" s="708"/>
      <c r="L38" s="708"/>
      <c r="M38" s="709"/>
    </row>
    <row r="39" spans="1:13" ht="11.1" customHeight="1">
      <c r="A39" s="832" t="s">
        <v>985</v>
      </c>
      <c r="B39" s="833"/>
      <c r="C39" s="550" t="s">
        <v>656</v>
      </c>
      <c r="D39" s="707" t="s">
        <v>656</v>
      </c>
      <c r="E39" s="708"/>
      <c r="F39" s="708"/>
      <c r="G39" s="708"/>
      <c r="H39" s="708"/>
      <c r="I39" s="708"/>
      <c r="J39" s="708"/>
      <c r="K39" s="708"/>
      <c r="L39" s="708"/>
      <c r="M39" s="709"/>
    </row>
    <row r="40" spans="1:13" ht="11.85" customHeight="1">
      <c r="A40" s="832" t="s">
        <v>986</v>
      </c>
      <c r="B40" s="833"/>
      <c r="C40" s="550" t="s">
        <v>656</v>
      </c>
      <c r="D40" s="707" t="s">
        <v>656</v>
      </c>
      <c r="E40" s="708"/>
      <c r="F40" s="708"/>
      <c r="G40" s="708"/>
      <c r="H40" s="708"/>
      <c r="I40" s="708"/>
      <c r="J40" s="708"/>
      <c r="K40" s="708"/>
      <c r="L40" s="708"/>
      <c r="M40" s="709"/>
    </row>
    <row r="41" spans="1:13" ht="11.85" customHeight="1">
      <c r="A41" s="832" t="s">
        <v>987</v>
      </c>
      <c r="B41" s="833"/>
      <c r="C41" s="550" t="s">
        <v>656</v>
      </c>
      <c r="D41" s="707" t="s">
        <v>656</v>
      </c>
      <c r="E41" s="708"/>
      <c r="F41" s="708"/>
      <c r="G41" s="708"/>
      <c r="H41" s="708"/>
      <c r="I41" s="708"/>
      <c r="J41" s="708"/>
      <c r="K41" s="708"/>
      <c r="L41" s="708"/>
      <c r="M41" s="709"/>
    </row>
    <row r="42" spans="1:13" ht="11.85" customHeight="1">
      <c r="A42" s="832" t="s">
        <v>988</v>
      </c>
      <c r="B42" s="833"/>
      <c r="C42" s="550" t="s">
        <v>656</v>
      </c>
      <c r="D42" s="707" t="s">
        <v>656</v>
      </c>
      <c r="E42" s="708"/>
      <c r="F42" s="708"/>
      <c r="G42" s="708"/>
      <c r="H42" s="708"/>
      <c r="I42" s="708"/>
      <c r="J42" s="708"/>
      <c r="K42" s="708"/>
      <c r="L42" s="708"/>
      <c r="M42" s="709"/>
    </row>
    <row r="43" spans="1:13" ht="11.1" customHeight="1">
      <c r="A43" s="832" t="s">
        <v>855</v>
      </c>
      <c r="B43" s="833"/>
      <c r="C43" s="550" t="s">
        <v>1340</v>
      </c>
      <c r="D43" s="707" t="s">
        <v>2284</v>
      </c>
      <c r="E43" s="708"/>
      <c r="F43" s="708"/>
      <c r="G43" s="708"/>
      <c r="H43" s="708"/>
      <c r="I43" s="708"/>
      <c r="J43" s="708"/>
      <c r="K43" s="708"/>
      <c r="L43" s="708"/>
      <c r="M43" s="709"/>
    </row>
    <row r="44" spans="1:13" ht="11.85" customHeight="1">
      <c r="A44" s="832" t="s">
        <v>989</v>
      </c>
      <c r="B44" s="833"/>
      <c r="C44" s="550" t="s">
        <v>1397</v>
      </c>
      <c r="D44" s="707" t="s">
        <v>2284</v>
      </c>
      <c r="E44" s="708"/>
      <c r="F44" s="708"/>
      <c r="G44" s="708"/>
      <c r="H44" s="708"/>
      <c r="I44" s="708"/>
      <c r="J44" s="708"/>
      <c r="K44" s="708"/>
      <c r="L44" s="708"/>
      <c r="M44" s="709"/>
    </row>
    <row r="45" spans="1:13" ht="11.85" customHeight="1">
      <c r="A45" s="832" t="s">
        <v>990</v>
      </c>
      <c r="B45" s="833"/>
      <c r="C45" s="550" t="s">
        <v>1398</v>
      </c>
      <c r="D45" s="707" t="s">
        <v>656</v>
      </c>
      <c r="E45" s="708"/>
      <c r="F45" s="708"/>
      <c r="G45" s="708"/>
      <c r="H45" s="708"/>
      <c r="I45" s="708"/>
      <c r="J45" s="708"/>
      <c r="K45" s="708"/>
      <c r="L45" s="708"/>
      <c r="M45" s="709"/>
    </row>
    <row r="46" spans="1:13" ht="11.85" customHeight="1">
      <c r="A46" s="832" t="s">
        <v>856</v>
      </c>
      <c r="B46" s="833"/>
      <c r="C46" s="550" t="s">
        <v>1341</v>
      </c>
      <c r="D46" s="707" t="s">
        <v>2295</v>
      </c>
      <c r="E46" s="708"/>
      <c r="F46" s="708"/>
      <c r="G46" s="708"/>
      <c r="H46" s="708"/>
      <c r="I46" s="708"/>
      <c r="J46" s="708"/>
      <c r="K46" s="708"/>
      <c r="L46" s="708"/>
      <c r="M46" s="709"/>
    </row>
    <row r="47" spans="1:13" ht="11.1" customHeight="1">
      <c r="A47" s="832" t="s">
        <v>991</v>
      </c>
      <c r="B47" s="833"/>
      <c r="C47" s="550" t="s">
        <v>656</v>
      </c>
      <c r="D47" s="707" t="s">
        <v>656</v>
      </c>
      <c r="E47" s="708"/>
      <c r="F47" s="708"/>
      <c r="G47" s="708"/>
      <c r="H47" s="708"/>
      <c r="I47" s="708"/>
      <c r="J47" s="708"/>
      <c r="K47" s="708"/>
      <c r="L47" s="708"/>
      <c r="M47" s="709"/>
    </row>
    <row r="48" spans="1:13" ht="11.85" customHeight="1">
      <c r="A48" s="832" t="s">
        <v>992</v>
      </c>
      <c r="B48" s="833"/>
      <c r="C48" s="550" t="s">
        <v>1341</v>
      </c>
      <c r="D48" s="707" t="s">
        <v>2295</v>
      </c>
      <c r="E48" s="708"/>
      <c r="F48" s="708"/>
      <c r="G48" s="708"/>
      <c r="H48" s="708"/>
      <c r="I48" s="708"/>
      <c r="J48" s="708"/>
      <c r="K48" s="708"/>
      <c r="L48" s="708"/>
      <c r="M48" s="709"/>
    </row>
    <row r="49" spans="1:13" ht="11.85" customHeight="1">
      <c r="A49" s="849" t="s">
        <v>993</v>
      </c>
      <c r="B49" s="850"/>
      <c r="C49" s="553" t="s">
        <v>1399</v>
      </c>
      <c r="D49" s="722" t="s">
        <v>2667</v>
      </c>
      <c r="E49" s="724"/>
      <c r="F49" s="724"/>
      <c r="G49" s="724"/>
      <c r="H49" s="724"/>
      <c r="I49" s="724"/>
      <c r="J49" s="724"/>
      <c r="K49" s="724"/>
      <c r="L49" s="724"/>
      <c r="M49" s="723"/>
    </row>
    <row r="50" spans="1:13" ht="11.85" customHeight="1">
      <c r="A50" s="851" t="s">
        <v>994</v>
      </c>
      <c r="B50" s="852"/>
      <c r="C50" s="568" t="s">
        <v>2668</v>
      </c>
      <c r="D50" s="829" t="s">
        <v>2669</v>
      </c>
      <c r="E50" s="830"/>
      <c r="F50" s="830"/>
      <c r="G50" s="830"/>
      <c r="H50" s="830"/>
      <c r="I50" s="830"/>
      <c r="J50" s="830"/>
      <c r="K50" s="830"/>
      <c r="L50" s="830"/>
      <c r="M50" s="831"/>
    </row>
    <row r="51" spans="1:13" ht="5.85" customHeight="1">
      <c r="A51" s="468"/>
      <c r="B51" s="468"/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</row>
    <row r="52" spans="1:13" ht="11.1" customHeight="1">
      <c r="A52" s="734" t="s">
        <v>995</v>
      </c>
      <c r="B52" s="812"/>
      <c r="C52" s="840" t="s">
        <v>713</v>
      </c>
      <c r="D52" s="823" t="s">
        <v>1384</v>
      </c>
      <c r="E52" s="824"/>
      <c r="F52" s="824"/>
      <c r="G52" s="824"/>
      <c r="H52" s="824"/>
      <c r="I52" s="824"/>
      <c r="J52" s="824"/>
      <c r="K52" s="824"/>
      <c r="L52" s="824"/>
      <c r="M52" s="825"/>
    </row>
    <row r="53" spans="1:13" ht="17.850000000000001" customHeight="1">
      <c r="A53" s="813"/>
      <c r="B53" s="814"/>
      <c r="C53" s="841"/>
      <c r="D53" s="840" t="s">
        <v>714</v>
      </c>
      <c r="E53" s="842"/>
      <c r="F53" s="840" t="s">
        <v>715</v>
      </c>
      <c r="G53" s="846" t="s">
        <v>716</v>
      </c>
      <c r="H53" s="842"/>
      <c r="I53" s="846" t="s">
        <v>996</v>
      </c>
      <c r="J53" s="842"/>
      <c r="K53" s="840" t="s">
        <v>997</v>
      </c>
      <c r="L53" s="847"/>
      <c r="M53" s="848"/>
    </row>
    <row r="54" spans="1:13" ht="5.85" customHeight="1">
      <c r="A54" s="813"/>
      <c r="B54" s="814"/>
      <c r="C54" s="841"/>
      <c r="D54" s="843"/>
      <c r="E54" s="844"/>
      <c r="F54" s="841"/>
      <c r="G54" s="843"/>
      <c r="H54" s="844"/>
      <c r="I54" s="843"/>
      <c r="J54" s="844"/>
      <c r="K54" s="840" t="s">
        <v>773</v>
      </c>
      <c r="L54" s="842"/>
      <c r="M54" s="840" t="s">
        <v>998</v>
      </c>
    </row>
    <row r="55" spans="1:13" ht="5.85" customHeight="1">
      <c r="A55" s="815"/>
      <c r="B55" s="806"/>
      <c r="C55" s="836"/>
      <c r="D55" s="845"/>
      <c r="E55" s="837"/>
      <c r="F55" s="836"/>
      <c r="G55" s="836" t="s">
        <v>733</v>
      </c>
      <c r="H55" s="837"/>
      <c r="I55" s="836" t="s">
        <v>734</v>
      </c>
      <c r="J55" s="837"/>
      <c r="K55" s="845"/>
      <c r="L55" s="837"/>
      <c r="M55" s="836"/>
    </row>
    <row r="56" spans="1:13" ht="11.1" customHeight="1">
      <c r="A56" s="838" t="s">
        <v>999</v>
      </c>
      <c r="B56" s="839"/>
      <c r="C56" s="564" t="s">
        <v>2323</v>
      </c>
      <c r="D56" s="704" t="s">
        <v>2325</v>
      </c>
      <c r="E56" s="706"/>
      <c r="F56" s="564" t="s">
        <v>2328</v>
      </c>
      <c r="G56" s="704" t="s">
        <v>2330</v>
      </c>
      <c r="H56" s="706"/>
      <c r="I56" s="704" t="s">
        <v>2670</v>
      </c>
      <c r="J56" s="706"/>
      <c r="K56" s="835" t="s">
        <v>2671</v>
      </c>
      <c r="L56" s="705"/>
      <c r="M56" s="565" t="s">
        <v>2672</v>
      </c>
    </row>
    <row r="57" spans="1:13" ht="11.85" customHeight="1">
      <c r="A57" s="832" t="s">
        <v>957</v>
      </c>
      <c r="B57" s="833"/>
      <c r="C57" s="550" t="s">
        <v>2332</v>
      </c>
      <c r="D57" s="707" t="s">
        <v>2334</v>
      </c>
      <c r="E57" s="709"/>
      <c r="F57" s="550" t="s">
        <v>2337</v>
      </c>
      <c r="G57" s="707" t="s">
        <v>2339</v>
      </c>
      <c r="H57" s="709"/>
      <c r="I57" s="707" t="s">
        <v>2673</v>
      </c>
      <c r="J57" s="709"/>
      <c r="K57" s="834" t="s">
        <v>656</v>
      </c>
      <c r="L57" s="708"/>
      <c r="M57" s="551" t="s">
        <v>656</v>
      </c>
    </row>
    <row r="58" spans="1:13" ht="11.85" customHeight="1">
      <c r="A58" s="832" t="s">
        <v>1000</v>
      </c>
      <c r="B58" s="833"/>
      <c r="C58" s="550" t="s">
        <v>2341</v>
      </c>
      <c r="D58" s="707" t="s">
        <v>2342</v>
      </c>
      <c r="E58" s="709"/>
      <c r="F58" s="550" t="s">
        <v>2342</v>
      </c>
      <c r="G58" s="707" t="s">
        <v>2342</v>
      </c>
      <c r="H58" s="709"/>
      <c r="I58" s="707" t="s">
        <v>656</v>
      </c>
      <c r="J58" s="709"/>
      <c r="K58" s="834" t="s">
        <v>656</v>
      </c>
      <c r="L58" s="708"/>
      <c r="M58" s="551" t="s">
        <v>656</v>
      </c>
    </row>
    <row r="59" spans="1:13" ht="11.85" customHeight="1">
      <c r="A59" s="832" t="s">
        <v>1001</v>
      </c>
      <c r="B59" s="833"/>
      <c r="C59" s="550" t="s">
        <v>2345</v>
      </c>
      <c r="D59" s="707" t="s">
        <v>2347</v>
      </c>
      <c r="E59" s="709"/>
      <c r="F59" s="550" t="s">
        <v>2350</v>
      </c>
      <c r="G59" s="707" t="s">
        <v>2352</v>
      </c>
      <c r="H59" s="709"/>
      <c r="I59" s="707" t="s">
        <v>2674</v>
      </c>
      <c r="J59" s="709"/>
      <c r="K59" s="834" t="s">
        <v>2671</v>
      </c>
      <c r="L59" s="708"/>
      <c r="M59" s="551" t="s">
        <v>2672</v>
      </c>
    </row>
    <row r="60" spans="1:13" ht="11.1" customHeight="1">
      <c r="A60" s="832" t="s">
        <v>1002</v>
      </c>
      <c r="B60" s="833"/>
      <c r="C60" s="550" t="s">
        <v>2675</v>
      </c>
      <c r="D60" s="707" t="s">
        <v>2676</v>
      </c>
      <c r="E60" s="709"/>
      <c r="F60" s="550" t="s">
        <v>2677</v>
      </c>
      <c r="G60" s="707" t="s">
        <v>2678</v>
      </c>
      <c r="H60" s="709"/>
      <c r="I60" s="707" t="s">
        <v>2670</v>
      </c>
      <c r="J60" s="709"/>
      <c r="K60" s="834" t="s">
        <v>2671</v>
      </c>
      <c r="L60" s="708"/>
      <c r="M60" s="551" t="s">
        <v>2672</v>
      </c>
    </row>
    <row r="61" spans="1:13" ht="11.85" customHeight="1">
      <c r="A61" s="832" t="s">
        <v>1003</v>
      </c>
      <c r="B61" s="833"/>
      <c r="C61" s="550" t="s">
        <v>2354</v>
      </c>
      <c r="D61" s="707" t="s">
        <v>2356</v>
      </c>
      <c r="E61" s="709"/>
      <c r="F61" s="550" t="s">
        <v>2359</v>
      </c>
      <c r="G61" s="707" t="s">
        <v>2361</v>
      </c>
      <c r="H61" s="709"/>
      <c r="I61" s="707" t="s">
        <v>1400</v>
      </c>
      <c r="J61" s="709"/>
      <c r="K61" s="834" t="s">
        <v>2679</v>
      </c>
      <c r="L61" s="708"/>
      <c r="M61" s="551" t="s">
        <v>2680</v>
      </c>
    </row>
    <row r="62" spans="1:13" ht="11.85" customHeight="1">
      <c r="A62" s="832" t="s">
        <v>321</v>
      </c>
      <c r="B62" s="833"/>
      <c r="C62" s="550" t="s">
        <v>2363</v>
      </c>
      <c r="D62" s="707" t="s">
        <v>2356</v>
      </c>
      <c r="E62" s="709"/>
      <c r="F62" s="550" t="s">
        <v>2359</v>
      </c>
      <c r="G62" s="707" t="s">
        <v>2361</v>
      </c>
      <c r="H62" s="709"/>
      <c r="I62" s="707" t="s">
        <v>1400</v>
      </c>
      <c r="J62" s="709"/>
      <c r="K62" s="834" t="s">
        <v>2681</v>
      </c>
      <c r="L62" s="708"/>
      <c r="M62" s="551" t="s">
        <v>2682</v>
      </c>
    </row>
    <row r="63" spans="1:13" ht="11.85" customHeight="1">
      <c r="A63" s="832" t="s">
        <v>687</v>
      </c>
      <c r="B63" s="833"/>
      <c r="C63" s="550" t="s">
        <v>1401</v>
      </c>
      <c r="D63" s="707" t="s">
        <v>656</v>
      </c>
      <c r="E63" s="709"/>
      <c r="F63" s="550" t="s">
        <v>656</v>
      </c>
      <c r="G63" s="707" t="s">
        <v>656</v>
      </c>
      <c r="H63" s="709"/>
      <c r="I63" s="707" t="s">
        <v>656</v>
      </c>
      <c r="J63" s="709"/>
      <c r="K63" s="834" t="s">
        <v>656</v>
      </c>
      <c r="L63" s="708"/>
      <c r="M63" s="551" t="s">
        <v>656</v>
      </c>
    </row>
    <row r="64" spans="1:13" ht="11.1" customHeight="1">
      <c r="A64" s="832" t="s">
        <v>1004</v>
      </c>
      <c r="B64" s="833"/>
      <c r="C64" s="550" t="s">
        <v>1005</v>
      </c>
      <c r="D64" s="707" t="s">
        <v>656</v>
      </c>
      <c r="E64" s="709"/>
      <c r="F64" s="550" t="s">
        <v>656</v>
      </c>
      <c r="G64" s="707" t="s">
        <v>656</v>
      </c>
      <c r="H64" s="709"/>
      <c r="I64" s="707" t="s">
        <v>656</v>
      </c>
      <c r="J64" s="709"/>
      <c r="K64" s="834" t="s">
        <v>656</v>
      </c>
      <c r="L64" s="708"/>
      <c r="M64" s="551" t="s">
        <v>656</v>
      </c>
    </row>
    <row r="65" spans="1:13" ht="11.85" customHeight="1">
      <c r="A65" s="832" t="s">
        <v>1006</v>
      </c>
      <c r="B65" s="833"/>
      <c r="C65" s="550" t="s">
        <v>656</v>
      </c>
      <c r="D65" s="707" t="s">
        <v>656</v>
      </c>
      <c r="E65" s="709"/>
      <c r="F65" s="550" t="s">
        <v>656</v>
      </c>
      <c r="G65" s="707" t="s">
        <v>656</v>
      </c>
      <c r="H65" s="709"/>
      <c r="I65" s="707" t="s">
        <v>656</v>
      </c>
      <c r="J65" s="709"/>
      <c r="K65" s="834" t="s">
        <v>656</v>
      </c>
      <c r="L65" s="708"/>
      <c r="M65" s="551" t="s">
        <v>656</v>
      </c>
    </row>
    <row r="66" spans="1:13" ht="11.85" customHeight="1">
      <c r="A66" s="832" t="s">
        <v>1007</v>
      </c>
      <c r="B66" s="833"/>
      <c r="C66" s="550" t="s">
        <v>656</v>
      </c>
      <c r="D66" s="707" t="s">
        <v>656</v>
      </c>
      <c r="E66" s="709"/>
      <c r="F66" s="550" t="s">
        <v>656</v>
      </c>
      <c r="G66" s="707" t="s">
        <v>656</v>
      </c>
      <c r="H66" s="709"/>
      <c r="I66" s="707" t="s">
        <v>656</v>
      </c>
      <c r="J66" s="709"/>
      <c r="K66" s="834" t="s">
        <v>656</v>
      </c>
      <c r="L66" s="708"/>
      <c r="M66" s="551" t="s">
        <v>656</v>
      </c>
    </row>
    <row r="67" spans="1:13" ht="11.85" customHeight="1">
      <c r="A67" s="832" t="s">
        <v>1008</v>
      </c>
      <c r="B67" s="833"/>
      <c r="C67" s="550" t="s">
        <v>1402</v>
      </c>
      <c r="D67" s="707" t="s">
        <v>656</v>
      </c>
      <c r="E67" s="709"/>
      <c r="F67" s="550" t="s">
        <v>656</v>
      </c>
      <c r="G67" s="707" t="s">
        <v>656</v>
      </c>
      <c r="H67" s="709"/>
      <c r="I67" s="707" t="s">
        <v>656</v>
      </c>
      <c r="J67" s="709"/>
      <c r="K67" s="834" t="s">
        <v>656</v>
      </c>
      <c r="L67" s="708"/>
      <c r="M67" s="551" t="s">
        <v>656</v>
      </c>
    </row>
    <row r="68" spans="1:13" ht="11.1" customHeight="1">
      <c r="A68" s="832" t="s">
        <v>1009</v>
      </c>
      <c r="B68" s="833"/>
      <c r="C68" s="550" t="s">
        <v>2368</v>
      </c>
      <c r="D68" s="707" t="s">
        <v>656</v>
      </c>
      <c r="E68" s="709"/>
      <c r="F68" s="550" t="s">
        <v>656</v>
      </c>
      <c r="G68" s="707" t="s">
        <v>656</v>
      </c>
      <c r="H68" s="709"/>
      <c r="I68" s="707" t="s">
        <v>656</v>
      </c>
      <c r="J68" s="709"/>
      <c r="K68" s="834" t="s">
        <v>1403</v>
      </c>
      <c r="L68" s="708"/>
      <c r="M68" s="551" t="s">
        <v>1403</v>
      </c>
    </row>
    <row r="69" spans="1:13" ht="11.85" customHeight="1">
      <c r="A69" s="832" t="s">
        <v>1010</v>
      </c>
      <c r="B69" s="833"/>
      <c r="C69" s="550" t="s">
        <v>2683</v>
      </c>
      <c r="D69" s="707" t="s">
        <v>2356</v>
      </c>
      <c r="E69" s="709"/>
      <c r="F69" s="550" t="s">
        <v>2359</v>
      </c>
      <c r="G69" s="707" t="s">
        <v>2361</v>
      </c>
      <c r="H69" s="709"/>
      <c r="I69" s="707" t="s">
        <v>1400</v>
      </c>
      <c r="J69" s="709"/>
      <c r="K69" s="834" t="s">
        <v>2681</v>
      </c>
      <c r="L69" s="708"/>
      <c r="M69" s="551" t="s">
        <v>2682</v>
      </c>
    </row>
    <row r="70" spans="1:13" ht="8.85" customHeight="1"/>
    <row r="71" spans="1:13" ht="11.85" customHeight="1">
      <c r="A71" s="739" t="s">
        <v>2684</v>
      </c>
      <c r="B71" s="739"/>
      <c r="C71" s="739"/>
      <c r="D71" s="739"/>
      <c r="E71" s="739"/>
      <c r="F71" s="739"/>
      <c r="G71" s="739"/>
      <c r="H71" s="739"/>
      <c r="I71" s="739"/>
      <c r="J71" s="739"/>
      <c r="K71" s="739"/>
      <c r="L71" s="739"/>
      <c r="M71" s="739"/>
    </row>
    <row r="72" spans="1:13" ht="11.85" customHeight="1">
      <c r="A72" s="717" t="s">
        <v>661</v>
      </c>
      <c r="B72" s="717"/>
      <c r="C72" s="717"/>
      <c r="D72" s="717"/>
      <c r="L72" s="859" t="s">
        <v>1011</v>
      </c>
      <c r="M72" s="859"/>
    </row>
    <row r="73" spans="1:13" ht="11.1" customHeight="1">
      <c r="A73" s="717" t="s">
        <v>655</v>
      </c>
      <c r="B73" s="717"/>
      <c r="C73" s="717"/>
      <c r="D73" s="717"/>
    </row>
    <row r="74" spans="1:13" ht="11.85" customHeight="1">
      <c r="A74" s="740" t="s">
        <v>972</v>
      </c>
      <c r="B74" s="740"/>
      <c r="C74" s="740"/>
      <c r="D74" s="740"/>
    </row>
    <row r="75" spans="1:13" ht="11.85" customHeight="1">
      <c r="A75" s="717" t="s">
        <v>660</v>
      </c>
      <c r="B75" s="717"/>
      <c r="C75" s="717"/>
      <c r="D75" s="717"/>
    </row>
    <row r="76" spans="1:13" ht="11.85" customHeight="1">
      <c r="A76" s="717" t="s">
        <v>1744</v>
      </c>
      <c r="B76" s="717"/>
      <c r="C76" s="717"/>
      <c r="D76" s="717"/>
    </row>
    <row r="77" spans="1:13" ht="5.85" customHeight="1"/>
    <row r="78" spans="1:13" ht="11.1" customHeight="1">
      <c r="A78" s="849" t="s">
        <v>1012</v>
      </c>
      <c r="B78" s="850"/>
      <c r="C78" s="553" t="s">
        <v>1404</v>
      </c>
      <c r="D78" s="722" t="s">
        <v>656</v>
      </c>
      <c r="E78" s="723"/>
      <c r="F78" s="553" t="s">
        <v>656</v>
      </c>
      <c r="G78" s="722" t="s">
        <v>656</v>
      </c>
      <c r="H78" s="723"/>
      <c r="I78" s="722" t="s">
        <v>656</v>
      </c>
      <c r="J78" s="723"/>
      <c r="K78" s="860" t="s">
        <v>656</v>
      </c>
      <c r="L78" s="724"/>
      <c r="M78" s="554" t="s">
        <v>656</v>
      </c>
    </row>
    <row r="79" spans="1:13" ht="11.85" customHeight="1">
      <c r="A79" s="851" t="s">
        <v>1013</v>
      </c>
      <c r="B79" s="852"/>
      <c r="C79" s="568" t="s">
        <v>2685</v>
      </c>
      <c r="D79" s="829" t="s">
        <v>2686</v>
      </c>
      <c r="E79" s="831"/>
      <c r="F79" s="568" t="s">
        <v>2687</v>
      </c>
      <c r="G79" s="829" t="s">
        <v>2688</v>
      </c>
      <c r="H79" s="831"/>
      <c r="I79" s="829" t="s">
        <v>2689</v>
      </c>
      <c r="J79" s="831"/>
      <c r="K79" s="829" t="s">
        <v>2690</v>
      </c>
      <c r="L79" s="831"/>
      <c r="M79" s="568" t="s">
        <v>2691</v>
      </c>
    </row>
    <row r="80" spans="1:13" ht="5.85" customHeight="1">
      <c r="A80" s="810"/>
      <c r="B80" s="773"/>
      <c r="C80" s="773"/>
      <c r="D80" s="773"/>
      <c r="E80" s="773"/>
      <c r="F80" s="773"/>
      <c r="G80" s="773"/>
      <c r="H80" s="773"/>
      <c r="I80" s="773"/>
      <c r="J80" s="773"/>
      <c r="K80" s="773"/>
      <c r="L80" s="773"/>
      <c r="M80" s="811"/>
    </row>
    <row r="81" spans="1:13" ht="17.850000000000001" customHeight="1">
      <c r="A81" s="794" t="s">
        <v>1014</v>
      </c>
      <c r="B81" s="795"/>
      <c r="C81" s="829" t="s">
        <v>2692</v>
      </c>
      <c r="D81" s="830"/>
      <c r="E81" s="830"/>
      <c r="F81" s="830"/>
      <c r="G81" s="830"/>
      <c r="H81" s="830"/>
      <c r="I81" s="830"/>
      <c r="J81" s="830"/>
      <c r="K81" s="830"/>
      <c r="L81" s="830"/>
      <c r="M81" s="831"/>
    </row>
    <row r="82" spans="1:13" ht="5.0999999999999996" customHeight="1">
      <c r="A82" s="468"/>
      <c r="B82" s="468"/>
      <c r="C82" s="468"/>
      <c r="D82" s="468"/>
      <c r="E82" s="468"/>
      <c r="F82" s="468"/>
      <c r="G82" s="468"/>
      <c r="H82" s="468"/>
      <c r="I82" s="468"/>
      <c r="J82" s="468"/>
      <c r="K82" s="468"/>
      <c r="L82" s="468"/>
      <c r="M82" s="468"/>
    </row>
    <row r="83" spans="1:13" ht="11.85" customHeight="1">
      <c r="A83" s="734" t="s">
        <v>1015</v>
      </c>
      <c r="B83" s="736"/>
      <c r="C83" s="823" t="s">
        <v>1016</v>
      </c>
      <c r="D83" s="824"/>
      <c r="E83" s="824"/>
      <c r="F83" s="824"/>
      <c r="G83" s="824"/>
      <c r="H83" s="824"/>
      <c r="I83" s="824"/>
      <c r="J83" s="824"/>
      <c r="K83" s="824"/>
      <c r="L83" s="824"/>
      <c r="M83" s="825"/>
    </row>
    <row r="84" spans="1:13" ht="15.6" customHeight="1">
      <c r="A84" s="818" t="s">
        <v>1017</v>
      </c>
      <c r="B84" s="819"/>
      <c r="C84" s="820" t="s">
        <v>656</v>
      </c>
      <c r="D84" s="821"/>
      <c r="E84" s="821"/>
      <c r="F84" s="821"/>
      <c r="G84" s="821"/>
      <c r="H84" s="821"/>
      <c r="I84" s="821"/>
      <c r="J84" s="821"/>
      <c r="K84" s="821"/>
      <c r="L84" s="821"/>
      <c r="M84" s="822"/>
    </row>
    <row r="85" spans="1:13" ht="6.6" customHeight="1">
      <c r="A85" s="468"/>
      <c r="B85" s="468"/>
      <c r="C85" s="468"/>
      <c r="D85" s="468"/>
      <c r="E85" s="468"/>
      <c r="F85" s="468"/>
      <c r="G85" s="468"/>
      <c r="H85" s="468"/>
      <c r="I85" s="468"/>
      <c r="J85" s="468"/>
      <c r="K85" s="468"/>
      <c r="L85" s="468"/>
      <c r="M85" s="468"/>
    </row>
    <row r="86" spans="1:13" ht="5.85" customHeight="1">
      <c r="A86" s="734" t="s">
        <v>1018</v>
      </c>
      <c r="B86" s="812"/>
      <c r="C86" s="823" t="s">
        <v>1384</v>
      </c>
      <c r="D86" s="824"/>
      <c r="E86" s="824"/>
      <c r="F86" s="824"/>
      <c r="G86" s="824"/>
      <c r="H86" s="824"/>
      <c r="I86" s="824"/>
      <c r="J86" s="824"/>
      <c r="K86" s="824"/>
      <c r="L86" s="824"/>
      <c r="M86" s="825"/>
    </row>
    <row r="87" spans="1:13" ht="11.85" customHeight="1">
      <c r="A87" s="815"/>
      <c r="B87" s="806"/>
      <c r="C87" s="823" t="s">
        <v>1019</v>
      </c>
      <c r="D87" s="824"/>
      <c r="E87" s="824"/>
      <c r="F87" s="824"/>
      <c r="G87" s="824"/>
      <c r="H87" s="824"/>
      <c r="I87" s="824"/>
      <c r="J87" s="824"/>
      <c r="K87" s="824"/>
      <c r="L87" s="824"/>
      <c r="M87" s="825"/>
    </row>
    <row r="88" spans="1:13" ht="11.85" customHeight="1">
      <c r="A88" s="799" t="s">
        <v>1020</v>
      </c>
      <c r="B88" s="800"/>
      <c r="C88" s="704" t="s">
        <v>2693</v>
      </c>
      <c r="D88" s="705"/>
      <c r="E88" s="705"/>
      <c r="F88" s="705"/>
      <c r="G88" s="705"/>
      <c r="H88" s="705"/>
      <c r="I88" s="705"/>
      <c r="J88" s="705"/>
      <c r="K88" s="705"/>
      <c r="L88" s="705"/>
      <c r="M88" s="706"/>
    </row>
    <row r="89" spans="1:13" ht="11.1" customHeight="1">
      <c r="A89" s="792" t="s">
        <v>1021</v>
      </c>
      <c r="B89" s="793"/>
      <c r="C89" s="722" t="s">
        <v>2342</v>
      </c>
      <c r="D89" s="724"/>
      <c r="E89" s="724"/>
      <c r="F89" s="724"/>
      <c r="G89" s="724"/>
      <c r="H89" s="724"/>
      <c r="I89" s="724"/>
      <c r="J89" s="724"/>
      <c r="K89" s="724"/>
      <c r="L89" s="724"/>
      <c r="M89" s="723"/>
    </row>
    <row r="90" spans="1:13" ht="5.85" customHeight="1">
      <c r="A90" s="810"/>
      <c r="B90" s="773"/>
      <c r="C90" s="773"/>
      <c r="D90" s="773"/>
      <c r="E90" s="773"/>
      <c r="F90" s="773"/>
      <c r="G90" s="773"/>
      <c r="H90" s="773"/>
      <c r="I90" s="773"/>
      <c r="J90" s="773"/>
      <c r="K90" s="773"/>
      <c r="L90" s="773"/>
      <c r="M90" s="811"/>
    </row>
    <row r="91" spans="1:13" ht="17.850000000000001" customHeight="1">
      <c r="A91" s="794" t="s">
        <v>1022</v>
      </c>
      <c r="B91" s="795"/>
      <c r="C91" s="829" t="s">
        <v>2694</v>
      </c>
      <c r="D91" s="830"/>
      <c r="E91" s="830"/>
      <c r="F91" s="830"/>
      <c r="G91" s="830"/>
      <c r="H91" s="830"/>
      <c r="I91" s="830"/>
      <c r="J91" s="830"/>
      <c r="K91" s="830"/>
      <c r="L91" s="830"/>
      <c r="M91" s="831"/>
    </row>
    <row r="92" spans="1:13" ht="5.85" customHeight="1">
      <c r="A92" s="810"/>
      <c r="B92" s="773"/>
      <c r="C92" s="773"/>
      <c r="D92" s="773"/>
      <c r="E92" s="773"/>
      <c r="F92" s="773"/>
      <c r="G92" s="773"/>
      <c r="H92" s="773"/>
      <c r="I92" s="773"/>
      <c r="J92" s="773"/>
      <c r="K92" s="773"/>
      <c r="L92" s="773"/>
      <c r="M92" s="811"/>
    </row>
    <row r="93" spans="1:13" ht="11.1" customHeight="1">
      <c r="A93" s="734" t="s">
        <v>1023</v>
      </c>
      <c r="B93" s="736"/>
      <c r="C93" s="823" t="s">
        <v>1016</v>
      </c>
      <c r="D93" s="824"/>
      <c r="E93" s="824"/>
      <c r="F93" s="824"/>
      <c r="G93" s="824"/>
      <c r="H93" s="824"/>
      <c r="I93" s="824"/>
      <c r="J93" s="824"/>
      <c r="K93" s="824"/>
      <c r="L93" s="824"/>
      <c r="M93" s="825"/>
    </row>
    <row r="94" spans="1:13" ht="15.6" customHeight="1">
      <c r="A94" s="818" t="s">
        <v>1017</v>
      </c>
      <c r="B94" s="819"/>
      <c r="C94" s="826" t="s">
        <v>656</v>
      </c>
      <c r="D94" s="827"/>
      <c r="E94" s="827"/>
      <c r="F94" s="827"/>
      <c r="G94" s="827"/>
      <c r="H94" s="827"/>
      <c r="I94" s="827"/>
      <c r="J94" s="827"/>
      <c r="K94" s="827"/>
      <c r="L94" s="827"/>
      <c r="M94" s="828"/>
    </row>
    <row r="95" spans="1:13" ht="8.1" customHeight="1">
      <c r="A95" s="810"/>
      <c r="B95" s="773"/>
      <c r="C95" s="773"/>
      <c r="D95" s="773"/>
      <c r="E95" s="773"/>
      <c r="F95" s="773"/>
      <c r="G95" s="773"/>
      <c r="H95" s="773"/>
      <c r="I95" s="773"/>
      <c r="J95" s="773"/>
      <c r="K95" s="773"/>
      <c r="L95" s="773"/>
      <c r="M95" s="811"/>
    </row>
    <row r="96" spans="1:13" ht="11.85" customHeight="1">
      <c r="A96" s="734" t="s">
        <v>1024</v>
      </c>
      <c r="B96" s="735"/>
      <c r="C96" s="735"/>
      <c r="D96" s="735"/>
      <c r="E96" s="735"/>
      <c r="F96" s="735"/>
      <c r="G96" s="735"/>
      <c r="H96" s="735"/>
      <c r="I96" s="735"/>
      <c r="J96" s="735"/>
      <c r="K96" s="735"/>
      <c r="L96" s="735"/>
      <c r="M96" s="736"/>
    </row>
    <row r="97" spans="1:13" ht="11.1" customHeight="1">
      <c r="A97" s="734" t="s">
        <v>1025</v>
      </c>
      <c r="B97" s="812"/>
      <c r="C97" s="734" t="s">
        <v>1026</v>
      </c>
      <c r="D97" s="735"/>
      <c r="E97" s="735"/>
      <c r="F97" s="735"/>
      <c r="G97" s="735"/>
      <c r="H97" s="735"/>
      <c r="I97" s="735"/>
      <c r="J97" s="735"/>
      <c r="K97" s="735"/>
      <c r="L97" s="735"/>
      <c r="M97" s="736"/>
    </row>
    <row r="98" spans="1:13" ht="11.85" customHeight="1">
      <c r="A98" s="813"/>
      <c r="B98" s="814"/>
      <c r="C98" s="816" t="s">
        <v>1405</v>
      </c>
      <c r="D98" s="817"/>
      <c r="E98" s="817"/>
      <c r="F98" s="817"/>
      <c r="G98" s="812"/>
      <c r="H98" s="816" t="s">
        <v>2695</v>
      </c>
      <c r="I98" s="817"/>
      <c r="J98" s="817"/>
      <c r="K98" s="817"/>
      <c r="L98" s="817"/>
      <c r="M98" s="812"/>
    </row>
    <row r="99" spans="1:13" ht="11.85" customHeight="1">
      <c r="A99" s="815"/>
      <c r="B99" s="806"/>
      <c r="C99" s="804" t="s">
        <v>733</v>
      </c>
      <c r="D99" s="805"/>
      <c r="E99" s="805"/>
      <c r="F99" s="805"/>
      <c r="G99" s="806"/>
      <c r="H99" s="804" t="s">
        <v>734</v>
      </c>
      <c r="I99" s="805"/>
      <c r="J99" s="805"/>
      <c r="K99" s="805"/>
      <c r="L99" s="805"/>
      <c r="M99" s="806"/>
    </row>
    <row r="100" spans="1:13" ht="11.85" customHeight="1">
      <c r="A100" s="799" t="s">
        <v>1027</v>
      </c>
      <c r="B100" s="800"/>
      <c r="C100" s="704" t="s">
        <v>1028</v>
      </c>
      <c r="D100" s="705"/>
      <c r="E100" s="705"/>
      <c r="F100" s="705"/>
      <c r="G100" s="706"/>
      <c r="H100" s="807" t="s">
        <v>2696</v>
      </c>
      <c r="I100" s="808"/>
      <c r="J100" s="808"/>
      <c r="K100" s="808"/>
      <c r="L100" s="808"/>
      <c r="M100" s="809"/>
    </row>
    <row r="101" spans="1:13" ht="11.1" customHeight="1">
      <c r="A101" s="790" t="s">
        <v>1029</v>
      </c>
      <c r="B101" s="791"/>
      <c r="C101" s="707" t="s">
        <v>2697</v>
      </c>
      <c r="D101" s="708"/>
      <c r="E101" s="708"/>
      <c r="F101" s="708"/>
      <c r="G101" s="709"/>
      <c r="H101" s="796" t="s">
        <v>2698</v>
      </c>
      <c r="I101" s="797"/>
      <c r="J101" s="797"/>
      <c r="K101" s="797"/>
      <c r="L101" s="797"/>
      <c r="M101" s="798"/>
    </row>
    <row r="102" spans="1:13" ht="11.85" customHeight="1">
      <c r="A102" s="790" t="s">
        <v>1031</v>
      </c>
      <c r="B102" s="791"/>
      <c r="C102" s="707" t="s">
        <v>2699</v>
      </c>
      <c r="D102" s="708"/>
      <c r="E102" s="708"/>
      <c r="F102" s="708"/>
      <c r="G102" s="709"/>
      <c r="H102" s="796" t="s">
        <v>2700</v>
      </c>
      <c r="I102" s="797"/>
      <c r="J102" s="797"/>
      <c r="K102" s="797"/>
      <c r="L102" s="797"/>
      <c r="M102" s="798"/>
    </row>
    <row r="103" spans="1:13" ht="11.85" customHeight="1">
      <c r="A103" s="790" t="s">
        <v>1032</v>
      </c>
      <c r="B103" s="791"/>
      <c r="C103" s="707" t="s">
        <v>1033</v>
      </c>
      <c r="D103" s="708"/>
      <c r="E103" s="708"/>
      <c r="F103" s="708"/>
      <c r="G103" s="709"/>
      <c r="H103" s="796" t="s">
        <v>2701</v>
      </c>
      <c r="I103" s="797"/>
      <c r="J103" s="797"/>
      <c r="K103" s="797"/>
      <c r="L103" s="797"/>
      <c r="M103" s="798"/>
    </row>
    <row r="104" spans="1:13" ht="11.85" customHeight="1">
      <c r="A104" s="790" t="s">
        <v>1034</v>
      </c>
      <c r="B104" s="791"/>
      <c r="C104" s="707" t="s">
        <v>2702</v>
      </c>
      <c r="D104" s="708"/>
      <c r="E104" s="708"/>
      <c r="F104" s="708"/>
      <c r="G104" s="709"/>
      <c r="H104" s="796" t="s">
        <v>2703</v>
      </c>
      <c r="I104" s="797"/>
      <c r="J104" s="797"/>
      <c r="K104" s="797"/>
      <c r="L104" s="797"/>
      <c r="M104" s="798"/>
    </row>
    <row r="105" spans="1:13" ht="11.1" customHeight="1">
      <c r="A105" s="790" t="s">
        <v>1406</v>
      </c>
      <c r="B105" s="791"/>
      <c r="C105" s="707" t="s">
        <v>1407</v>
      </c>
      <c r="D105" s="708"/>
      <c r="E105" s="708"/>
      <c r="F105" s="708"/>
      <c r="G105" s="709"/>
      <c r="H105" s="796" t="s">
        <v>2704</v>
      </c>
      <c r="I105" s="797"/>
      <c r="J105" s="797"/>
      <c r="K105" s="797"/>
      <c r="L105" s="797"/>
      <c r="M105" s="798"/>
    </row>
    <row r="106" spans="1:13" ht="11.85" customHeight="1">
      <c r="A106" s="790" t="s">
        <v>1035</v>
      </c>
      <c r="B106" s="791"/>
      <c r="C106" s="707" t="s">
        <v>1030</v>
      </c>
      <c r="D106" s="708"/>
      <c r="E106" s="708"/>
      <c r="F106" s="708"/>
      <c r="G106" s="709"/>
      <c r="H106" s="796" t="s">
        <v>2705</v>
      </c>
      <c r="I106" s="797"/>
      <c r="J106" s="797"/>
      <c r="K106" s="797"/>
      <c r="L106" s="797"/>
      <c r="M106" s="798"/>
    </row>
    <row r="107" spans="1:13" ht="11.85" customHeight="1">
      <c r="A107" s="792" t="s">
        <v>1036</v>
      </c>
      <c r="B107" s="793"/>
      <c r="C107" s="722" t="s">
        <v>2706</v>
      </c>
      <c r="D107" s="724"/>
      <c r="E107" s="724"/>
      <c r="F107" s="724"/>
      <c r="G107" s="723"/>
      <c r="H107" s="801" t="s">
        <v>2707</v>
      </c>
      <c r="I107" s="802"/>
      <c r="J107" s="802"/>
      <c r="K107" s="802"/>
      <c r="L107" s="802"/>
      <c r="M107" s="803"/>
    </row>
    <row r="108" spans="1:13" ht="14.85" customHeight="1">
      <c r="A108" s="794" t="s">
        <v>1037</v>
      </c>
      <c r="B108" s="795"/>
      <c r="C108" s="861" t="s">
        <v>2708</v>
      </c>
      <c r="D108" s="862"/>
      <c r="E108" s="862"/>
      <c r="F108" s="862"/>
      <c r="G108" s="862"/>
      <c r="H108" s="862"/>
      <c r="I108" s="862"/>
      <c r="J108" s="862"/>
      <c r="K108" s="862"/>
      <c r="L108" s="862"/>
      <c r="M108" s="863"/>
    </row>
    <row r="109" spans="1:13" ht="5.85" customHeight="1">
      <c r="A109" s="468"/>
      <c r="B109" s="468"/>
      <c r="C109" s="468"/>
      <c r="D109" s="468"/>
      <c r="E109" s="468"/>
      <c r="F109" s="468"/>
      <c r="G109" s="468"/>
      <c r="H109" s="468"/>
      <c r="I109" s="468"/>
      <c r="J109" s="468"/>
      <c r="K109" s="468"/>
      <c r="L109" s="468"/>
      <c r="M109" s="468"/>
    </row>
    <row r="110" spans="1:13" ht="17.850000000000001" customHeight="1">
      <c r="A110" s="734" t="s">
        <v>1038</v>
      </c>
      <c r="B110" s="736"/>
      <c r="C110" s="734" t="s">
        <v>1384</v>
      </c>
      <c r="D110" s="735"/>
      <c r="E110" s="735"/>
      <c r="F110" s="735"/>
      <c r="G110" s="735"/>
      <c r="H110" s="735"/>
      <c r="I110" s="735"/>
      <c r="J110" s="735"/>
      <c r="K110" s="735"/>
      <c r="L110" s="735"/>
      <c r="M110" s="736"/>
    </row>
    <row r="111" spans="1:13" ht="11.85" customHeight="1">
      <c r="A111" s="799" t="s">
        <v>1039</v>
      </c>
      <c r="B111" s="800"/>
      <c r="C111" s="470"/>
      <c r="D111" s="469"/>
      <c r="E111" s="469"/>
      <c r="F111" s="469"/>
      <c r="G111" s="469"/>
      <c r="H111" s="706" t="s">
        <v>2709</v>
      </c>
      <c r="I111" s="705"/>
      <c r="J111" s="705"/>
      <c r="K111" s="705"/>
      <c r="L111" s="705"/>
      <c r="M111" s="706"/>
    </row>
    <row r="112" spans="1:13" ht="14.85" customHeight="1">
      <c r="A112" s="790" t="s">
        <v>1040</v>
      </c>
      <c r="B112" s="791"/>
      <c r="C112" s="467"/>
      <c r="H112" s="709" t="s">
        <v>656</v>
      </c>
      <c r="I112" s="708"/>
      <c r="J112" s="708"/>
      <c r="K112" s="708"/>
      <c r="L112" s="708"/>
      <c r="M112" s="709"/>
    </row>
    <row r="113" spans="1:13" ht="11.85" customHeight="1">
      <c r="A113" s="790" t="s">
        <v>1041</v>
      </c>
      <c r="B113" s="791"/>
      <c r="C113" s="467"/>
      <c r="H113" s="709" t="s">
        <v>656</v>
      </c>
      <c r="I113" s="708"/>
      <c r="J113" s="708"/>
      <c r="K113" s="708"/>
      <c r="L113" s="708"/>
      <c r="M113" s="709"/>
    </row>
    <row r="114" spans="1:13" ht="11.85" customHeight="1">
      <c r="A114" s="790" t="s">
        <v>1042</v>
      </c>
      <c r="B114" s="791"/>
      <c r="C114" s="467"/>
      <c r="H114" s="709" t="s">
        <v>656</v>
      </c>
      <c r="I114" s="708"/>
      <c r="J114" s="708"/>
      <c r="K114" s="708"/>
      <c r="L114" s="708"/>
      <c r="M114" s="709"/>
    </row>
    <row r="115" spans="1:13" ht="11.1" customHeight="1">
      <c r="A115" s="790" t="s">
        <v>1043</v>
      </c>
      <c r="B115" s="791"/>
      <c r="C115" s="467"/>
      <c r="H115" s="709" t="s">
        <v>656</v>
      </c>
      <c r="I115" s="708"/>
      <c r="J115" s="708"/>
      <c r="K115" s="708"/>
      <c r="L115" s="708"/>
      <c r="M115" s="709"/>
    </row>
    <row r="116" spans="1:13" ht="11.85" customHeight="1">
      <c r="A116" s="790" t="s">
        <v>1044</v>
      </c>
      <c r="B116" s="791"/>
      <c r="C116" s="467"/>
      <c r="H116" s="709" t="s">
        <v>656</v>
      </c>
      <c r="I116" s="708"/>
      <c r="J116" s="708"/>
      <c r="K116" s="708"/>
      <c r="L116" s="708"/>
      <c r="M116" s="709"/>
    </row>
    <row r="117" spans="1:13" ht="11.85" customHeight="1">
      <c r="A117" s="792" t="s">
        <v>1045</v>
      </c>
      <c r="B117" s="793"/>
      <c r="C117" s="471"/>
      <c r="D117" s="466"/>
      <c r="E117" s="466"/>
      <c r="F117" s="466"/>
      <c r="G117" s="466"/>
      <c r="H117" s="723" t="s">
        <v>656</v>
      </c>
      <c r="I117" s="724"/>
      <c r="J117" s="724"/>
      <c r="K117" s="724"/>
      <c r="L117" s="724"/>
      <c r="M117" s="723"/>
    </row>
    <row r="118" spans="1:13" ht="14.85" customHeight="1">
      <c r="A118" s="794" t="s">
        <v>1046</v>
      </c>
      <c r="B118" s="795"/>
      <c r="C118" s="861" t="s">
        <v>2710</v>
      </c>
      <c r="D118" s="862"/>
      <c r="E118" s="862"/>
      <c r="F118" s="862"/>
      <c r="G118" s="862"/>
      <c r="H118" s="862"/>
      <c r="I118" s="862"/>
      <c r="J118" s="862"/>
      <c r="K118" s="862"/>
      <c r="L118" s="862"/>
      <c r="M118" s="863"/>
    </row>
    <row r="119" spans="1:13" ht="11.85" customHeight="1">
      <c r="A119" s="810"/>
      <c r="B119" s="773"/>
      <c r="C119" s="773"/>
      <c r="D119" s="773"/>
      <c r="E119" s="773"/>
      <c r="F119" s="773"/>
      <c r="G119" s="773"/>
      <c r="H119" s="773"/>
      <c r="I119" s="773"/>
      <c r="J119" s="773"/>
      <c r="K119" s="773"/>
      <c r="L119" s="773"/>
      <c r="M119" s="811"/>
    </row>
    <row r="120" spans="1:13" ht="14.85" customHeight="1">
      <c r="A120" s="794" t="s">
        <v>1047</v>
      </c>
      <c r="B120" s="795"/>
      <c r="C120" s="861" t="s">
        <v>2711</v>
      </c>
      <c r="D120" s="862"/>
      <c r="E120" s="862"/>
      <c r="F120" s="862"/>
      <c r="G120" s="862"/>
      <c r="H120" s="862"/>
      <c r="I120" s="862"/>
      <c r="J120" s="862"/>
      <c r="K120" s="862"/>
      <c r="L120" s="862"/>
      <c r="M120" s="863"/>
    </row>
    <row r="121" spans="1:13" ht="5.85" customHeight="1">
      <c r="A121" s="468"/>
      <c r="B121" s="468"/>
      <c r="C121" s="468"/>
      <c r="D121" s="468"/>
      <c r="E121" s="468"/>
      <c r="F121" s="468"/>
      <c r="G121" s="468"/>
      <c r="H121" s="468"/>
      <c r="I121" s="468"/>
      <c r="J121" s="468"/>
      <c r="K121" s="468"/>
      <c r="L121" s="468"/>
      <c r="M121" s="468"/>
    </row>
    <row r="122" spans="1:13" ht="17.850000000000001" customHeight="1">
      <c r="A122" s="734" t="s">
        <v>1048</v>
      </c>
      <c r="B122" s="736"/>
      <c r="C122" s="823" t="s">
        <v>924</v>
      </c>
      <c r="D122" s="824"/>
      <c r="E122" s="824"/>
      <c r="F122" s="824"/>
      <c r="G122" s="824"/>
      <c r="H122" s="824"/>
      <c r="I122" s="824"/>
      <c r="J122" s="824"/>
      <c r="K122" s="824"/>
      <c r="L122" s="824"/>
      <c r="M122" s="825"/>
    </row>
    <row r="123" spans="1:13" ht="11.85" customHeight="1">
      <c r="A123" s="799" t="s">
        <v>1049</v>
      </c>
      <c r="B123" s="800"/>
      <c r="C123" s="470"/>
      <c r="D123" s="469"/>
      <c r="E123" s="469"/>
      <c r="F123" s="469"/>
      <c r="G123" s="469"/>
      <c r="H123" s="706" t="s">
        <v>2312</v>
      </c>
      <c r="I123" s="705"/>
      <c r="J123" s="705"/>
      <c r="K123" s="705"/>
      <c r="L123" s="705"/>
      <c r="M123" s="706"/>
    </row>
    <row r="124" spans="1:13" ht="11.1" customHeight="1">
      <c r="A124" s="790" t="s">
        <v>1050</v>
      </c>
      <c r="B124" s="791"/>
      <c r="C124" s="467"/>
      <c r="H124" s="709" t="s">
        <v>656</v>
      </c>
      <c r="I124" s="708"/>
      <c r="J124" s="708"/>
      <c r="K124" s="708"/>
      <c r="L124" s="708"/>
      <c r="M124" s="709"/>
    </row>
    <row r="125" spans="1:13" ht="15.6" customHeight="1">
      <c r="A125" s="790" t="s">
        <v>1051</v>
      </c>
      <c r="B125" s="791"/>
      <c r="C125" s="467"/>
      <c r="H125" s="709" t="s">
        <v>2312</v>
      </c>
      <c r="I125" s="708"/>
      <c r="J125" s="708"/>
      <c r="K125" s="708"/>
      <c r="L125" s="708"/>
      <c r="M125" s="709"/>
    </row>
    <row r="126" spans="1:13" ht="11.85" customHeight="1">
      <c r="A126" s="792" t="s">
        <v>925</v>
      </c>
      <c r="B126" s="793"/>
      <c r="C126" s="471"/>
      <c r="D126" s="466"/>
      <c r="E126" s="466"/>
      <c r="F126" s="466"/>
      <c r="G126" s="466"/>
      <c r="H126" s="723" t="s">
        <v>1356</v>
      </c>
      <c r="I126" s="724"/>
      <c r="J126" s="724"/>
      <c r="K126" s="724"/>
      <c r="L126" s="724"/>
      <c r="M126" s="723"/>
    </row>
    <row r="127" spans="1:13" ht="11.1" customHeight="1">
      <c r="A127" s="469"/>
      <c r="B127" s="469"/>
      <c r="C127" s="469"/>
      <c r="D127" s="469"/>
      <c r="E127" s="469"/>
      <c r="F127" s="469"/>
      <c r="G127" s="469"/>
      <c r="H127" s="469"/>
      <c r="I127" s="469"/>
      <c r="J127" s="469"/>
      <c r="K127" s="469"/>
      <c r="L127" s="469"/>
      <c r="M127" s="469"/>
    </row>
    <row r="128" spans="1:13" ht="5.85" customHeight="1"/>
    <row r="129" spans="1:13" ht="11.85" customHeight="1"/>
    <row r="130" spans="1:13" ht="17.850000000000001" customHeight="1"/>
    <row r="131" spans="1:13" ht="11.1" customHeight="1"/>
    <row r="132" spans="1:13" ht="17.850000000000001" customHeight="1"/>
    <row r="133" spans="1:13" ht="39.950000000000003" customHeight="1"/>
    <row r="134" spans="1:13" ht="39.950000000000003" customHeight="1"/>
    <row r="135" spans="1:13" ht="11.85" customHeight="1">
      <c r="A135" s="739" t="s">
        <v>2684</v>
      </c>
      <c r="B135" s="739"/>
      <c r="C135" s="739"/>
      <c r="D135" s="739"/>
      <c r="E135" s="739"/>
      <c r="F135" s="739"/>
      <c r="G135" s="739"/>
      <c r="H135" s="739"/>
      <c r="I135" s="739"/>
      <c r="J135" s="739"/>
      <c r="K135" s="739"/>
      <c r="L135" s="739"/>
      <c r="M135" s="739"/>
    </row>
  </sheetData>
  <mergeCells count="278">
    <mergeCell ref="A135:M135"/>
    <mergeCell ref="C108:M108"/>
    <mergeCell ref="A110:B110"/>
    <mergeCell ref="C110:M110"/>
    <mergeCell ref="H111:M111"/>
    <mergeCell ref="C118:M118"/>
    <mergeCell ref="A119:M119"/>
    <mergeCell ref="A120:B120"/>
    <mergeCell ref="C120:M120"/>
    <mergeCell ref="A122:B122"/>
    <mergeCell ref="C122:M122"/>
    <mergeCell ref="A114:B114"/>
    <mergeCell ref="H114:M114"/>
    <mergeCell ref="A115:B115"/>
    <mergeCell ref="H115:M115"/>
    <mergeCell ref="A113:B113"/>
    <mergeCell ref="H113:M113"/>
    <mergeCell ref="A116:B116"/>
    <mergeCell ref="H116:M116"/>
    <mergeCell ref="A125:B125"/>
    <mergeCell ref="H125:M125"/>
    <mergeCell ref="A126:B126"/>
    <mergeCell ref="H126:M126"/>
    <mergeCell ref="A123:B123"/>
    <mergeCell ref="A73:D73"/>
    <mergeCell ref="A74:D74"/>
    <mergeCell ref="A75:D75"/>
    <mergeCell ref="A76:D76"/>
    <mergeCell ref="A80:M80"/>
    <mergeCell ref="A81:B81"/>
    <mergeCell ref="C81:M81"/>
    <mergeCell ref="A79:B79"/>
    <mergeCell ref="D79:E79"/>
    <mergeCell ref="G79:H79"/>
    <mergeCell ref="I79:J79"/>
    <mergeCell ref="K79:L79"/>
    <mergeCell ref="A78:B78"/>
    <mergeCell ref="D78:E78"/>
    <mergeCell ref="G78:H78"/>
    <mergeCell ref="I78:J78"/>
    <mergeCell ref="K78:L78"/>
    <mergeCell ref="I68:J68"/>
    <mergeCell ref="K68:L68"/>
    <mergeCell ref="A69:B69"/>
    <mergeCell ref="D69:E69"/>
    <mergeCell ref="G69:H69"/>
    <mergeCell ref="I69:J69"/>
    <mergeCell ref="K69:L69"/>
    <mergeCell ref="A71:M71"/>
    <mergeCell ref="L72:M72"/>
    <mergeCell ref="A1:D1"/>
    <mergeCell ref="L1:M1"/>
    <mergeCell ref="A2:D2"/>
    <mergeCell ref="A3:D3"/>
    <mergeCell ref="A4:D4"/>
    <mergeCell ref="A5:D5"/>
    <mergeCell ref="A12:B12"/>
    <mergeCell ref="D12:M12"/>
    <mergeCell ref="A13:B13"/>
    <mergeCell ref="D13:M13"/>
    <mergeCell ref="A14:B14"/>
    <mergeCell ref="D14:M14"/>
    <mergeCell ref="J7:M7"/>
    <mergeCell ref="A8:M8"/>
    <mergeCell ref="A9:B11"/>
    <mergeCell ref="C9:C11"/>
    <mergeCell ref="D9:M9"/>
    <mergeCell ref="D10:M10"/>
    <mergeCell ref="D11:M11"/>
    <mergeCell ref="A18:B18"/>
    <mergeCell ref="D18:M18"/>
    <mergeCell ref="A19:B19"/>
    <mergeCell ref="D19:M19"/>
    <mergeCell ref="A20:B20"/>
    <mergeCell ref="D20:M20"/>
    <mergeCell ref="A15:B15"/>
    <mergeCell ref="D15:M15"/>
    <mergeCell ref="A16:B16"/>
    <mergeCell ref="D16:M16"/>
    <mergeCell ref="A17:B17"/>
    <mergeCell ref="D17:M17"/>
    <mergeCell ref="A24:B24"/>
    <mergeCell ref="D24:M24"/>
    <mergeCell ref="A25:B25"/>
    <mergeCell ref="D25:M25"/>
    <mergeCell ref="A26:B26"/>
    <mergeCell ref="D26:M26"/>
    <mergeCell ref="A21:B21"/>
    <mergeCell ref="D21:M21"/>
    <mergeCell ref="A22:B22"/>
    <mergeCell ref="D22:M22"/>
    <mergeCell ref="A23:B23"/>
    <mergeCell ref="D23:M23"/>
    <mergeCell ref="A30:B30"/>
    <mergeCell ref="D30:M30"/>
    <mergeCell ref="A31:B31"/>
    <mergeCell ref="D31:M31"/>
    <mergeCell ref="A32:B32"/>
    <mergeCell ref="D32:M32"/>
    <mergeCell ref="A27:B27"/>
    <mergeCell ref="D27:M27"/>
    <mergeCell ref="A28:B28"/>
    <mergeCell ref="D28:M28"/>
    <mergeCell ref="A29:B29"/>
    <mergeCell ref="D29:M29"/>
    <mergeCell ref="A36:B36"/>
    <mergeCell ref="D36:M36"/>
    <mergeCell ref="A37:B37"/>
    <mergeCell ref="D37:M37"/>
    <mergeCell ref="A38:B38"/>
    <mergeCell ref="D38:M38"/>
    <mergeCell ref="A33:B33"/>
    <mergeCell ref="D33:M33"/>
    <mergeCell ref="A34:B34"/>
    <mergeCell ref="D34:M34"/>
    <mergeCell ref="A35:B35"/>
    <mergeCell ref="D35:M35"/>
    <mergeCell ref="A42:B42"/>
    <mergeCell ref="D42:M42"/>
    <mergeCell ref="A43:B43"/>
    <mergeCell ref="D43:M43"/>
    <mergeCell ref="A44:B44"/>
    <mergeCell ref="D44:M44"/>
    <mergeCell ref="A39:B39"/>
    <mergeCell ref="D39:M39"/>
    <mergeCell ref="A40:B40"/>
    <mergeCell ref="D40:M40"/>
    <mergeCell ref="A41:B41"/>
    <mergeCell ref="D41:M41"/>
    <mergeCell ref="A48:B48"/>
    <mergeCell ref="D48:M48"/>
    <mergeCell ref="A49:B49"/>
    <mergeCell ref="D49:M49"/>
    <mergeCell ref="A50:B50"/>
    <mergeCell ref="D50:M50"/>
    <mergeCell ref="A45:B45"/>
    <mergeCell ref="D45:M45"/>
    <mergeCell ref="A46:B46"/>
    <mergeCell ref="D46:M46"/>
    <mergeCell ref="A47:B47"/>
    <mergeCell ref="D47:M47"/>
    <mergeCell ref="K56:L56"/>
    <mergeCell ref="A57:B57"/>
    <mergeCell ref="D57:E57"/>
    <mergeCell ref="G57:H57"/>
    <mergeCell ref="I57:J57"/>
    <mergeCell ref="K57:L57"/>
    <mergeCell ref="G55:H55"/>
    <mergeCell ref="I55:J55"/>
    <mergeCell ref="A56:B56"/>
    <mergeCell ref="D56:E56"/>
    <mergeCell ref="G56:H56"/>
    <mergeCell ref="I56:J56"/>
    <mergeCell ref="A52:B55"/>
    <mergeCell ref="C52:C55"/>
    <mergeCell ref="D52:M52"/>
    <mergeCell ref="D53:E55"/>
    <mergeCell ref="F53:F55"/>
    <mergeCell ref="G53:H54"/>
    <mergeCell ref="I53:J54"/>
    <mergeCell ref="K53:M53"/>
    <mergeCell ref="K54:L55"/>
    <mergeCell ref="M54:M55"/>
    <mergeCell ref="A58:B58"/>
    <mergeCell ref="D58:E58"/>
    <mergeCell ref="G58:H58"/>
    <mergeCell ref="I58:J58"/>
    <mergeCell ref="K58:L58"/>
    <mergeCell ref="A59:B59"/>
    <mergeCell ref="D59:E59"/>
    <mergeCell ref="G59:H59"/>
    <mergeCell ref="I59:J59"/>
    <mergeCell ref="K59:L59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64:B64"/>
    <mergeCell ref="D64:E64"/>
    <mergeCell ref="G64:H64"/>
    <mergeCell ref="I64:J64"/>
    <mergeCell ref="K64:L64"/>
    <mergeCell ref="A72:D72"/>
    <mergeCell ref="A65:B65"/>
    <mergeCell ref="D65:E65"/>
    <mergeCell ref="G65:H65"/>
    <mergeCell ref="I65:J65"/>
    <mergeCell ref="K65:L65"/>
    <mergeCell ref="A66:B66"/>
    <mergeCell ref="D66:E66"/>
    <mergeCell ref="G66:H66"/>
    <mergeCell ref="I66:J66"/>
    <mergeCell ref="K66:L66"/>
    <mergeCell ref="A67:B67"/>
    <mergeCell ref="D67:E67"/>
    <mergeCell ref="G67:H67"/>
    <mergeCell ref="I67:J67"/>
    <mergeCell ref="K67:L67"/>
    <mergeCell ref="A68:B68"/>
    <mergeCell ref="D68:E68"/>
    <mergeCell ref="G68:H68"/>
    <mergeCell ref="A84:B84"/>
    <mergeCell ref="C84:M84"/>
    <mergeCell ref="A83:B83"/>
    <mergeCell ref="C83:M83"/>
    <mergeCell ref="A94:B94"/>
    <mergeCell ref="C94:M94"/>
    <mergeCell ref="C87:M87"/>
    <mergeCell ref="C88:M88"/>
    <mergeCell ref="A89:B89"/>
    <mergeCell ref="C89:M89"/>
    <mergeCell ref="A86:B87"/>
    <mergeCell ref="C86:M86"/>
    <mergeCell ref="A88:B88"/>
    <mergeCell ref="A90:M90"/>
    <mergeCell ref="A91:B91"/>
    <mergeCell ref="C91:M91"/>
    <mergeCell ref="A92:M92"/>
    <mergeCell ref="A93:B93"/>
    <mergeCell ref="C93:M93"/>
    <mergeCell ref="A96:M96"/>
    <mergeCell ref="C99:G99"/>
    <mergeCell ref="H99:M99"/>
    <mergeCell ref="C100:G100"/>
    <mergeCell ref="H100:M100"/>
    <mergeCell ref="A95:M95"/>
    <mergeCell ref="A97:B99"/>
    <mergeCell ref="C97:M97"/>
    <mergeCell ref="C98:G98"/>
    <mergeCell ref="H98:M98"/>
    <mergeCell ref="A100:B100"/>
    <mergeCell ref="A103:B103"/>
    <mergeCell ref="C103:G103"/>
    <mergeCell ref="H103:M103"/>
    <mergeCell ref="A104:B104"/>
    <mergeCell ref="C104:G104"/>
    <mergeCell ref="H104:M104"/>
    <mergeCell ref="A101:B101"/>
    <mergeCell ref="C101:G101"/>
    <mergeCell ref="H101:M101"/>
    <mergeCell ref="A102:B102"/>
    <mergeCell ref="C102:G102"/>
    <mergeCell ref="H102:M102"/>
    <mergeCell ref="A124:B124"/>
    <mergeCell ref="H124:M124"/>
    <mergeCell ref="A117:B117"/>
    <mergeCell ref="H117:M117"/>
    <mergeCell ref="A118:B118"/>
    <mergeCell ref="H123:M123"/>
    <mergeCell ref="A105:B105"/>
    <mergeCell ref="C105:G105"/>
    <mergeCell ref="H105:M105"/>
    <mergeCell ref="A106:B106"/>
    <mergeCell ref="C106:G106"/>
    <mergeCell ref="H106:M106"/>
    <mergeCell ref="A111:B111"/>
    <mergeCell ref="A112:B112"/>
    <mergeCell ref="H112:M112"/>
    <mergeCell ref="A107:B107"/>
    <mergeCell ref="C107:G107"/>
    <mergeCell ref="H107:M107"/>
    <mergeCell ref="A108:B10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H209"/>
  <sheetViews>
    <sheetView workbookViewId="0">
      <selection sqref="A1:XFD1048576"/>
    </sheetView>
  </sheetViews>
  <sheetFormatPr defaultRowHeight="15"/>
  <cols>
    <col min="1" max="1" width="5" customWidth="1"/>
    <col min="2" max="3" width="11.140625" customWidth="1"/>
    <col min="4" max="4" width="11" customWidth="1"/>
    <col min="5" max="5" width="8.140625" customWidth="1"/>
    <col min="6" max="6" width="3.140625" customWidth="1"/>
    <col min="7" max="7" width="10.140625" customWidth="1"/>
    <col min="8" max="8" width="0.85546875" customWidth="1"/>
    <col min="9" max="9" width="1" customWidth="1"/>
    <col min="10" max="10" width="7" customWidth="1"/>
    <col min="11" max="11" width="1" customWidth="1"/>
    <col min="12" max="12" width="3.140625" customWidth="1"/>
    <col min="13" max="13" width="2" customWidth="1"/>
    <col min="14" max="14" width="1" customWidth="1"/>
    <col min="15" max="15" width="8.140625" customWidth="1"/>
    <col min="16" max="16" width="0.85546875" customWidth="1"/>
    <col min="17" max="17" width="3.140625" customWidth="1"/>
    <col min="18" max="18" width="2" customWidth="1"/>
    <col min="19" max="19" width="5" customWidth="1"/>
    <col min="20" max="20" width="4.140625" customWidth="1"/>
    <col min="21" max="21" width="1" customWidth="1"/>
    <col min="22" max="22" width="4" customWidth="1"/>
    <col min="23" max="24" width="1" customWidth="1"/>
    <col min="25" max="25" width="4" customWidth="1"/>
    <col min="26" max="27" width="1" customWidth="1"/>
    <col min="28" max="28" width="5" customWidth="1"/>
    <col min="29" max="29" width="2" customWidth="1"/>
    <col min="30" max="30" width="4.140625" customWidth="1"/>
    <col min="31" max="31" width="1" customWidth="1"/>
    <col min="32" max="32" width="4" customWidth="1"/>
    <col min="33" max="33" width="11.140625" customWidth="1"/>
    <col min="34" max="34" width="0.5703125" customWidth="1"/>
  </cols>
  <sheetData>
    <row r="1" spans="1:34" ht="11.85" customHeight="1">
      <c r="A1" s="717" t="s">
        <v>661</v>
      </c>
      <c r="B1" s="717"/>
      <c r="C1" s="717"/>
      <c r="D1" s="717"/>
      <c r="E1" s="717"/>
      <c r="F1" s="717"/>
      <c r="G1" s="717"/>
      <c r="AG1" s="562" t="s">
        <v>887</v>
      </c>
    </row>
    <row r="2" spans="1:34" ht="11.1" customHeight="1">
      <c r="A2" s="717" t="s">
        <v>655</v>
      </c>
      <c r="B2" s="717"/>
      <c r="C2" s="717"/>
      <c r="D2" s="717"/>
      <c r="E2" s="717"/>
      <c r="F2" s="717"/>
      <c r="G2" s="717"/>
    </row>
    <row r="3" spans="1:34" ht="11.85" customHeight="1">
      <c r="A3" s="740" t="s">
        <v>1052</v>
      </c>
      <c r="B3" s="740"/>
      <c r="C3" s="740"/>
      <c r="D3" s="740"/>
      <c r="E3" s="740"/>
      <c r="F3" s="740"/>
      <c r="G3" s="740"/>
    </row>
    <row r="4" spans="1:34" ht="11.85" customHeight="1">
      <c r="A4" s="717" t="s">
        <v>660</v>
      </c>
      <c r="B4" s="717"/>
      <c r="C4" s="717"/>
      <c r="D4" s="717"/>
      <c r="E4" s="717"/>
      <c r="F4" s="717"/>
      <c r="G4" s="717"/>
    </row>
    <row r="5" spans="1:34" ht="11.85" customHeight="1">
      <c r="A5" s="717" t="s">
        <v>2445</v>
      </c>
      <c r="B5" s="717"/>
      <c r="C5" s="717"/>
      <c r="D5" s="717"/>
      <c r="E5" s="717"/>
      <c r="F5" s="717"/>
      <c r="G5" s="717"/>
    </row>
    <row r="6" spans="1:34" ht="5.85" customHeight="1"/>
    <row r="7" spans="1:34" ht="11.1" customHeight="1">
      <c r="A7" s="741" t="s">
        <v>1053</v>
      </c>
      <c r="B7" s="741"/>
      <c r="C7" s="741"/>
      <c r="D7" s="741"/>
      <c r="E7" s="741"/>
      <c r="F7" s="741"/>
      <c r="G7" s="741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66"/>
      <c r="U7" s="466"/>
      <c r="V7" s="466"/>
      <c r="W7" s="466"/>
      <c r="X7" s="466"/>
      <c r="Y7" s="466"/>
      <c r="Z7" s="466"/>
      <c r="AA7" s="466"/>
      <c r="AB7" s="466"/>
      <c r="AC7" s="466"/>
      <c r="AD7" s="466"/>
      <c r="AE7" s="466"/>
      <c r="AF7" s="466"/>
      <c r="AG7" s="466"/>
      <c r="AH7" s="466"/>
    </row>
    <row r="8" spans="1:34" ht="11.85" customHeight="1">
      <c r="A8" s="732" t="s">
        <v>1054</v>
      </c>
      <c r="B8" s="942"/>
      <c r="C8" s="942"/>
      <c r="D8" s="942"/>
      <c r="E8" s="942"/>
      <c r="F8" s="942"/>
      <c r="G8" s="942"/>
      <c r="H8" s="942"/>
      <c r="I8" s="943"/>
      <c r="J8" s="712" t="s">
        <v>843</v>
      </c>
      <c r="K8" s="743"/>
      <c r="L8" s="743"/>
      <c r="M8" s="743"/>
      <c r="N8" s="743"/>
      <c r="O8" s="743"/>
      <c r="P8" s="714"/>
      <c r="Q8" s="712" t="s">
        <v>844</v>
      </c>
      <c r="R8" s="743"/>
      <c r="S8" s="743"/>
      <c r="T8" s="743"/>
      <c r="U8" s="743"/>
      <c r="V8" s="743"/>
      <c r="W8" s="714"/>
      <c r="X8" s="734" t="s">
        <v>845</v>
      </c>
      <c r="Y8" s="735"/>
      <c r="Z8" s="735"/>
      <c r="AA8" s="735"/>
      <c r="AB8" s="735"/>
      <c r="AC8" s="735"/>
      <c r="AD8" s="735"/>
      <c r="AE8" s="735"/>
      <c r="AF8" s="735"/>
      <c r="AG8" s="735"/>
      <c r="AH8" s="736"/>
    </row>
    <row r="9" spans="1:34" ht="17.850000000000001" customHeight="1">
      <c r="A9" s="944"/>
      <c r="B9" s="945"/>
      <c r="C9" s="945"/>
      <c r="D9" s="945"/>
      <c r="E9" s="945"/>
      <c r="F9" s="945"/>
      <c r="G9" s="945"/>
      <c r="H9" s="945"/>
      <c r="I9" s="946"/>
      <c r="J9" s="715"/>
      <c r="K9" s="744"/>
      <c r="L9" s="744"/>
      <c r="M9" s="744"/>
      <c r="N9" s="744"/>
      <c r="O9" s="744"/>
      <c r="P9" s="716"/>
      <c r="Q9" s="715"/>
      <c r="R9" s="744"/>
      <c r="S9" s="744"/>
      <c r="T9" s="744"/>
      <c r="U9" s="744"/>
      <c r="V9" s="744"/>
      <c r="W9" s="716"/>
      <c r="X9" s="712" t="s">
        <v>1055</v>
      </c>
      <c r="Y9" s="737"/>
      <c r="Z9" s="737"/>
      <c r="AA9" s="737"/>
      <c r="AB9" s="737"/>
      <c r="AC9" s="737"/>
      <c r="AD9" s="738"/>
      <c r="AE9" s="712" t="s">
        <v>1056</v>
      </c>
      <c r="AF9" s="737"/>
      <c r="AG9" s="737"/>
      <c r="AH9" s="738"/>
    </row>
    <row r="10" spans="1:34" ht="11.1" customHeight="1">
      <c r="A10" s="939" t="s">
        <v>1057</v>
      </c>
      <c r="B10" s="940"/>
      <c r="C10" s="940"/>
      <c r="D10" s="940"/>
      <c r="E10" s="940"/>
      <c r="F10" s="940"/>
      <c r="G10" s="940"/>
      <c r="H10" s="940"/>
      <c r="I10" s="941"/>
      <c r="J10" s="898" t="s">
        <v>1310</v>
      </c>
      <c r="K10" s="899"/>
      <c r="L10" s="899"/>
      <c r="M10" s="899"/>
      <c r="N10" s="899"/>
      <c r="O10" s="899"/>
      <c r="P10" s="900"/>
      <c r="Q10" s="898" t="s">
        <v>1310</v>
      </c>
      <c r="R10" s="899"/>
      <c r="S10" s="899"/>
      <c r="T10" s="899"/>
      <c r="U10" s="899"/>
      <c r="V10" s="899"/>
      <c r="W10" s="900"/>
      <c r="X10" s="898" t="s">
        <v>2163</v>
      </c>
      <c r="Y10" s="899"/>
      <c r="Z10" s="899"/>
      <c r="AA10" s="899"/>
      <c r="AB10" s="899"/>
      <c r="AC10" s="899"/>
      <c r="AD10" s="900"/>
      <c r="AE10" s="898" t="s">
        <v>2164</v>
      </c>
      <c r="AF10" s="899"/>
      <c r="AG10" s="899"/>
      <c r="AH10" s="900"/>
    </row>
    <row r="11" spans="1:34" ht="11.85" customHeight="1">
      <c r="A11" s="936" t="s">
        <v>1058</v>
      </c>
      <c r="B11" s="937"/>
      <c r="C11" s="937"/>
      <c r="D11" s="937"/>
      <c r="E11" s="937"/>
      <c r="F11" s="937"/>
      <c r="G11" s="937"/>
      <c r="H11" s="937"/>
      <c r="I11" s="938"/>
      <c r="J11" s="883" t="s">
        <v>1385</v>
      </c>
      <c r="K11" s="884"/>
      <c r="L11" s="884"/>
      <c r="M11" s="884"/>
      <c r="N11" s="884"/>
      <c r="O11" s="884"/>
      <c r="P11" s="885"/>
      <c r="Q11" s="883" t="s">
        <v>1385</v>
      </c>
      <c r="R11" s="884"/>
      <c r="S11" s="884"/>
      <c r="T11" s="884"/>
      <c r="U11" s="884"/>
      <c r="V11" s="884"/>
      <c r="W11" s="885"/>
      <c r="X11" s="883" t="s">
        <v>2446</v>
      </c>
      <c r="Y11" s="884"/>
      <c r="Z11" s="884"/>
      <c r="AA11" s="884"/>
      <c r="AB11" s="884"/>
      <c r="AC11" s="884"/>
      <c r="AD11" s="885"/>
      <c r="AE11" s="883" t="s">
        <v>2447</v>
      </c>
      <c r="AF11" s="884"/>
      <c r="AG11" s="884"/>
      <c r="AH11" s="885"/>
    </row>
    <row r="12" spans="1:34" ht="11.85" customHeight="1">
      <c r="A12" s="894" t="s">
        <v>206</v>
      </c>
      <c r="B12" s="901"/>
      <c r="C12" s="901"/>
      <c r="D12" s="901"/>
      <c r="E12" s="901"/>
      <c r="F12" s="901"/>
      <c r="G12" s="901"/>
      <c r="H12" s="901"/>
      <c r="I12" s="895"/>
      <c r="J12" s="883" t="s">
        <v>1408</v>
      </c>
      <c r="K12" s="884"/>
      <c r="L12" s="884"/>
      <c r="M12" s="884"/>
      <c r="N12" s="884"/>
      <c r="O12" s="884"/>
      <c r="P12" s="885"/>
      <c r="Q12" s="883" t="s">
        <v>1408</v>
      </c>
      <c r="R12" s="884"/>
      <c r="S12" s="884"/>
      <c r="T12" s="884"/>
      <c r="U12" s="884"/>
      <c r="V12" s="884"/>
      <c r="W12" s="885"/>
      <c r="X12" s="883" t="s">
        <v>2448</v>
      </c>
      <c r="Y12" s="884"/>
      <c r="Z12" s="884"/>
      <c r="AA12" s="884"/>
      <c r="AB12" s="884"/>
      <c r="AC12" s="884"/>
      <c r="AD12" s="885"/>
      <c r="AE12" s="883" t="s">
        <v>2449</v>
      </c>
      <c r="AF12" s="884"/>
      <c r="AG12" s="884"/>
      <c r="AH12" s="885"/>
    </row>
    <row r="13" spans="1:34" ht="11.85" customHeight="1">
      <c r="A13" s="894" t="s">
        <v>1059</v>
      </c>
      <c r="B13" s="901"/>
      <c r="C13" s="901"/>
      <c r="D13" s="901"/>
      <c r="E13" s="901"/>
      <c r="F13" s="901"/>
      <c r="G13" s="901"/>
      <c r="H13" s="901"/>
      <c r="I13" s="895"/>
      <c r="J13" s="883" t="s">
        <v>1409</v>
      </c>
      <c r="K13" s="884"/>
      <c r="L13" s="884"/>
      <c r="M13" s="884"/>
      <c r="N13" s="884"/>
      <c r="O13" s="884"/>
      <c r="P13" s="885"/>
      <c r="Q13" s="883" t="s">
        <v>1409</v>
      </c>
      <c r="R13" s="884"/>
      <c r="S13" s="884"/>
      <c r="T13" s="884"/>
      <c r="U13" s="884"/>
      <c r="V13" s="884"/>
      <c r="W13" s="885"/>
      <c r="X13" s="883" t="s">
        <v>2450</v>
      </c>
      <c r="Y13" s="884"/>
      <c r="Z13" s="884"/>
      <c r="AA13" s="884"/>
      <c r="AB13" s="884"/>
      <c r="AC13" s="884"/>
      <c r="AD13" s="885"/>
      <c r="AE13" s="883" t="s">
        <v>2451</v>
      </c>
      <c r="AF13" s="884"/>
      <c r="AG13" s="884"/>
      <c r="AH13" s="885"/>
    </row>
    <row r="14" spans="1:34" ht="11.1" customHeight="1">
      <c r="A14" s="936" t="s">
        <v>1060</v>
      </c>
      <c r="B14" s="937"/>
      <c r="C14" s="937"/>
      <c r="D14" s="937"/>
      <c r="E14" s="937"/>
      <c r="F14" s="937"/>
      <c r="G14" s="937"/>
      <c r="H14" s="937"/>
      <c r="I14" s="938"/>
      <c r="J14" s="883" t="s">
        <v>1387</v>
      </c>
      <c r="K14" s="884"/>
      <c r="L14" s="884"/>
      <c r="M14" s="884"/>
      <c r="N14" s="884"/>
      <c r="O14" s="884"/>
      <c r="P14" s="885"/>
      <c r="Q14" s="883" t="s">
        <v>1387</v>
      </c>
      <c r="R14" s="884"/>
      <c r="S14" s="884"/>
      <c r="T14" s="884"/>
      <c r="U14" s="884"/>
      <c r="V14" s="884"/>
      <c r="W14" s="885"/>
      <c r="X14" s="883" t="s">
        <v>2452</v>
      </c>
      <c r="Y14" s="884"/>
      <c r="Z14" s="884"/>
      <c r="AA14" s="884"/>
      <c r="AB14" s="884"/>
      <c r="AC14" s="884"/>
      <c r="AD14" s="885"/>
      <c r="AE14" s="883" t="s">
        <v>2453</v>
      </c>
      <c r="AF14" s="884"/>
      <c r="AG14" s="884"/>
      <c r="AH14" s="885"/>
    </row>
    <row r="15" spans="1:34" ht="11.85" customHeight="1">
      <c r="A15" s="894" t="s">
        <v>208</v>
      </c>
      <c r="B15" s="901"/>
      <c r="C15" s="901"/>
      <c r="D15" s="901"/>
      <c r="E15" s="901"/>
      <c r="F15" s="901"/>
      <c r="G15" s="901"/>
      <c r="H15" s="901"/>
      <c r="I15" s="895"/>
      <c r="J15" s="883" t="s">
        <v>1410</v>
      </c>
      <c r="K15" s="884"/>
      <c r="L15" s="884"/>
      <c r="M15" s="884"/>
      <c r="N15" s="884"/>
      <c r="O15" s="884"/>
      <c r="P15" s="885"/>
      <c r="Q15" s="883" t="s">
        <v>1410</v>
      </c>
      <c r="R15" s="884"/>
      <c r="S15" s="884"/>
      <c r="T15" s="884"/>
      <c r="U15" s="884"/>
      <c r="V15" s="884"/>
      <c r="W15" s="885"/>
      <c r="X15" s="883" t="s">
        <v>2452</v>
      </c>
      <c r="Y15" s="884"/>
      <c r="Z15" s="884"/>
      <c r="AA15" s="884"/>
      <c r="AB15" s="884"/>
      <c r="AC15" s="884"/>
      <c r="AD15" s="885"/>
      <c r="AE15" s="883" t="s">
        <v>2454</v>
      </c>
      <c r="AF15" s="884"/>
      <c r="AG15" s="884"/>
      <c r="AH15" s="885"/>
    </row>
    <row r="16" spans="1:34" ht="11.85" customHeight="1">
      <c r="A16" s="894" t="s">
        <v>1061</v>
      </c>
      <c r="B16" s="901"/>
      <c r="C16" s="901"/>
      <c r="D16" s="901"/>
      <c r="E16" s="901"/>
      <c r="F16" s="901"/>
      <c r="G16" s="901"/>
      <c r="H16" s="901"/>
      <c r="I16" s="895"/>
      <c r="J16" s="883" t="s">
        <v>1411</v>
      </c>
      <c r="K16" s="884"/>
      <c r="L16" s="884"/>
      <c r="M16" s="884"/>
      <c r="N16" s="884"/>
      <c r="O16" s="884"/>
      <c r="P16" s="885"/>
      <c r="Q16" s="883" t="s">
        <v>1411</v>
      </c>
      <c r="R16" s="884"/>
      <c r="S16" s="884"/>
      <c r="T16" s="884"/>
      <c r="U16" s="884"/>
      <c r="V16" s="884"/>
      <c r="W16" s="885"/>
      <c r="X16" s="883" t="s">
        <v>656</v>
      </c>
      <c r="Y16" s="884"/>
      <c r="Z16" s="884"/>
      <c r="AA16" s="884"/>
      <c r="AB16" s="884"/>
      <c r="AC16" s="884"/>
      <c r="AD16" s="885"/>
      <c r="AE16" s="883" t="s">
        <v>656</v>
      </c>
      <c r="AF16" s="884"/>
      <c r="AG16" s="884"/>
      <c r="AH16" s="885"/>
    </row>
    <row r="17" spans="1:34" ht="11.85" customHeight="1">
      <c r="A17" s="936" t="s">
        <v>1062</v>
      </c>
      <c r="B17" s="937"/>
      <c r="C17" s="937"/>
      <c r="D17" s="937"/>
      <c r="E17" s="937"/>
      <c r="F17" s="937"/>
      <c r="G17" s="937"/>
      <c r="H17" s="937"/>
      <c r="I17" s="938"/>
      <c r="J17" s="883" t="s">
        <v>1386</v>
      </c>
      <c r="K17" s="884"/>
      <c r="L17" s="884"/>
      <c r="M17" s="884"/>
      <c r="N17" s="884"/>
      <c r="O17" s="884"/>
      <c r="P17" s="885"/>
      <c r="Q17" s="883" t="s">
        <v>1386</v>
      </c>
      <c r="R17" s="884"/>
      <c r="S17" s="884"/>
      <c r="T17" s="884"/>
      <c r="U17" s="884"/>
      <c r="V17" s="884"/>
      <c r="W17" s="885"/>
      <c r="X17" s="883" t="s">
        <v>2455</v>
      </c>
      <c r="Y17" s="884"/>
      <c r="Z17" s="884"/>
      <c r="AA17" s="884"/>
      <c r="AB17" s="884"/>
      <c r="AC17" s="884"/>
      <c r="AD17" s="885"/>
      <c r="AE17" s="883" t="s">
        <v>2456</v>
      </c>
      <c r="AF17" s="884"/>
      <c r="AG17" s="884"/>
      <c r="AH17" s="885"/>
    </row>
    <row r="18" spans="1:34" ht="11.1" customHeight="1">
      <c r="A18" s="894" t="s">
        <v>665</v>
      </c>
      <c r="B18" s="901"/>
      <c r="C18" s="901"/>
      <c r="D18" s="901"/>
      <c r="E18" s="901"/>
      <c r="F18" s="901"/>
      <c r="G18" s="901"/>
      <c r="H18" s="901"/>
      <c r="I18" s="895"/>
      <c r="J18" s="883" t="s">
        <v>1412</v>
      </c>
      <c r="K18" s="884"/>
      <c r="L18" s="884"/>
      <c r="M18" s="884"/>
      <c r="N18" s="884"/>
      <c r="O18" s="884"/>
      <c r="P18" s="885"/>
      <c r="Q18" s="883" t="s">
        <v>1412</v>
      </c>
      <c r="R18" s="884"/>
      <c r="S18" s="884"/>
      <c r="T18" s="884"/>
      <c r="U18" s="884"/>
      <c r="V18" s="884"/>
      <c r="W18" s="885"/>
      <c r="X18" s="883" t="s">
        <v>2457</v>
      </c>
      <c r="Y18" s="884"/>
      <c r="Z18" s="884"/>
      <c r="AA18" s="884"/>
      <c r="AB18" s="884"/>
      <c r="AC18" s="884"/>
      <c r="AD18" s="885"/>
      <c r="AE18" s="883" t="s">
        <v>2458</v>
      </c>
      <c r="AF18" s="884"/>
      <c r="AG18" s="884"/>
      <c r="AH18" s="885"/>
    </row>
    <row r="19" spans="1:34" ht="11.85" customHeight="1">
      <c r="A19" s="894" t="s">
        <v>1063</v>
      </c>
      <c r="B19" s="901"/>
      <c r="C19" s="901"/>
      <c r="D19" s="901"/>
      <c r="E19" s="901"/>
      <c r="F19" s="901"/>
      <c r="G19" s="901"/>
      <c r="H19" s="901"/>
      <c r="I19" s="895"/>
      <c r="J19" s="883" t="s">
        <v>1413</v>
      </c>
      <c r="K19" s="884"/>
      <c r="L19" s="884"/>
      <c r="M19" s="884"/>
      <c r="N19" s="884"/>
      <c r="O19" s="884"/>
      <c r="P19" s="885"/>
      <c r="Q19" s="883" t="s">
        <v>1413</v>
      </c>
      <c r="R19" s="884"/>
      <c r="S19" s="884"/>
      <c r="T19" s="884"/>
      <c r="U19" s="884"/>
      <c r="V19" s="884"/>
      <c r="W19" s="885"/>
      <c r="X19" s="883" t="s">
        <v>2459</v>
      </c>
      <c r="Y19" s="884"/>
      <c r="Z19" s="884"/>
      <c r="AA19" s="884"/>
      <c r="AB19" s="884"/>
      <c r="AC19" s="884"/>
      <c r="AD19" s="885"/>
      <c r="AE19" s="883" t="s">
        <v>2460</v>
      </c>
      <c r="AF19" s="884"/>
      <c r="AG19" s="884"/>
      <c r="AH19" s="885"/>
    </row>
    <row r="20" spans="1:34" ht="11.85" customHeight="1">
      <c r="A20" s="936" t="s">
        <v>1064</v>
      </c>
      <c r="B20" s="937"/>
      <c r="C20" s="937"/>
      <c r="D20" s="937"/>
      <c r="E20" s="937"/>
      <c r="F20" s="937"/>
      <c r="G20" s="937"/>
      <c r="H20" s="937"/>
      <c r="I20" s="938"/>
      <c r="J20" s="883" t="s">
        <v>1388</v>
      </c>
      <c r="K20" s="884"/>
      <c r="L20" s="884"/>
      <c r="M20" s="884"/>
      <c r="N20" s="884"/>
      <c r="O20" s="884"/>
      <c r="P20" s="885"/>
      <c r="Q20" s="883" t="s">
        <v>1388</v>
      </c>
      <c r="R20" s="884"/>
      <c r="S20" s="884"/>
      <c r="T20" s="884"/>
      <c r="U20" s="884"/>
      <c r="V20" s="884"/>
      <c r="W20" s="885"/>
      <c r="X20" s="883" t="s">
        <v>2461</v>
      </c>
      <c r="Y20" s="884"/>
      <c r="Z20" s="884"/>
      <c r="AA20" s="884"/>
      <c r="AB20" s="884"/>
      <c r="AC20" s="884"/>
      <c r="AD20" s="885"/>
      <c r="AE20" s="883" t="s">
        <v>2462</v>
      </c>
      <c r="AF20" s="884"/>
      <c r="AG20" s="884"/>
      <c r="AH20" s="885"/>
    </row>
    <row r="21" spans="1:34" ht="11.85" customHeight="1">
      <c r="A21" s="936" t="s">
        <v>1065</v>
      </c>
      <c r="B21" s="937"/>
      <c r="C21" s="937"/>
      <c r="D21" s="937"/>
      <c r="E21" s="937"/>
      <c r="F21" s="937"/>
      <c r="G21" s="937"/>
      <c r="H21" s="937"/>
      <c r="I21" s="938"/>
      <c r="J21" s="883" t="s">
        <v>1414</v>
      </c>
      <c r="K21" s="884"/>
      <c r="L21" s="884"/>
      <c r="M21" s="884"/>
      <c r="N21" s="884"/>
      <c r="O21" s="884"/>
      <c r="P21" s="885"/>
      <c r="Q21" s="883" t="s">
        <v>2463</v>
      </c>
      <c r="R21" s="884"/>
      <c r="S21" s="884"/>
      <c r="T21" s="884"/>
      <c r="U21" s="884"/>
      <c r="V21" s="884"/>
      <c r="W21" s="885"/>
      <c r="X21" s="883" t="s">
        <v>2464</v>
      </c>
      <c r="Y21" s="884"/>
      <c r="Z21" s="884"/>
      <c r="AA21" s="884"/>
      <c r="AB21" s="884"/>
      <c r="AC21" s="884"/>
      <c r="AD21" s="885"/>
      <c r="AE21" s="883" t="s">
        <v>2465</v>
      </c>
      <c r="AF21" s="884"/>
      <c r="AG21" s="884"/>
      <c r="AH21" s="885"/>
    </row>
    <row r="22" spans="1:34" ht="11.1" customHeight="1">
      <c r="A22" s="894" t="s">
        <v>1066</v>
      </c>
      <c r="B22" s="901"/>
      <c r="C22" s="901"/>
      <c r="D22" s="901"/>
      <c r="E22" s="901"/>
      <c r="F22" s="901"/>
      <c r="G22" s="901"/>
      <c r="H22" s="901"/>
      <c r="I22" s="895"/>
      <c r="J22" s="883" t="s">
        <v>1415</v>
      </c>
      <c r="K22" s="884"/>
      <c r="L22" s="884"/>
      <c r="M22" s="884"/>
      <c r="N22" s="884"/>
      <c r="O22" s="884"/>
      <c r="P22" s="885"/>
      <c r="Q22" s="883" t="s">
        <v>2466</v>
      </c>
      <c r="R22" s="884"/>
      <c r="S22" s="884"/>
      <c r="T22" s="884"/>
      <c r="U22" s="884"/>
      <c r="V22" s="884"/>
      <c r="W22" s="885"/>
      <c r="X22" s="883" t="s">
        <v>2467</v>
      </c>
      <c r="Y22" s="884"/>
      <c r="Z22" s="884"/>
      <c r="AA22" s="884"/>
      <c r="AB22" s="884"/>
      <c r="AC22" s="884"/>
      <c r="AD22" s="885"/>
      <c r="AE22" s="883" t="s">
        <v>2468</v>
      </c>
      <c r="AF22" s="884"/>
      <c r="AG22" s="884"/>
      <c r="AH22" s="885"/>
    </row>
    <row r="23" spans="1:34" ht="11.85" customHeight="1">
      <c r="A23" s="894" t="s">
        <v>1067</v>
      </c>
      <c r="B23" s="901"/>
      <c r="C23" s="901"/>
      <c r="D23" s="901"/>
      <c r="E23" s="901"/>
      <c r="F23" s="901"/>
      <c r="G23" s="901"/>
      <c r="H23" s="901"/>
      <c r="I23" s="895"/>
      <c r="J23" s="883" t="s">
        <v>1416</v>
      </c>
      <c r="K23" s="884"/>
      <c r="L23" s="884"/>
      <c r="M23" s="884"/>
      <c r="N23" s="884"/>
      <c r="O23" s="884"/>
      <c r="P23" s="885"/>
      <c r="Q23" s="883" t="s">
        <v>1416</v>
      </c>
      <c r="R23" s="884"/>
      <c r="S23" s="884"/>
      <c r="T23" s="884"/>
      <c r="U23" s="884"/>
      <c r="V23" s="884"/>
      <c r="W23" s="885"/>
      <c r="X23" s="883" t="s">
        <v>2469</v>
      </c>
      <c r="Y23" s="884"/>
      <c r="Z23" s="884"/>
      <c r="AA23" s="884"/>
      <c r="AB23" s="884"/>
      <c r="AC23" s="884"/>
      <c r="AD23" s="885"/>
      <c r="AE23" s="883" t="s">
        <v>2470</v>
      </c>
      <c r="AF23" s="884"/>
      <c r="AG23" s="884"/>
      <c r="AH23" s="885"/>
    </row>
    <row r="24" spans="1:34" ht="11.85" customHeight="1">
      <c r="A24" s="894" t="s">
        <v>1068</v>
      </c>
      <c r="B24" s="901"/>
      <c r="C24" s="901"/>
      <c r="D24" s="901"/>
      <c r="E24" s="901"/>
      <c r="F24" s="901"/>
      <c r="G24" s="901"/>
      <c r="H24" s="901"/>
      <c r="I24" s="895"/>
      <c r="J24" s="883" t="s">
        <v>1417</v>
      </c>
      <c r="K24" s="884"/>
      <c r="L24" s="884"/>
      <c r="M24" s="884"/>
      <c r="N24" s="884"/>
      <c r="O24" s="884"/>
      <c r="P24" s="885"/>
      <c r="Q24" s="883" t="s">
        <v>1417</v>
      </c>
      <c r="R24" s="884"/>
      <c r="S24" s="884"/>
      <c r="T24" s="884"/>
      <c r="U24" s="884"/>
      <c r="V24" s="884"/>
      <c r="W24" s="885"/>
      <c r="X24" s="883" t="s">
        <v>2471</v>
      </c>
      <c r="Y24" s="884"/>
      <c r="Z24" s="884"/>
      <c r="AA24" s="884"/>
      <c r="AB24" s="884"/>
      <c r="AC24" s="884"/>
      <c r="AD24" s="885"/>
      <c r="AE24" s="883" t="s">
        <v>2472</v>
      </c>
      <c r="AF24" s="884"/>
      <c r="AG24" s="884"/>
      <c r="AH24" s="885"/>
    </row>
    <row r="25" spans="1:34" ht="11.85" customHeight="1">
      <c r="A25" s="894" t="s">
        <v>1069</v>
      </c>
      <c r="B25" s="901"/>
      <c r="C25" s="901"/>
      <c r="D25" s="901"/>
      <c r="E25" s="901"/>
      <c r="F25" s="901"/>
      <c r="G25" s="901"/>
      <c r="H25" s="901"/>
      <c r="I25" s="895"/>
      <c r="J25" s="883" t="s">
        <v>1418</v>
      </c>
      <c r="K25" s="884"/>
      <c r="L25" s="884"/>
      <c r="M25" s="884"/>
      <c r="N25" s="884"/>
      <c r="O25" s="884"/>
      <c r="P25" s="885"/>
      <c r="Q25" s="883" t="s">
        <v>1418</v>
      </c>
      <c r="R25" s="884"/>
      <c r="S25" s="884"/>
      <c r="T25" s="884"/>
      <c r="U25" s="884"/>
      <c r="V25" s="884"/>
      <c r="W25" s="885"/>
      <c r="X25" s="883" t="s">
        <v>2473</v>
      </c>
      <c r="Y25" s="884"/>
      <c r="Z25" s="884"/>
      <c r="AA25" s="884"/>
      <c r="AB25" s="884"/>
      <c r="AC25" s="884"/>
      <c r="AD25" s="885"/>
      <c r="AE25" s="883" t="s">
        <v>2474</v>
      </c>
      <c r="AF25" s="884"/>
      <c r="AG25" s="884"/>
      <c r="AH25" s="885"/>
    </row>
    <row r="26" spans="1:34" ht="11.1" customHeight="1">
      <c r="A26" s="894" t="s">
        <v>1070</v>
      </c>
      <c r="B26" s="901"/>
      <c r="C26" s="901"/>
      <c r="D26" s="901"/>
      <c r="E26" s="901"/>
      <c r="F26" s="901"/>
      <c r="G26" s="901"/>
      <c r="H26" s="901"/>
      <c r="I26" s="895"/>
      <c r="J26" s="883" t="s">
        <v>1419</v>
      </c>
      <c r="K26" s="884"/>
      <c r="L26" s="884"/>
      <c r="M26" s="884"/>
      <c r="N26" s="884"/>
      <c r="O26" s="884"/>
      <c r="P26" s="885"/>
      <c r="Q26" s="883" t="s">
        <v>1419</v>
      </c>
      <c r="R26" s="884"/>
      <c r="S26" s="884"/>
      <c r="T26" s="884"/>
      <c r="U26" s="884"/>
      <c r="V26" s="884"/>
      <c r="W26" s="885"/>
      <c r="X26" s="883" t="s">
        <v>2475</v>
      </c>
      <c r="Y26" s="884"/>
      <c r="Z26" s="884"/>
      <c r="AA26" s="884"/>
      <c r="AB26" s="884"/>
      <c r="AC26" s="884"/>
      <c r="AD26" s="885"/>
      <c r="AE26" s="883" t="s">
        <v>2476</v>
      </c>
      <c r="AF26" s="884"/>
      <c r="AG26" s="884"/>
      <c r="AH26" s="885"/>
    </row>
    <row r="27" spans="1:34" ht="11.85" customHeight="1">
      <c r="A27" s="894" t="s">
        <v>1071</v>
      </c>
      <c r="B27" s="901"/>
      <c r="C27" s="901"/>
      <c r="D27" s="901"/>
      <c r="E27" s="901"/>
      <c r="F27" s="901"/>
      <c r="G27" s="901"/>
      <c r="H27" s="901"/>
      <c r="I27" s="895"/>
      <c r="J27" s="883" t="s">
        <v>656</v>
      </c>
      <c r="K27" s="884"/>
      <c r="L27" s="884"/>
      <c r="M27" s="884"/>
      <c r="N27" s="884"/>
      <c r="O27" s="884"/>
      <c r="P27" s="885"/>
      <c r="Q27" s="883" t="s">
        <v>656</v>
      </c>
      <c r="R27" s="884"/>
      <c r="S27" s="884"/>
      <c r="T27" s="884"/>
      <c r="U27" s="884"/>
      <c r="V27" s="884"/>
      <c r="W27" s="885"/>
      <c r="X27" s="883" t="s">
        <v>656</v>
      </c>
      <c r="Y27" s="884"/>
      <c r="Z27" s="884"/>
      <c r="AA27" s="884"/>
      <c r="AB27" s="884"/>
      <c r="AC27" s="884"/>
      <c r="AD27" s="885"/>
      <c r="AE27" s="883" t="s">
        <v>656</v>
      </c>
      <c r="AF27" s="884"/>
      <c r="AG27" s="884"/>
      <c r="AH27" s="885"/>
    </row>
    <row r="28" spans="1:34" ht="11.85" customHeight="1">
      <c r="A28" s="894" t="s">
        <v>1072</v>
      </c>
      <c r="B28" s="901"/>
      <c r="C28" s="901"/>
      <c r="D28" s="901"/>
      <c r="E28" s="901"/>
      <c r="F28" s="901"/>
      <c r="G28" s="901"/>
      <c r="H28" s="901"/>
      <c r="I28" s="895"/>
      <c r="J28" s="883" t="s">
        <v>656</v>
      </c>
      <c r="K28" s="884"/>
      <c r="L28" s="884"/>
      <c r="M28" s="884"/>
      <c r="N28" s="884"/>
      <c r="O28" s="884"/>
      <c r="P28" s="885"/>
      <c r="Q28" s="883" t="s">
        <v>656</v>
      </c>
      <c r="R28" s="884"/>
      <c r="S28" s="884"/>
      <c r="T28" s="884"/>
      <c r="U28" s="884"/>
      <c r="V28" s="884"/>
      <c r="W28" s="885"/>
      <c r="X28" s="883" t="s">
        <v>656</v>
      </c>
      <c r="Y28" s="884"/>
      <c r="Z28" s="884"/>
      <c r="AA28" s="884"/>
      <c r="AB28" s="884"/>
      <c r="AC28" s="884"/>
      <c r="AD28" s="885"/>
      <c r="AE28" s="883" t="s">
        <v>656</v>
      </c>
      <c r="AF28" s="884"/>
      <c r="AG28" s="884"/>
      <c r="AH28" s="885"/>
    </row>
    <row r="29" spans="1:34" ht="11.85" customHeight="1">
      <c r="A29" s="886" t="s">
        <v>1073</v>
      </c>
      <c r="B29" s="932"/>
      <c r="C29" s="932"/>
      <c r="D29" s="932"/>
      <c r="E29" s="932"/>
      <c r="F29" s="932"/>
      <c r="G29" s="932"/>
      <c r="H29" s="932"/>
      <c r="I29" s="887"/>
      <c r="J29" s="888" t="s">
        <v>656</v>
      </c>
      <c r="K29" s="890"/>
      <c r="L29" s="890"/>
      <c r="M29" s="890"/>
      <c r="N29" s="890"/>
      <c r="O29" s="890"/>
      <c r="P29" s="889"/>
      <c r="Q29" s="888" t="s">
        <v>656</v>
      </c>
      <c r="R29" s="890"/>
      <c r="S29" s="890"/>
      <c r="T29" s="890"/>
      <c r="U29" s="890"/>
      <c r="V29" s="890"/>
      <c r="W29" s="889"/>
      <c r="X29" s="888" t="s">
        <v>656</v>
      </c>
      <c r="Y29" s="890"/>
      <c r="Z29" s="890"/>
      <c r="AA29" s="890"/>
      <c r="AB29" s="890"/>
      <c r="AC29" s="890"/>
      <c r="AD29" s="889"/>
      <c r="AE29" s="888" t="s">
        <v>656</v>
      </c>
      <c r="AF29" s="890"/>
      <c r="AG29" s="890"/>
      <c r="AH29" s="889"/>
    </row>
    <row r="30" spans="1:34" ht="11.1" customHeight="1">
      <c r="A30" s="902" t="s">
        <v>1074</v>
      </c>
      <c r="B30" s="903"/>
      <c r="C30" s="903"/>
      <c r="D30" s="903"/>
      <c r="E30" s="903"/>
      <c r="F30" s="903"/>
      <c r="G30" s="903"/>
      <c r="H30" s="903"/>
      <c r="I30" s="904"/>
      <c r="J30" s="905" t="s">
        <v>1420</v>
      </c>
      <c r="K30" s="906"/>
      <c r="L30" s="906"/>
      <c r="M30" s="906"/>
      <c r="N30" s="906"/>
      <c r="O30" s="906"/>
      <c r="P30" s="907"/>
      <c r="Q30" s="905" t="s">
        <v>2477</v>
      </c>
      <c r="R30" s="906"/>
      <c r="S30" s="906"/>
      <c r="T30" s="906"/>
      <c r="U30" s="906"/>
      <c r="V30" s="906"/>
      <c r="W30" s="907"/>
      <c r="X30" s="905" t="s">
        <v>2478</v>
      </c>
      <c r="Y30" s="906"/>
      <c r="Z30" s="906"/>
      <c r="AA30" s="906"/>
      <c r="AB30" s="906"/>
      <c r="AC30" s="906"/>
      <c r="AD30" s="907"/>
      <c r="AE30" s="905" t="s">
        <v>2479</v>
      </c>
      <c r="AF30" s="906"/>
      <c r="AG30" s="906"/>
      <c r="AH30" s="907"/>
    </row>
    <row r="31" spans="1:34" ht="11.85" customHeight="1">
      <c r="A31" s="773"/>
      <c r="B31" s="773"/>
      <c r="C31" s="773"/>
      <c r="D31" s="773"/>
      <c r="E31" s="773"/>
      <c r="F31" s="773"/>
      <c r="G31" s="773"/>
      <c r="H31" s="773"/>
      <c r="I31" s="773"/>
      <c r="J31" s="773"/>
      <c r="K31" s="773"/>
      <c r="L31" s="773"/>
      <c r="M31" s="773"/>
      <c r="N31" s="773"/>
      <c r="O31" s="773"/>
      <c r="P31" s="773"/>
      <c r="Q31" s="773"/>
      <c r="R31" s="773"/>
      <c r="S31" s="773"/>
      <c r="T31" s="773"/>
      <c r="U31" s="773"/>
      <c r="V31" s="773"/>
      <c r="W31" s="773"/>
      <c r="X31" s="773"/>
      <c r="Y31" s="773"/>
      <c r="Z31" s="773"/>
      <c r="AA31" s="773"/>
      <c r="AB31" s="773"/>
      <c r="AC31" s="773"/>
      <c r="AD31" s="773"/>
      <c r="AE31" s="773"/>
      <c r="AF31" s="773"/>
      <c r="AG31" s="773"/>
      <c r="AH31" s="773"/>
    </row>
    <row r="32" spans="1:34" ht="11.85" customHeight="1">
      <c r="A32" s="908" t="s">
        <v>1075</v>
      </c>
      <c r="B32" s="909"/>
      <c r="C32" s="909"/>
      <c r="D32" s="909"/>
      <c r="E32" s="910"/>
      <c r="F32" s="712" t="s">
        <v>1076</v>
      </c>
      <c r="G32" s="714"/>
      <c r="H32" s="712" t="s">
        <v>910</v>
      </c>
      <c r="I32" s="743"/>
      <c r="J32" s="743"/>
      <c r="K32" s="743"/>
      <c r="L32" s="714"/>
      <c r="M32" s="734" t="s">
        <v>864</v>
      </c>
      <c r="N32" s="735"/>
      <c r="O32" s="735"/>
      <c r="P32" s="735"/>
      <c r="Q32" s="735"/>
      <c r="R32" s="735"/>
      <c r="S32" s="736"/>
      <c r="T32" s="734" t="s">
        <v>866</v>
      </c>
      <c r="U32" s="735"/>
      <c r="V32" s="735"/>
      <c r="W32" s="735"/>
      <c r="X32" s="735"/>
      <c r="Y32" s="735"/>
      <c r="Z32" s="735"/>
      <c r="AA32" s="735"/>
      <c r="AB32" s="736"/>
      <c r="AC32" s="734" t="s">
        <v>1077</v>
      </c>
      <c r="AD32" s="735"/>
      <c r="AE32" s="735"/>
      <c r="AF32" s="735"/>
      <c r="AG32" s="735"/>
      <c r="AH32" s="736"/>
    </row>
    <row r="33" spans="1:34" ht="17.850000000000001" customHeight="1">
      <c r="A33" s="911"/>
      <c r="B33" s="912"/>
      <c r="C33" s="912"/>
      <c r="D33" s="912"/>
      <c r="E33" s="913"/>
      <c r="F33" s="715"/>
      <c r="G33" s="716"/>
      <c r="H33" s="715"/>
      <c r="I33" s="744"/>
      <c r="J33" s="744"/>
      <c r="K33" s="744"/>
      <c r="L33" s="716"/>
      <c r="M33" s="712" t="s">
        <v>1078</v>
      </c>
      <c r="N33" s="737"/>
      <c r="O33" s="738"/>
      <c r="P33" s="712" t="s">
        <v>1079</v>
      </c>
      <c r="Q33" s="737"/>
      <c r="R33" s="737"/>
      <c r="S33" s="738"/>
      <c r="T33" s="712" t="s">
        <v>1080</v>
      </c>
      <c r="U33" s="737"/>
      <c r="V33" s="737"/>
      <c r="W33" s="737"/>
      <c r="X33" s="738"/>
      <c r="Y33" s="712" t="s">
        <v>1081</v>
      </c>
      <c r="Z33" s="737"/>
      <c r="AA33" s="737"/>
      <c r="AB33" s="738"/>
      <c r="AC33" s="712" t="s">
        <v>1082</v>
      </c>
      <c r="AD33" s="737"/>
      <c r="AE33" s="737"/>
      <c r="AF33" s="738"/>
      <c r="AG33" s="712" t="s">
        <v>1083</v>
      </c>
      <c r="AH33" s="738"/>
    </row>
    <row r="34" spans="1:34" ht="11.1" customHeight="1">
      <c r="A34" s="880" t="s">
        <v>1084</v>
      </c>
      <c r="B34" s="881"/>
      <c r="C34" s="881"/>
      <c r="D34" s="881"/>
      <c r="E34" s="882"/>
      <c r="F34" s="898" t="s">
        <v>1421</v>
      </c>
      <c r="G34" s="900"/>
      <c r="H34" s="898" t="s">
        <v>2480</v>
      </c>
      <c r="I34" s="899"/>
      <c r="J34" s="899"/>
      <c r="K34" s="899"/>
      <c r="L34" s="900"/>
      <c r="M34" s="898" t="s">
        <v>2481</v>
      </c>
      <c r="N34" s="899"/>
      <c r="O34" s="900"/>
      <c r="P34" s="898" t="s">
        <v>1317</v>
      </c>
      <c r="Q34" s="899"/>
      <c r="R34" s="899"/>
      <c r="S34" s="900"/>
      <c r="T34" s="898" t="s">
        <v>2482</v>
      </c>
      <c r="U34" s="899"/>
      <c r="V34" s="899"/>
      <c r="W34" s="899"/>
      <c r="X34" s="900"/>
      <c r="Y34" s="898" t="s">
        <v>1467</v>
      </c>
      <c r="Z34" s="899"/>
      <c r="AA34" s="899"/>
      <c r="AB34" s="900"/>
      <c r="AC34" s="898" t="s">
        <v>2483</v>
      </c>
      <c r="AD34" s="899"/>
      <c r="AE34" s="899"/>
      <c r="AF34" s="900"/>
      <c r="AG34" s="898" t="s">
        <v>2484</v>
      </c>
      <c r="AH34" s="900"/>
    </row>
    <row r="35" spans="1:34" ht="11.85" customHeight="1">
      <c r="A35" s="894" t="s">
        <v>1086</v>
      </c>
      <c r="B35" s="901"/>
      <c r="C35" s="901"/>
      <c r="D35" s="901"/>
      <c r="E35" s="895"/>
      <c r="F35" s="883" t="s">
        <v>1422</v>
      </c>
      <c r="G35" s="885"/>
      <c r="H35" s="883" t="s">
        <v>2485</v>
      </c>
      <c r="I35" s="884"/>
      <c r="J35" s="884"/>
      <c r="K35" s="884"/>
      <c r="L35" s="885"/>
      <c r="M35" s="883" t="s">
        <v>2481</v>
      </c>
      <c r="N35" s="884"/>
      <c r="O35" s="885"/>
      <c r="P35" s="883" t="s">
        <v>2486</v>
      </c>
      <c r="Q35" s="884"/>
      <c r="R35" s="884"/>
      <c r="S35" s="885"/>
      <c r="T35" s="883" t="s">
        <v>2482</v>
      </c>
      <c r="U35" s="884"/>
      <c r="V35" s="884"/>
      <c r="W35" s="884"/>
      <c r="X35" s="885"/>
      <c r="Y35" s="883" t="s">
        <v>2487</v>
      </c>
      <c r="Z35" s="884"/>
      <c r="AA35" s="884"/>
      <c r="AB35" s="885"/>
      <c r="AC35" s="883" t="s">
        <v>2483</v>
      </c>
      <c r="AD35" s="884"/>
      <c r="AE35" s="884"/>
      <c r="AF35" s="885"/>
      <c r="AG35" s="883" t="s">
        <v>2488</v>
      </c>
      <c r="AH35" s="885"/>
    </row>
    <row r="36" spans="1:34" ht="11.85" customHeight="1">
      <c r="A36" s="894" t="s">
        <v>1087</v>
      </c>
      <c r="B36" s="901"/>
      <c r="C36" s="901"/>
      <c r="D36" s="901"/>
      <c r="E36" s="895"/>
      <c r="F36" s="883" t="s">
        <v>1423</v>
      </c>
      <c r="G36" s="885"/>
      <c r="H36" s="883" t="s">
        <v>1423</v>
      </c>
      <c r="I36" s="884"/>
      <c r="J36" s="884"/>
      <c r="K36" s="884"/>
      <c r="L36" s="885"/>
      <c r="M36" s="883" t="s">
        <v>656</v>
      </c>
      <c r="N36" s="884"/>
      <c r="O36" s="885"/>
      <c r="P36" s="883" t="s">
        <v>656</v>
      </c>
      <c r="Q36" s="884"/>
      <c r="R36" s="884"/>
      <c r="S36" s="885"/>
      <c r="T36" s="883" t="s">
        <v>656</v>
      </c>
      <c r="U36" s="884"/>
      <c r="V36" s="884"/>
      <c r="W36" s="884"/>
      <c r="X36" s="885"/>
      <c r="Y36" s="883" t="s">
        <v>656</v>
      </c>
      <c r="Z36" s="884"/>
      <c r="AA36" s="884"/>
      <c r="AB36" s="885"/>
      <c r="AC36" s="883" t="s">
        <v>656</v>
      </c>
      <c r="AD36" s="884"/>
      <c r="AE36" s="884"/>
      <c r="AF36" s="885"/>
      <c r="AG36" s="883" t="s">
        <v>656</v>
      </c>
      <c r="AH36" s="885"/>
    </row>
    <row r="37" spans="1:34" ht="11.85" customHeight="1">
      <c r="A37" s="894" t="s">
        <v>1088</v>
      </c>
      <c r="B37" s="901"/>
      <c r="C37" s="901"/>
      <c r="D37" s="901"/>
      <c r="E37" s="895"/>
      <c r="F37" s="883" t="s">
        <v>1424</v>
      </c>
      <c r="G37" s="885"/>
      <c r="H37" s="883" t="s">
        <v>2489</v>
      </c>
      <c r="I37" s="884"/>
      <c r="J37" s="884"/>
      <c r="K37" s="884"/>
      <c r="L37" s="885"/>
      <c r="M37" s="883" t="s">
        <v>2490</v>
      </c>
      <c r="N37" s="884"/>
      <c r="O37" s="885"/>
      <c r="P37" s="883" t="s">
        <v>2491</v>
      </c>
      <c r="Q37" s="884"/>
      <c r="R37" s="884"/>
      <c r="S37" s="885"/>
      <c r="T37" s="883" t="s">
        <v>2492</v>
      </c>
      <c r="U37" s="884"/>
      <c r="V37" s="884"/>
      <c r="W37" s="884"/>
      <c r="X37" s="885"/>
      <c r="Y37" s="883" t="s">
        <v>2447</v>
      </c>
      <c r="Z37" s="884"/>
      <c r="AA37" s="884"/>
      <c r="AB37" s="885"/>
      <c r="AC37" s="883" t="s">
        <v>2493</v>
      </c>
      <c r="AD37" s="884"/>
      <c r="AE37" s="884"/>
      <c r="AF37" s="885"/>
      <c r="AG37" s="883" t="s">
        <v>2494</v>
      </c>
      <c r="AH37" s="885"/>
    </row>
    <row r="38" spans="1:34" ht="11.1" customHeight="1">
      <c r="A38" s="894" t="s">
        <v>1086</v>
      </c>
      <c r="B38" s="901"/>
      <c r="C38" s="901"/>
      <c r="D38" s="901"/>
      <c r="E38" s="895"/>
      <c r="F38" s="883" t="s">
        <v>1425</v>
      </c>
      <c r="G38" s="885"/>
      <c r="H38" s="883" t="s">
        <v>2495</v>
      </c>
      <c r="I38" s="884"/>
      <c r="J38" s="884"/>
      <c r="K38" s="884"/>
      <c r="L38" s="885"/>
      <c r="M38" s="883" t="s">
        <v>2490</v>
      </c>
      <c r="N38" s="884"/>
      <c r="O38" s="885"/>
      <c r="P38" s="883" t="s">
        <v>2491</v>
      </c>
      <c r="Q38" s="884"/>
      <c r="R38" s="884"/>
      <c r="S38" s="885"/>
      <c r="T38" s="883" t="s">
        <v>2492</v>
      </c>
      <c r="U38" s="884"/>
      <c r="V38" s="884"/>
      <c r="W38" s="884"/>
      <c r="X38" s="885"/>
      <c r="Y38" s="883" t="s">
        <v>2447</v>
      </c>
      <c r="Z38" s="884"/>
      <c r="AA38" s="884"/>
      <c r="AB38" s="885"/>
      <c r="AC38" s="883" t="s">
        <v>2493</v>
      </c>
      <c r="AD38" s="884"/>
      <c r="AE38" s="884"/>
      <c r="AF38" s="885"/>
      <c r="AG38" s="883" t="s">
        <v>2494</v>
      </c>
      <c r="AH38" s="885"/>
    </row>
    <row r="39" spans="1:34" ht="11.85" customHeight="1">
      <c r="A39" s="894" t="s">
        <v>1087</v>
      </c>
      <c r="B39" s="901"/>
      <c r="C39" s="901"/>
      <c r="D39" s="901"/>
      <c r="E39" s="895"/>
      <c r="F39" s="883" t="s">
        <v>851</v>
      </c>
      <c r="G39" s="885"/>
      <c r="H39" s="883" t="s">
        <v>851</v>
      </c>
      <c r="I39" s="884"/>
      <c r="J39" s="884"/>
      <c r="K39" s="884"/>
      <c r="L39" s="885"/>
      <c r="M39" s="883" t="s">
        <v>656</v>
      </c>
      <c r="N39" s="884"/>
      <c r="O39" s="885"/>
      <c r="P39" s="883" t="s">
        <v>656</v>
      </c>
      <c r="Q39" s="884"/>
      <c r="R39" s="884"/>
      <c r="S39" s="885"/>
      <c r="T39" s="883" t="s">
        <v>656</v>
      </c>
      <c r="U39" s="884"/>
      <c r="V39" s="884"/>
      <c r="W39" s="884"/>
      <c r="X39" s="885"/>
      <c r="Y39" s="883" t="s">
        <v>656</v>
      </c>
      <c r="Z39" s="884"/>
      <c r="AA39" s="884"/>
      <c r="AB39" s="885"/>
      <c r="AC39" s="883" t="s">
        <v>656</v>
      </c>
      <c r="AD39" s="884"/>
      <c r="AE39" s="884"/>
      <c r="AF39" s="885"/>
      <c r="AG39" s="883" t="s">
        <v>656</v>
      </c>
      <c r="AH39" s="885"/>
    </row>
    <row r="40" spans="1:34" ht="11.85" customHeight="1">
      <c r="A40" s="894" t="s">
        <v>1089</v>
      </c>
      <c r="B40" s="901"/>
      <c r="C40" s="901"/>
      <c r="D40" s="901"/>
      <c r="E40" s="895"/>
      <c r="F40" s="883" t="s">
        <v>1426</v>
      </c>
      <c r="G40" s="885"/>
      <c r="H40" s="883" t="s">
        <v>1426</v>
      </c>
      <c r="I40" s="884"/>
      <c r="J40" s="884"/>
      <c r="K40" s="884"/>
      <c r="L40" s="885"/>
      <c r="M40" s="883" t="s">
        <v>2496</v>
      </c>
      <c r="N40" s="884"/>
      <c r="O40" s="885"/>
      <c r="P40" s="883" t="s">
        <v>2497</v>
      </c>
      <c r="Q40" s="884"/>
      <c r="R40" s="884"/>
      <c r="S40" s="885"/>
      <c r="T40" s="883" t="s">
        <v>2496</v>
      </c>
      <c r="U40" s="884"/>
      <c r="V40" s="884"/>
      <c r="W40" s="884"/>
      <c r="X40" s="885"/>
      <c r="Y40" s="883" t="s">
        <v>2497</v>
      </c>
      <c r="Z40" s="884"/>
      <c r="AA40" s="884"/>
      <c r="AB40" s="885"/>
      <c r="AC40" s="883" t="s">
        <v>2498</v>
      </c>
      <c r="AD40" s="884"/>
      <c r="AE40" s="884"/>
      <c r="AF40" s="885"/>
      <c r="AG40" s="883" t="s">
        <v>2499</v>
      </c>
      <c r="AH40" s="885"/>
    </row>
    <row r="41" spans="1:34" ht="11.85" customHeight="1">
      <c r="A41" s="894" t="s">
        <v>1086</v>
      </c>
      <c r="B41" s="901"/>
      <c r="C41" s="901"/>
      <c r="D41" s="901"/>
      <c r="E41" s="895"/>
      <c r="F41" s="883" t="s">
        <v>1426</v>
      </c>
      <c r="G41" s="885"/>
      <c r="H41" s="883" t="s">
        <v>1426</v>
      </c>
      <c r="I41" s="884"/>
      <c r="J41" s="884"/>
      <c r="K41" s="884"/>
      <c r="L41" s="885"/>
      <c r="M41" s="883" t="s">
        <v>2496</v>
      </c>
      <c r="N41" s="884"/>
      <c r="O41" s="885"/>
      <c r="P41" s="883" t="s">
        <v>2497</v>
      </c>
      <c r="Q41" s="884"/>
      <c r="R41" s="884"/>
      <c r="S41" s="885"/>
      <c r="T41" s="883" t="s">
        <v>2496</v>
      </c>
      <c r="U41" s="884"/>
      <c r="V41" s="884"/>
      <c r="W41" s="884"/>
      <c r="X41" s="885"/>
      <c r="Y41" s="883" t="s">
        <v>2497</v>
      </c>
      <c r="Z41" s="884"/>
      <c r="AA41" s="884"/>
      <c r="AB41" s="885"/>
      <c r="AC41" s="883" t="s">
        <v>2498</v>
      </c>
      <c r="AD41" s="884"/>
      <c r="AE41" s="884"/>
      <c r="AF41" s="885"/>
      <c r="AG41" s="883" t="s">
        <v>2499</v>
      </c>
      <c r="AH41" s="885"/>
    </row>
    <row r="42" spans="1:34" ht="11.1" customHeight="1">
      <c r="A42" s="894" t="s">
        <v>1087</v>
      </c>
      <c r="B42" s="901"/>
      <c r="C42" s="901"/>
      <c r="D42" s="901"/>
      <c r="E42" s="895"/>
      <c r="F42" s="883" t="s">
        <v>656</v>
      </c>
      <c r="G42" s="885"/>
      <c r="H42" s="883" t="s">
        <v>656</v>
      </c>
      <c r="I42" s="884"/>
      <c r="J42" s="884"/>
      <c r="K42" s="884"/>
      <c r="L42" s="885"/>
      <c r="M42" s="883" t="s">
        <v>656</v>
      </c>
      <c r="N42" s="884"/>
      <c r="O42" s="885"/>
      <c r="P42" s="883" t="s">
        <v>656</v>
      </c>
      <c r="Q42" s="884"/>
      <c r="R42" s="884"/>
      <c r="S42" s="885"/>
      <c r="T42" s="883" t="s">
        <v>656</v>
      </c>
      <c r="U42" s="884"/>
      <c r="V42" s="884"/>
      <c r="W42" s="884"/>
      <c r="X42" s="885"/>
      <c r="Y42" s="883" t="s">
        <v>656</v>
      </c>
      <c r="Z42" s="884"/>
      <c r="AA42" s="884"/>
      <c r="AB42" s="885"/>
      <c r="AC42" s="883" t="s">
        <v>656</v>
      </c>
      <c r="AD42" s="884"/>
      <c r="AE42" s="884"/>
      <c r="AF42" s="885"/>
      <c r="AG42" s="883" t="s">
        <v>656</v>
      </c>
      <c r="AH42" s="885"/>
    </row>
    <row r="43" spans="1:34" ht="11.85" customHeight="1">
      <c r="A43" s="894" t="s">
        <v>1090</v>
      </c>
      <c r="B43" s="901"/>
      <c r="C43" s="901"/>
      <c r="D43" s="901"/>
      <c r="E43" s="895"/>
      <c r="F43" s="883" t="s">
        <v>1427</v>
      </c>
      <c r="G43" s="885"/>
      <c r="H43" s="883" t="s">
        <v>1427</v>
      </c>
      <c r="I43" s="884"/>
      <c r="J43" s="884"/>
      <c r="K43" s="884"/>
      <c r="L43" s="885"/>
      <c r="M43" s="883" t="s">
        <v>2500</v>
      </c>
      <c r="N43" s="884"/>
      <c r="O43" s="885"/>
      <c r="P43" s="883" t="s">
        <v>2501</v>
      </c>
      <c r="Q43" s="884"/>
      <c r="R43" s="884"/>
      <c r="S43" s="885"/>
      <c r="T43" s="883" t="s">
        <v>2500</v>
      </c>
      <c r="U43" s="884"/>
      <c r="V43" s="884"/>
      <c r="W43" s="884"/>
      <c r="X43" s="885"/>
      <c r="Y43" s="883" t="s">
        <v>2501</v>
      </c>
      <c r="Z43" s="884"/>
      <c r="AA43" s="884"/>
      <c r="AB43" s="885"/>
      <c r="AC43" s="883" t="s">
        <v>2502</v>
      </c>
      <c r="AD43" s="884"/>
      <c r="AE43" s="884"/>
      <c r="AF43" s="885"/>
      <c r="AG43" s="883" t="s">
        <v>2503</v>
      </c>
      <c r="AH43" s="885"/>
    </row>
    <row r="44" spans="1:34" ht="11.85" customHeight="1">
      <c r="A44" s="894" t="s">
        <v>1086</v>
      </c>
      <c r="B44" s="901"/>
      <c r="C44" s="901"/>
      <c r="D44" s="901"/>
      <c r="E44" s="895"/>
      <c r="F44" s="883" t="s">
        <v>1428</v>
      </c>
      <c r="G44" s="885"/>
      <c r="H44" s="883" t="s">
        <v>1428</v>
      </c>
      <c r="I44" s="884"/>
      <c r="J44" s="884"/>
      <c r="K44" s="884"/>
      <c r="L44" s="885"/>
      <c r="M44" s="883" t="s">
        <v>2500</v>
      </c>
      <c r="N44" s="884"/>
      <c r="O44" s="885"/>
      <c r="P44" s="883" t="s">
        <v>2501</v>
      </c>
      <c r="Q44" s="884"/>
      <c r="R44" s="884"/>
      <c r="S44" s="885"/>
      <c r="T44" s="883" t="s">
        <v>2500</v>
      </c>
      <c r="U44" s="884"/>
      <c r="V44" s="884"/>
      <c r="W44" s="884"/>
      <c r="X44" s="885"/>
      <c r="Y44" s="883" t="s">
        <v>2501</v>
      </c>
      <c r="Z44" s="884"/>
      <c r="AA44" s="884"/>
      <c r="AB44" s="885"/>
      <c r="AC44" s="883" t="s">
        <v>2502</v>
      </c>
      <c r="AD44" s="884"/>
      <c r="AE44" s="884"/>
      <c r="AF44" s="885"/>
      <c r="AG44" s="883" t="s">
        <v>2503</v>
      </c>
      <c r="AH44" s="885"/>
    </row>
    <row r="45" spans="1:34" ht="11.85" customHeight="1">
      <c r="A45" s="894" t="s">
        <v>1087</v>
      </c>
      <c r="B45" s="901"/>
      <c r="C45" s="901"/>
      <c r="D45" s="901"/>
      <c r="E45" s="895"/>
      <c r="F45" s="883" t="s">
        <v>1091</v>
      </c>
      <c r="G45" s="885"/>
      <c r="H45" s="883" t="s">
        <v>1091</v>
      </c>
      <c r="I45" s="884"/>
      <c r="J45" s="884"/>
      <c r="K45" s="884"/>
      <c r="L45" s="885"/>
      <c r="M45" s="883" t="s">
        <v>656</v>
      </c>
      <c r="N45" s="884"/>
      <c r="O45" s="885"/>
      <c r="P45" s="883" t="s">
        <v>656</v>
      </c>
      <c r="Q45" s="884"/>
      <c r="R45" s="884"/>
      <c r="S45" s="885"/>
      <c r="T45" s="883" t="s">
        <v>656</v>
      </c>
      <c r="U45" s="884"/>
      <c r="V45" s="884"/>
      <c r="W45" s="884"/>
      <c r="X45" s="885"/>
      <c r="Y45" s="883" t="s">
        <v>656</v>
      </c>
      <c r="Z45" s="884"/>
      <c r="AA45" s="884"/>
      <c r="AB45" s="885"/>
      <c r="AC45" s="883" t="s">
        <v>656</v>
      </c>
      <c r="AD45" s="884"/>
      <c r="AE45" s="884"/>
      <c r="AF45" s="885"/>
      <c r="AG45" s="883" t="s">
        <v>656</v>
      </c>
      <c r="AH45" s="885"/>
    </row>
    <row r="46" spans="1:34" ht="5.0999999999999996" customHeight="1"/>
    <row r="47" spans="1:34" ht="11.85" customHeight="1">
      <c r="A47" s="739" t="s">
        <v>2504</v>
      </c>
      <c r="B47" s="739"/>
      <c r="C47" s="739"/>
      <c r="D47" s="739"/>
      <c r="E47" s="739"/>
      <c r="F47" s="739"/>
      <c r="G47" s="739"/>
      <c r="H47" s="739"/>
      <c r="I47" s="739"/>
      <c r="J47" s="739"/>
      <c r="K47" s="739"/>
      <c r="L47" s="739"/>
      <c r="M47" s="739"/>
      <c r="N47" s="739"/>
      <c r="O47" s="739"/>
      <c r="P47" s="739"/>
      <c r="Q47" s="739"/>
      <c r="R47" s="739"/>
      <c r="S47" s="739"/>
      <c r="T47" s="739"/>
      <c r="U47" s="739"/>
      <c r="V47" s="739"/>
      <c r="W47" s="739"/>
      <c r="X47" s="739"/>
      <c r="Y47" s="739"/>
      <c r="Z47" s="739"/>
      <c r="AA47" s="739"/>
      <c r="AB47" s="739"/>
      <c r="AC47" s="739"/>
      <c r="AD47" s="739"/>
      <c r="AE47" s="739"/>
      <c r="AF47" s="739"/>
      <c r="AG47" s="739"/>
    </row>
    <row r="48" spans="1:34" ht="5.85" customHeight="1"/>
    <row r="49" spans="1:34" ht="11.85" customHeight="1">
      <c r="A49" s="717" t="s">
        <v>661</v>
      </c>
      <c r="B49" s="717"/>
      <c r="C49" s="717"/>
      <c r="D49" s="717"/>
      <c r="E49" s="717"/>
      <c r="F49" s="717"/>
      <c r="G49" s="717"/>
      <c r="AG49" s="562" t="s">
        <v>922</v>
      </c>
    </row>
    <row r="50" spans="1:34" ht="11.1" customHeight="1">
      <c r="A50" s="717" t="s">
        <v>655</v>
      </c>
      <c r="B50" s="717"/>
      <c r="C50" s="717"/>
      <c r="D50" s="717"/>
      <c r="E50" s="717"/>
      <c r="F50" s="717"/>
      <c r="G50" s="717"/>
    </row>
    <row r="51" spans="1:34" ht="11.85" customHeight="1">
      <c r="A51" s="740" t="s">
        <v>1052</v>
      </c>
      <c r="B51" s="740"/>
      <c r="C51" s="740"/>
      <c r="D51" s="740"/>
      <c r="E51" s="740"/>
      <c r="F51" s="740"/>
      <c r="G51" s="740"/>
    </row>
    <row r="52" spans="1:34" ht="11.85" customHeight="1">
      <c r="A52" s="717" t="s">
        <v>660</v>
      </c>
      <c r="B52" s="717"/>
      <c r="C52" s="717"/>
      <c r="D52" s="717"/>
      <c r="E52" s="717"/>
      <c r="F52" s="717"/>
      <c r="G52" s="717"/>
    </row>
    <row r="53" spans="1:34" ht="11.85" customHeight="1">
      <c r="A53" s="717" t="s">
        <v>2445</v>
      </c>
      <c r="B53" s="717"/>
      <c r="C53" s="717"/>
      <c r="D53" s="717"/>
      <c r="E53" s="717"/>
      <c r="F53" s="717"/>
      <c r="G53" s="717"/>
    </row>
    <row r="54" spans="1:34" ht="5.85" customHeight="1"/>
    <row r="55" spans="1:34" ht="11.1" customHeight="1">
      <c r="A55" s="741" t="s">
        <v>1053</v>
      </c>
      <c r="B55" s="741"/>
      <c r="C55" s="741"/>
      <c r="D55" s="741"/>
      <c r="E55" s="741"/>
      <c r="F55" s="741"/>
      <c r="G55" s="741"/>
      <c r="H55" s="466"/>
      <c r="I55" s="466"/>
      <c r="J55" s="466"/>
      <c r="K55" s="466"/>
      <c r="L55" s="466"/>
      <c r="M55" s="466"/>
      <c r="N55" s="466"/>
      <c r="O55" s="466"/>
      <c r="P55" s="466"/>
      <c r="Q55" s="466"/>
      <c r="R55" s="466"/>
      <c r="S55" s="466"/>
      <c r="T55" s="466"/>
      <c r="U55" s="466"/>
      <c r="V55" s="466"/>
      <c r="W55" s="466"/>
      <c r="X55" s="466"/>
      <c r="Y55" s="466"/>
      <c r="Z55" s="466"/>
      <c r="AA55" s="466"/>
      <c r="AB55" s="466"/>
      <c r="AC55" s="466"/>
      <c r="AD55" s="466"/>
      <c r="AE55" s="466"/>
      <c r="AF55" s="466"/>
      <c r="AG55" s="466"/>
      <c r="AH55" s="466"/>
    </row>
    <row r="56" spans="1:34" ht="11.85" customHeight="1">
      <c r="A56" s="908" t="s">
        <v>1075</v>
      </c>
      <c r="B56" s="909"/>
      <c r="C56" s="909"/>
      <c r="D56" s="909"/>
      <c r="E56" s="910"/>
      <c r="F56" s="712" t="s">
        <v>1076</v>
      </c>
      <c r="G56" s="714"/>
      <c r="H56" s="712" t="s">
        <v>910</v>
      </c>
      <c r="I56" s="743"/>
      <c r="J56" s="743"/>
      <c r="K56" s="743"/>
      <c r="L56" s="714"/>
      <c r="M56" s="734" t="s">
        <v>864</v>
      </c>
      <c r="N56" s="735"/>
      <c r="O56" s="735"/>
      <c r="P56" s="735"/>
      <c r="Q56" s="735"/>
      <c r="R56" s="735"/>
      <c r="S56" s="736"/>
      <c r="T56" s="734" t="s">
        <v>866</v>
      </c>
      <c r="U56" s="735"/>
      <c r="V56" s="735"/>
      <c r="W56" s="735"/>
      <c r="X56" s="735"/>
      <c r="Y56" s="735"/>
      <c r="Z56" s="735"/>
      <c r="AA56" s="735"/>
      <c r="AB56" s="736"/>
      <c r="AC56" s="734" t="s">
        <v>1077</v>
      </c>
      <c r="AD56" s="735"/>
      <c r="AE56" s="735"/>
      <c r="AF56" s="735"/>
      <c r="AG56" s="735"/>
      <c r="AH56" s="736"/>
    </row>
    <row r="57" spans="1:34" ht="17.850000000000001" customHeight="1">
      <c r="A57" s="911"/>
      <c r="B57" s="912"/>
      <c r="C57" s="912"/>
      <c r="D57" s="912"/>
      <c r="E57" s="913"/>
      <c r="F57" s="715"/>
      <c r="G57" s="716"/>
      <c r="H57" s="715"/>
      <c r="I57" s="744"/>
      <c r="J57" s="744"/>
      <c r="K57" s="744"/>
      <c r="L57" s="716"/>
      <c r="M57" s="712" t="s">
        <v>1078</v>
      </c>
      <c r="N57" s="737"/>
      <c r="O57" s="738"/>
      <c r="P57" s="712" t="s">
        <v>1079</v>
      </c>
      <c r="Q57" s="737"/>
      <c r="R57" s="737"/>
      <c r="S57" s="738"/>
      <c r="T57" s="712" t="s">
        <v>1080</v>
      </c>
      <c r="U57" s="737"/>
      <c r="V57" s="737"/>
      <c r="W57" s="737"/>
      <c r="X57" s="738"/>
      <c r="Y57" s="712" t="s">
        <v>1081</v>
      </c>
      <c r="Z57" s="737"/>
      <c r="AA57" s="737"/>
      <c r="AB57" s="738"/>
      <c r="AC57" s="712" t="s">
        <v>1082</v>
      </c>
      <c r="AD57" s="737"/>
      <c r="AE57" s="737"/>
      <c r="AF57" s="738"/>
      <c r="AG57" s="712" t="s">
        <v>1083</v>
      </c>
      <c r="AH57" s="738"/>
    </row>
    <row r="58" spans="1:34" ht="11.1" customHeight="1">
      <c r="A58" s="880" t="s">
        <v>1092</v>
      </c>
      <c r="B58" s="881"/>
      <c r="C58" s="881"/>
      <c r="D58" s="881"/>
      <c r="E58" s="882"/>
      <c r="F58" s="898" t="s">
        <v>1429</v>
      </c>
      <c r="G58" s="900"/>
      <c r="H58" s="898" t="s">
        <v>1429</v>
      </c>
      <c r="I58" s="899"/>
      <c r="J58" s="899"/>
      <c r="K58" s="899"/>
      <c r="L58" s="900"/>
      <c r="M58" s="898" t="s">
        <v>2505</v>
      </c>
      <c r="N58" s="899"/>
      <c r="O58" s="900"/>
      <c r="P58" s="898" t="s">
        <v>2506</v>
      </c>
      <c r="Q58" s="899"/>
      <c r="R58" s="899"/>
      <c r="S58" s="900"/>
      <c r="T58" s="898" t="s">
        <v>2505</v>
      </c>
      <c r="U58" s="899"/>
      <c r="V58" s="899"/>
      <c r="W58" s="899"/>
      <c r="X58" s="900"/>
      <c r="Y58" s="898" t="s">
        <v>2506</v>
      </c>
      <c r="Z58" s="899"/>
      <c r="AA58" s="899"/>
      <c r="AB58" s="900"/>
      <c r="AC58" s="898" t="s">
        <v>2507</v>
      </c>
      <c r="AD58" s="899"/>
      <c r="AE58" s="899"/>
      <c r="AF58" s="900"/>
      <c r="AG58" s="898" t="s">
        <v>2508</v>
      </c>
      <c r="AH58" s="900"/>
    </row>
    <row r="59" spans="1:34" ht="11.85" customHeight="1">
      <c r="A59" s="894" t="s">
        <v>1086</v>
      </c>
      <c r="B59" s="901"/>
      <c r="C59" s="901"/>
      <c r="D59" s="901"/>
      <c r="E59" s="895"/>
      <c r="F59" s="883" t="s">
        <v>1429</v>
      </c>
      <c r="G59" s="885"/>
      <c r="H59" s="883" t="s">
        <v>1429</v>
      </c>
      <c r="I59" s="884"/>
      <c r="J59" s="884"/>
      <c r="K59" s="884"/>
      <c r="L59" s="885"/>
      <c r="M59" s="883" t="s">
        <v>2505</v>
      </c>
      <c r="N59" s="884"/>
      <c r="O59" s="885"/>
      <c r="P59" s="883" t="s">
        <v>2506</v>
      </c>
      <c r="Q59" s="884"/>
      <c r="R59" s="884"/>
      <c r="S59" s="885"/>
      <c r="T59" s="883" t="s">
        <v>2505</v>
      </c>
      <c r="U59" s="884"/>
      <c r="V59" s="884"/>
      <c r="W59" s="884"/>
      <c r="X59" s="885"/>
      <c r="Y59" s="883" t="s">
        <v>2506</v>
      </c>
      <c r="Z59" s="884"/>
      <c r="AA59" s="884"/>
      <c r="AB59" s="885"/>
      <c r="AC59" s="883" t="s">
        <v>2507</v>
      </c>
      <c r="AD59" s="884"/>
      <c r="AE59" s="884"/>
      <c r="AF59" s="885"/>
      <c r="AG59" s="883" t="s">
        <v>2508</v>
      </c>
      <c r="AH59" s="885"/>
    </row>
    <row r="60" spans="1:34" ht="11.85" customHeight="1">
      <c r="A60" s="894" t="s">
        <v>1087</v>
      </c>
      <c r="B60" s="901"/>
      <c r="C60" s="901"/>
      <c r="D60" s="901"/>
      <c r="E60" s="895"/>
      <c r="F60" s="883" t="s">
        <v>656</v>
      </c>
      <c r="G60" s="885"/>
      <c r="H60" s="883" t="s">
        <v>656</v>
      </c>
      <c r="I60" s="884"/>
      <c r="J60" s="884"/>
      <c r="K60" s="884"/>
      <c r="L60" s="885"/>
      <c r="M60" s="883" t="s">
        <v>656</v>
      </c>
      <c r="N60" s="884"/>
      <c r="O60" s="885"/>
      <c r="P60" s="883" t="s">
        <v>656</v>
      </c>
      <c r="Q60" s="884"/>
      <c r="R60" s="884"/>
      <c r="S60" s="885"/>
      <c r="T60" s="883" t="s">
        <v>656</v>
      </c>
      <c r="U60" s="884"/>
      <c r="V60" s="884"/>
      <c r="W60" s="884"/>
      <c r="X60" s="885"/>
      <c r="Y60" s="883" t="s">
        <v>656</v>
      </c>
      <c r="Z60" s="884"/>
      <c r="AA60" s="884"/>
      <c r="AB60" s="885"/>
      <c r="AC60" s="883" t="s">
        <v>656</v>
      </c>
      <c r="AD60" s="884"/>
      <c r="AE60" s="884"/>
      <c r="AF60" s="885"/>
      <c r="AG60" s="883" t="s">
        <v>656</v>
      </c>
      <c r="AH60" s="885"/>
    </row>
    <row r="61" spans="1:34" ht="11.85" customHeight="1">
      <c r="A61" s="894" t="s">
        <v>1093</v>
      </c>
      <c r="B61" s="901"/>
      <c r="C61" s="901"/>
      <c r="D61" s="901"/>
      <c r="E61" s="895"/>
      <c r="F61" s="883" t="s">
        <v>656</v>
      </c>
      <c r="G61" s="885"/>
      <c r="H61" s="883" t="s">
        <v>656</v>
      </c>
      <c r="I61" s="884"/>
      <c r="J61" s="884"/>
      <c r="K61" s="884"/>
      <c r="L61" s="885"/>
      <c r="M61" s="883" t="s">
        <v>656</v>
      </c>
      <c r="N61" s="884"/>
      <c r="O61" s="885"/>
      <c r="P61" s="883" t="s">
        <v>656</v>
      </c>
      <c r="Q61" s="884"/>
      <c r="R61" s="884"/>
      <c r="S61" s="885"/>
      <c r="T61" s="883" t="s">
        <v>656</v>
      </c>
      <c r="U61" s="884"/>
      <c r="V61" s="884"/>
      <c r="W61" s="884"/>
      <c r="X61" s="885"/>
      <c r="Y61" s="883" t="s">
        <v>656</v>
      </c>
      <c r="Z61" s="884"/>
      <c r="AA61" s="884"/>
      <c r="AB61" s="885"/>
      <c r="AC61" s="883" t="s">
        <v>656</v>
      </c>
      <c r="AD61" s="884"/>
      <c r="AE61" s="884"/>
      <c r="AF61" s="885"/>
      <c r="AG61" s="883" t="s">
        <v>656</v>
      </c>
      <c r="AH61" s="885"/>
    </row>
    <row r="62" spans="1:34" ht="11.1" customHeight="1">
      <c r="A62" s="894" t="s">
        <v>1086</v>
      </c>
      <c r="B62" s="901"/>
      <c r="C62" s="901"/>
      <c r="D62" s="901"/>
      <c r="E62" s="895"/>
      <c r="F62" s="883" t="s">
        <v>656</v>
      </c>
      <c r="G62" s="885"/>
      <c r="H62" s="883" t="s">
        <v>656</v>
      </c>
      <c r="I62" s="884"/>
      <c r="J62" s="884"/>
      <c r="K62" s="884"/>
      <c r="L62" s="885"/>
      <c r="M62" s="883" t="s">
        <v>656</v>
      </c>
      <c r="N62" s="884"/>
      <c r="O62" s="885"/>
      <c r="P62" s="883" t="s">
        <v>656</v>
      </c>
      <c r="Q62" s="884"/>
      <c r="R62" s="884"/>
      <c r="S62" s="885"/>
      <c r="T62" s="883" t="s">
        <v>656</v>
      </c>
      <c r="U62" s="884"/>
      <c r="V62" s="884"/>
      <c r="W62" s="884"/>
      <c r="X62" s="885"/>
      <c r="Y62" s="883" t="s">
        <v>656</v>
      </c>
      <c r="Z62" s="884"/>
      <c r="AA62" s="884"/>
      <c r="AB62" s="885"/>
      <c r="AC62" s="883" t="s">
        <v>656</v>
      </c>
      <c r="AD62" s="884"/>
      <c r="AE62" s="884"/>
      <c r="AF62" s="885"/>
      <c r="AG62" s="883" t="s">
        <v>656</v>
      </c>
      <c r="AH62" s="885"/>
    </row>
    <row r="63" spans="1:34" ht="11.85" customHeight="1">
      <c r="A63" s="894" t="s">
        <v>1087</v>
      </c>
      <c r="B63" s="901"/>
      <c r="C63" s="901"/>
      <c r="D63" s="901"/>
      <c r="E63" s="895"/>
      <c r="F63" s="883" t="s">
        <v>656</v>
      </c>
      <c r="G63" s="885"/>
      <c r="H63" s="883" t="s">
        <v>656</v>
      </c>
      <c r="I63" s="884"/>
      <c r="J63" s="884"/>
      <c r="K63" s="884"/>
      <c r="L63" s="885"/>
      <c r="M63" s="883" t="s">
        <v>656</v>
      </c>
      <c r="N63" s="884"/>
      <c r="O63" s="885"/>
      <c r="P63" s="883" t="s">
        <v>656</v>
      </c>
      <c r="Q63" s="884"/>
      <c r="R63" s="884"/>
      <c r="S63" s="885"/>
      <c r="T63" s="883" t="s">
        <v>656</v>
      </c>
      <c r="U63" s="884"/>
      <c r="V63" s="884"/>
      <c r="W63" s="884"/>
      <c r="X63" s="885"/>
      <c r="Y63" s="883" t="s">
        <v>656</v>
      </c>
      <c r="Z63" s="884"/>
      <c r="AA63" s="884"/>
      <c r="AB63" s="885"/>
      <c r="AC63" s="883" t="s">
        <v>656</v>
      </c>
      <c r="AD63" s="884"/>
      <c r="AE63" s="884"/>
      <c r="AF63" s="885"/>
      <c r="AG63" s="883" t="s">
        <v>656</v>
      </c>
      <c r="AH63" s="885"/>
    </row>
    <row r="64" spans="1:34" ht="11.85" customHeight="1">
      <c r="A64" s="894" t="s">
        <v>1094</v>
      </c>
      <c r="B64" s="901"/>
      <c r="C64" s="901"/>
      <c r="D64" s="901"/>
      <c r="E64" s="895"/>
      <c r="F64" s="883" t="s">
        <v>1430</v>
      </c>
      <c r="G64" s="885"/>
      <c r="H64" s="883" t="s">
        <v>2509</v>
      </c>
      <c r="I64" s="884"/>
      <c r="J64" s="884"/>
      <c r="K64" s="884"/>
      <c r="L64" s="885"/>
      <c r="M64" s="883" t="s">
        <v>2510</v>
      </c>
      <c r="N64" s="884"/>
      <c r="O64" s="885"/>
      <c r="P64" s="883" t="s">
        <v>2511</v>
      </c>
      <c r="Q64" s="884"/>
      <c r="R64" s="884"/>
      <c r="S64" s="885"/>
      <c r="T64" s="883" t="s">
        <v>2512</v>
      </c>
      <c r="U64" s="884"/>
      <c r="V64" s="884"/>
      <c r="W64" s="884"/>
      <c r="X64" s="885"/>
      <c r="Y64" s="883" t="s">
        <v>2513</v>
      </c>
      <c r="Z64" s="884"/>
      <c r="AA64" s="884"/>
      <c r="AB64" s="885"/>
      <c r="AC64" s="883" t="s">
        <v>2514</v>
      </c>
      <c r="AD64" s="884"/>
      <c r="AE64" s="884"/>
      <c r="AF64" s="885"/>
      <c r="AG64" s="883" t="s">
        <v>2515</v>
      </c>
      <c r="AH64" s="885"/>
    </row>
    <row r="65" spans="1:34" ht="11.85" customHeight="1">
      <c r="A65" s="894" t="s">
        <v>1086</v>
      </c>
      <c r="B65" s="901"/>
      <c r="C65" s="901"/>
      <c r="D65" s="901"/>
      <c r="E65" s="895"/>
      <c r="F65" s="883" t="s">
        <v>1431</v>
      </c>
      <c r="G65" s="885"/>
      <c r="H65" s="883" t="s">
        <v>2516</v>
      </c>
      <c r="I65" s="884"/>
      <c r="J65" s="884"/>
      <c r="K65" s="884"/>
      <c r="L65" s="885"/>
      <c r="M65" s="883" t="s">
        <v>2517</v>
      </c>
      <c r="N65" s="884"/>
      <c r="O65" s="885"/>
      <c r="P65" s="883" t="s">
        <v>2518</v>
      </c>
      <c r="Q65" s="884"/>
      <c r="R65" s="884"/>
      <c r="S65" s="885"/>
      <c r="T65" s="883" t="s">
        <v>2519</v>
      </c>
      <c r="U65" s="884"/>
      <c r="V65" s="884"/>
      <c r="W65" s="884"/>
      <c r="X65" s="885"/>
      <c r="Y65" s="883" t="s">
        <v>2520</v>
      </c>
      <c r="Z65" s="884"/>
      <c r="AA65" s="884"/>
      <c r="AB65" s="885"/>
      <c r="AC65" s="883" t="s">
        <v>2514</v>
      </c>
      <c r="AD65" s="884"/>
      <c r="AE65" s="884"/>
      <c r="AF65" s="885"/>
      <c r="AG65" s="883" t="s">
        <v>2521</v>
      </c>
      <c r="AH65" s="885"/>
    </row>
    <row r="66" spans="1:34" ht="11.1" customHeight="1">
      <c r="A66" s="886" t="s">
        <v>1087</v>
      </c>
      <c r="B66" s="932"/>
      <c r="C66" s="932"/>
      <c r="D66" s="932"/>
      <c r="E66" s="887"/>
      <c r="F66" s="888" t="s">
        <v>1432</v>
      </c>
      <c r="G66" s="889"/>
      <c r="H66" s="888" t="s">
        <v>1432</v>
      </c>
      <c r="I66" s="890"/>
      <c r="J66" s="890"/>
      <c r="K66" s="890"/>
      <c r="L66" s="889"/>
      <c r="M66" s="888" t="s">
        <v>2522</v>
      </c>
      <c r="N66" s="890"/>
      <c r="O66" s="889"/>
      <c r="P66" s="888" t="s">
        <v>2523</v>
      </c>
      <c r="Q66" s="890"/>
      <c r="R66" s="890"/>
      <c r="S66" s="889"/>
      <c r="T66" s="888" t="s">
        <v>2522</v>
      </c>
      <c r="U66" s="890"/>
      <c r="V66" s="890"/>
      <c r="W66" s="890"/>
      <c r="X66" s="889"/>
      <c r="Y66" s="888" t="s">
        <v>2523</v>
      </c>
      <c r="Z66" s="890"/>
      <c r="AA66" s="890"/>
      <c r="AB66" s="889"/>
      <c r="AC66" s="888" t="s">
        <v>656</v>
      </c>
      <c r="AD66" s="890"/>
      <c r="AE66" s="890"/>
      <c r="AF66" s="889"/>
      <c r="AG66" s="888" t="s">
        <v>656</v>
      </c>
      <c r="AH66" s="889"/>
    </row>
    <row r="67" spans="1:34" ht="11.85" customHeight="1">
      <c r="A67" s="914" t="s">
        <v>1095</v>
      </c>
      <c r="B67" s="915"/>
      <c r="C67" s="915"/>
      <c r="D67" s="915"/>
      <c r="E67" s="916"/>
      <c r="F67" s="917" t="s">
        <v>1433</v>
      </c>
      <c r="G67" s="919"/>
      <c r="H67" s="917" t="s">
        <v>1433</v>
      </c>
      <c r="I67" s="918"/>
      <c r="J67" s="918"/>
      <c r="K67" s="918"/>
      <c r="L67" s="919"/>
      <c r="M67" s="917" t="s">
        <v>2524</v>
      </c>
      <c r="N67" s="918"/>
      <c r="O67" s="919"/>
      <c r="P67" s="917" t="s">
        <v>2525</v>
      </c>
      <c r="Q67" s="918"/>
      <c r="R67" s="918"/>
      <c r="S67" s="919"/>
      <c r="T67" s="917" t="s">
        <v>2526</v>
      </c>
      <c r="U67" s="918"/>
      <c r="V67" s="918"/>
      <c r="W67" s="918"/>
      <c r="X67" s="919"/>
      <c r="Y67" s="917" t="s">
        <v>2527</v>
      </c>
      <c r="Z67" s="918"/>
      <c r="AA67" s="918"/>
      <c r="AB67" s="919"/>
      <c r="AC67" s="917" t="s">
        <v>2074</v>
      </c>
      <c r="AD67" s="918"/>
      <c r="AE67" s="918"/>
      <c r="AF67" s="919"/>
      <c r="AG67" s="917" t="s">
        <v>2528</v>
      </c>
      <c r="AH67" s="919"/>
    </row>
    <row r="68" spans="1:34" ht="11.85" customHeight="1">
      <c r="A68" s="773"/>
      <c r="B68" s="773"/>
      <c r="C68" s="773"/>
      <c r="D68" s="773"/>
      <c r="E68" s="773"/>
      <c r="F68" s="773"/>
      <c r="G68" s="773"/>
      <c r="H68" s="773"/>
      <c r="I68" s="773"/>
      <c r="J68" s="773"/>
      <c r="K68" s="773"/>
      <c r="L68" s="773"/>
      <c r="M68" s="773"/>
      <c r="N68" s="773"/>
      <c r="O68" s="773"/>
      <c r="P68" s="773"/>
      <c r="Q68" s="773"/>
      <c r="R68" s="773"/>
      <c r="S68" s="773"/>
      <c r="T68" s="773"/>
      <c r="U68" s="773"/>
      <c r="V68" s="773"/>
      <c r="W68" s="773"/>
      <c r="X68" s="773"/>
      <c r="Y68" s="773"/>
      <c r="Z68" s="773"/>
      <c r="AA68" s="773"/>
      <c r="AB68" s="773"/>
      <c r="AC68" s="773"/>
      <c r="AD68" s="773"/>
      <c r="AE68" s="773"/>
      <c r="AF68" s="773"/>
      <c r="AG68" s="773"/>
      <c r="AH68" s="773"/>
    </row>
    <row r="69" spans="1:34" ht="28.9" customHeight="1">
      <c r="A69" s="732" t="s">
        <v>1096</v>
      </c>
      <c r="B69" s="896"/>
      <c r="C69" s="896"/>
      <c r="D69" s="896"/>
      <c r="E69" s="896"/>
      <c r="F69" s="896"/>
      <c r="G69" s="896"/>
      <c r="H69" s="896"/>
      <c r="I69" s="896"/>
      <c r="J69" s="896"/>
      <c r="K69" s="896"/>
      <c r="L69" s="896"/>
      <c r="M69" s="896"/>
      <c r="N69" s="897"/>
      <c r="O69" s="712" t="s">
        <v>1097</v>
      </c>
      <c r="P69" s="737"/>
      <c r="Q69" s="737"/>
      <c r="R69" s="737"/>
      <c r="S69" s="737"/>
      <c r="T69" s="738"/>
      <c r="U69" s="712" t="s">
        <v>1098</v>
      </c>
      <c r="V69" s="737"/>
      <c r="W69" s="737"/>
      <c r="X69" s="737"/>
      <c r="Y69" s="737"/>
      <c r="Z69" s="737"/>
      <c r="AA69" s="737"/>
      <c r="AB69" s="737"/>
      <c r="AC69" s="738"/>
      <c r="AD69" s="712" t="s">
        <v>1099</v>
      </c>
      <c r="AE69" s="737"/>
      <c r="AF69" s="737"/>
      <c r="AG69" s="737"/>
      <c r="AH69" s="738"/>
    </row>
    <row r="70" spans="1:34" ht="11.85" customHeight="1">
      <c r="A70" s="880" t="s">
        <v>1100</v>
      </c>
      <c r="B70" s="881"/>
      <c r="C70" s="881"/>
      <c r="D70" s="881"/>
      <c r="E70" s="881"/>
      <c r="F70" s="881"/>
      <c r="G70" s="881"/>
      <c r="H70" s="881"/>
      <c r="I70" s="881"/>
      <c r="J70" s="881"/>
      <c r="K70" s="881"/>
      <c r="L70" s="881"/>
      <c r="M70" s="881"/>
      <c r="N70" s="882"/>
      <c r="O70" s="898" t="s">
        <v>2524</v>
      </c>
      <c r="P70" s="899"/>
      <c r="Q70" s="899"/>
      <c r="R70" s="899"/>
      <c r="S70" s="899"/>
      <c r="T70" s="900"/>
      <c r="U70" s="898" t="s">
        <v>2526</v>
      </c>
      <c r="V70" s="899"/>
      <c r="W70" s="899"/>
      <c r="X70" s="899"/>
      <c r="Y70" s="899"/>
      <c r="Z70" s="899"/>
      <c r="AA70" s="899"/>
      <c r="AB70" s="899"/>
      <c r="AC70" s="900"/>
      <c r="AD70" s="898" t="s">
        <v>2074</v>
      </c>
      <c r="AE70" s="899"/>
      <c r="AF70" s="899"/>
      <c r="AG70" s="899"/>
      <c r="AH70" s="900"/>
    </row>
    <row r="71" spans="1:34" ht="11.85" customHeight="1">
      <c r="A71" s="894" t="s">
        <v>1101</v>
      </c>
      <c r="B71" s="901"/>
      <c r="C71" s="901"/>
      <c r="D71" s="901"/>
      <c r="E71" s="901"/>
      <c r="F71" s="901"/>
      <c r="G71" s="901"/>
      <c r="H71" s="901"/>
      <c r="I71" s="901"/>
      <c r="J71" s="901"/>
      <c r="K71" s="901"/>
      <c r="L71" s="901"/>
      <c r="M71" s="901"/>
      <c r="N71" s="895"/>
      <c r="O71" s="883" t="s">
        <v>656</v>
      </c>
      <c r="P71" s="884"/>
      <c r="Q71" s="884"/>
      <c r="R71" s="884"/>
      <c r="S71" s="884"/>
      <c r="T71" s="885"/>
      <c r="U71" s="883" t="s">
        <v>656</v>
      </c>
      <c r="V71" s="884"/>
      <c r="W71" s="884"/>
      <c r="X71" s="884"/>
      <c r="Y71" s="884"/>
      <c r="Z71" s="884"/>
      <c r="AA71" s="884"/>
      <c r="AB71" s="884"/>
      <c r="AC71" s="885"/>
      <c r="AD71" s="883" t="s">
        <v>656</v>
      </c>
      <c r="AE71" s="884"/>
      <c r="AF71" s="884"/>
      <c r="AG71" s="884"/>
      <c r="AH71" s="885"/>
    </row>
    <row r="72" spans="1:34" ht="11.85" customHeight="1">
      <c r="A72" s="894" t="s">
        <v>1102</v>
      </c>
      <c r="B72" s="901"/>
      <c r="C72" s="901"/>
      <c r="D72" s="901"/>
      <c r="E72" s="901"/>
      <c r="F72" s="901"/>
      <c r="G72" s="901"/>
      <c r="H72" s="901"/>
      <c r="I72" s="901"/>
      <c r="J72" s="901"/>
      <c r="K72" s="901"/>
      <c r="L72" s="901"/>
      <c r="M72" s="901"/>
      <c r="N72" s="895"/>
      <c r="O72" s="883" t="s">
        <v>656</v>
      </c>
      <c r="P72" s="884"/>
      <c r="Q72" s="884"/>
      <c r="R72" s="884"/>
      <c r="S72" s="884"/>
      <c r="T72" s="885"/>
      <c r="U72" s="883" t="s">
        <v>656</v>
      </c>
      <c r="V72" s="884"/>
      <c r="W72" s="884"/>
      <c r="X72" s="884"/>
      <c r="Y72" s="884"/>
      <c r="Z72" s="884"/>
      <c r="AA72" s="884"/>
      <c r="AB72" s="884"/>
      <c r="AC72" s="885"/>
      <c r="AD72" s="883" t="s">
        <v>656</v>
      </c>
      <c r="AE72" s="884"/>
      <c r="AF72" s="884"/>
      <c r="AG72" s="884"/>
      <c r="AH72" s="885"/>
    </row>
    <row r="73" spans="1:34" ht="11.1" customHeight="1">
      <c r="A73" s="886" t="s">
        <v>1103</v>
      </c>
      <c r="B73" s="932"/>
      <c r="C73" s="932"/>
      <c r="D73" s="932"/>
      <c r="E73" s="932"/>
      <c r="F73" s="932"/>
      <c r="G73" s="932"/>
      <c r="H73" s="932"/>
      <c r="I73" s="932"/>
      <c r="J73" s="932"/>
      <c r="K73" s="932"/>
      <c r="L73" s="932"/>
      <c r="M73" s="932"/>
      <c r="N73" s="887"/>
      <c r="O73" s="888" t="s">
        <v>656</v>
      </c>
      <c r="P73" s="890"/>
      <c r="Q73" s="890"/>
      <c r="R73" s="890"/>
      <c r="S73" s="890"/>
      <c r="T73" s="889"/>
      <c r="U73" s="888" t="s">
        <v>656</v>
      </c>
      <c r="V73" s="890"/>
      <c r="W73" s="890"/>
      <c r="X73" s="890"/>
      <c r="Y73" s="890"/>
      <c r="Z73" s="890"/>
      <c r="AA73" s="890"/>
      <c r="AB73" s="890"/>
      <c r="AC73" s="889"/>
      <c r="AD73" s="888" t="s">
        <v>656</v>
      </c>
      <c r="AE73" s="890"/>
      <c r="AF73" s="890"/>
      <c r="AG73" s="890"/>
      <c r="AH73" s="889"/>
    </row>
    <row r="74" spans="1:34" ht="11.85" customHeight="1">
      <c r="A74" s="914" t="s">
        <v>1104</v>
      </c>
      <c r="B74" s="915"/>
      <c r="C74" s="915"/>
      <c r="D74" s="915"/>
      <c r="E74" s="915"/>
      <c r="F74" s="915"/>
      <c r="G74" s="915"/>
      <c r="H74" s="915"/>
      <c r="I74" s="915"/>
      <c r="J74" s="915"/>
      <c r="K74" s="915"/>
      <c r="L74" s="915"/>
      <c r="M74" s="915"/>
      <c r="N74" s="916"/>
      <c r="O74" s="917" t="s">
        <v>2524</v>
      </c>
      <c r="P74" s="918"/>
      <c r="Q74" s="918"/>
      <c r="R74" s="918"/>
      <c r="S74" s="918"/>
      <c r="T74" s="919"/>
      <c r="U74" s="917" t="s">
        <v>2526</v>
      </c>
      <c r="V74" s="918"/>
      <c r="W74" s="918"/>
      <c r="X74" s="918"/>
      <c r="Y74" s="918"/>
      <c r="Z74" s="918"/>
      <c r="AA74" s="918"/>
      <c r="AB74" s="918"/>
      <c r="AC74" s="919"/>
      <c r="AD74" s="917" t="s">
        <v>2074</v>
      </c>
      <c r="AE74" s="918"/>
      <c r="AF74" s="918"/>
      <c r="AG74" s="918"/>
      <c r="AH74" s="919"/>
    </row>
    <row r="75" spans="1:34" ht="11.85" customHeight="1">
      <c r="A75" s="880" t="s">
        <v>1105</v>
      </c>
      <c r="B75" s="881"/>
      <c r="C75" s="881"/>
      <c r="D75" s="881"/>
      <c r="E75" s="881"/>
      <c r="F75" s="881"/>
      <c r="G75" s="881"/>
      <c r="H75" s="881"/>
      <c r="I75" s="881"/>
      <c r="J75" s="881"/>
      <c r="K75" s="881"/>
      <c r="L75" s="881"/>
      <c r="M75" s="881"/>
      <c r="N75" s="882"/>
      <c r="O75" s="933" t="s">
        <v>2529</v>
      </c>
      <c r="P75" s="934"/>
      <c r="Q75" s="934"/>
      <c r="R75" s="934"/>
      <c r="S75" s="934"/>
      <c r="T75" s="934"/>
      <c r="U75" s="934"/>
      <c r="V75" s="934"/>
      <c r="W75" s="934"/>
      <c r="X75" s="934"/>
      <c r="Y75" s="934"/>
      <c r="Z75" s="934"/>
      <c r="AA75" s="934"/>
      <c r="AB75" s="934"/>
      <c r="AC75" s="934"/>
      <c r="AD75" s="934"/>
      <c r="AE75" s="934"/>
      <c r="AF75" s="934"/>
      <c r="AG75" s="934"/>
      <c r="AH75" s="935"/>
    </row>
    <row r="76" spans="1:34" ht="11.85" customHeight="1">
      <c r="A76" s="894" t="s">
        <v>1106</v>
      </c>
      <c r="B76" s="901"/>
      <c r="C76" s="901"/>
      <c r="D76" s="901"/>
      <c r="E76" s="901"/>
      <c r="F76" s="901"/>
      <c r="G76" s="901"/>
      <c r="H76" s="901"/>
      <c r="I76" s="901"/>
      <c r="J76" s="901"/>
      <c r="K76" s="901"/>
      <c r="L76" s="901"/>
      <c r="M76" s="901"/>
      <c r="N76" s="895"/>
      <c r="O76" s="933" t="s">
        <v>2529</v>
      </c>
      <c r="P76" s="934"/>
      <c r="Q76" s="934"/>
      <c r="R76" s="934"/>
      <c r="S76" s="934"/>
      <c r="T76" s="934"/>
      <c r="U76" s="934"/>
      <c r="V76" s="934"/>
      <c r="W76" s="934"/>
      <c r="X76" s="934"/>
      <c r="Y76" s="934"/>
      <c r="Z76" s="934"/>
      <c r="AA76" s="934"/>
      <c r="AB76" s="934"/>
      <c r="AC76" s="934"/>
      <c r="AD76" s="934"/>
      <c r="AE76" s="934"/>
      <c r="AF76" s="934"/>
      <c r="AG76" s="934"/>
      <c r="AH76" s="935"/>
    </row>
    <row r="77" spans="1:34" ht="17.100000000000001" customHeight="1">
      <c r="A77" s="891" t="s">
        <v>1107</v>
      </c>
      <c r="B77" s="892"/>
      <c r="C77" s="892"/>
      <c r="D77" s="892"/>
      <c r="E77" s="892"/>
      <c r="F77" s="892"/>
      <c r="G77" s="892"/>
      <c r="H77" s="892"/>
      <c r="I77" s="892"/>
      <c r="J77" s="892"/>
      <c r="K77" s="892"/>
      <c r="L77" s="892"/>
      <c r="M77" s="892"/>
      <c r="N77" s="893"/>
      <c r="O77" s="864" t="s">
        <v>656</v>
      </c>
      <c r="P77" s="865"/>
      <c r="Q77" s="865"/>
      <c r="R77" s="865"/>
      <c r="S77" s="865"/>
      <c r="T77" s="866"/>
      <c r="U77" s="864" t="s">
        <v>2530</v>
      </c>
      <c r="V77" s="865"/>
      <c r="W77" s="865"/>
      <c r="X77" s="865"/>
      <c r="Y77" s="865"/>
      <c r="Z77" s="865"/>
      <c r="AA77" s="865"/>
      <c r="AB77" s="865"/>
      <c r="AC77" s="866"/>
      <c r="AD77" s="864" t="s">
        <v>2531</v>
      </c>
      <c r="AE77" s="865"/>
      <c r="AF77" s="865"/>
      <c r="AG77" s="865"/>
      <c r="AH77" s="866"/>
    </row>
    <row r="78" spans="1:34" ht="17.850000000000001" customHeight="1">
      <c r="A78" s="920" t="s">
        <v>1108</v>
      </c>
      <c r="B78" s="921"/>
      <c r="C78" s="921"/>
      <c r="D78" s="921"/>
      <c r="E78" s="921"/>
      <c r="F78" s="921"/>
      <c r="G78" s="921"/>
      <c r="H78" s="921"/>
      <c r="I78" s="921"/>
      <c r="J78" s="921"/>
      <c r="K78" s="921"/>
      <c r="L78" s="921"/>
      <c r="M78" s="921"/>
      <c r="N78" s="922"/>
      <c r="O78" s="864" t="s">
        <v>656</v>
      </c>
      <c r="P78" s="865"/>
      <c r="Q78" s="865"/>
      <c r="R78" s="865"/>
      <c r="S78" s="865"/>
      <c r="T78" s="866"/>
      <c r="U78" s="923"/>
      <c r="V78" s="924"/>
      <c r="W78" s="924"/>
      <c r="X78" s="924"/>
      <c r="Y78" s="924"/>
      <c r="Z78" s="924"/>
      <c r="AA78" s="924"/>
      <c r="AB78" s="924"/>
      <c r="AC78" s="925"/>
      <c r="AD78" s="923"/>
      <c r="AE78" s="924"/>
      <c r="AF78" s="924"/>
      <c r="AG78" s="924"/>
      <c r="AH78" s="925"/>
    </row>
    <row r="79" spans="1:34" ht="17.100000000000001" customHeight="1">
      <c r="A79" s="926" t="s">
        <v>1109</v>
      </c>
      <c r="B79" s="927"/>
      <c r="C79" s="927"/>
      <c r="D79" s="927"/>
      <c r="E79" s="927"/>
      <c r="F79" s="927"/>
      <c r="G79" s="927"/>
      <c r="H79" s="927"/>
      <c r="I79" s="927"/>
      <c r="J79" s="927"/>
      <c r="K79" s="927"/>
      <c r="L79" s="927"/>
      <c r="M79" s="927"/>
      <c r="N79" s="928"/>
      <c r="O79" s="929" t="s">
        <v>656</v>
      </c>
      <c r="P79" s="930"/>
      <c r="Q79" s="930"/>
      <c r="R79" s="930"/>
      <c r="S79" s="930"/>
      <c r="T79" s="931"/>
      <c r="U79" s="929" t="s">
        <v>2532</v>
      </c>
      <c r="V79" s="930"/>
      <c r="W79" s="930"/>
      <c r="X79" s="930"/>
      <c r="Y79" s="930"/>
      <c r="Z79" s="930"/>
      <c r="AA79" s="930"/>
      <c r="AB79" s="930"/>
      <c r="AC79" s="931"/>
      <c r="AD79" s="923"/>
      <c r="AE79" s="924"/>
      <c r="AF79" s="924"/>
      <c r="AG79" s="924"/>
      <c r="AH79" s="925"/>
    </row>
    <row r="80" spans="1:34" ht="11.85" customHeight="1">
      <c r="A80" s="773"/>
      <c r="B80" s="773"/>
      <c r="C80" s="773"/>
      <c r="D80" s="773"/>
      <c r="E80" s="773"/>
      <c r="F80" s="773"/>
      <c r="G80" s="773"/>
      <c r="H80" s="773"/>
      <c r="I80" s="773"/>
      <c r="J80" s="773"/>
      <c r="K80" s="773"/>
      <c r="L80" s="773"/>
      <c r="M80" s="773"/>
      <c r="N80" s="773"/>
      <c r="O80" s="773"/>
      <c r="P80" s="773"/>
      <c r="Q80" s="773"/>
      <c r="R80" s="773"/>
      <c r="S80" s="773"/>
      <c r="T80" s="773"/>
      <c r="U80" s="773"/>
      <c r="V80" s="773"/>
      <c r="W80" s="773"/>
      <c r="X80" s="773"/>
      <c r="Y80" s="773"/>
      <c r="Z80" s="773"/>
      <c r="AA80" s="773"/>
      <c r="AB80" s="773"/>
      <c r="AC80" s="773"/>
      <c r="AD80" s="773"/>
      <c r="AE80" s="773"/>
      <c r="AF80" s="773"/>
      <c r="AG80" s="773"/>
      <c r="AH80" s="773"/>
    </row>
    <row r="81" spans="1:34" ht="11.85" customHeight="1">
      <c r="A81" s="908" t="s">
        <v>1110</v>
      </c>
      <c r="B81" s="909"/>
      <c r="C81" s="909"/>
      <c r="D81" s="909"/>
      <c r="E81" s="909"/>
      <c r="F81" s="909"/>
      <c r="G81" s="909"/>
      <c r="H81" s="909"/>
      <c r="I81" s="909"/>
      <c r="J81" s="909"/>
      <c r="K81" s="910"/>
      <c r="L81" s="712" t="s">
        <v>1111</v>
      </c>
      <c r="M81" s="737"/>
      <c r="N81" s="737"/>
      <c r="O81" s="737"/>
      <c r="P81" s="737"/>
      <c r="Q81" s="737"/>
      <c r="R81" s="737"/>
      <c r="S81" s="737"/>
      <c r="T81" s="737"/>
      <c r="U81" s="737"/>
      <c r="V81" s="737"/>
      <c r="W81" s="737"/>
      <c r="X81" s="737"/>
      <c r="Y81" s="737"/>
      <c r="Z81" s="737"/>
      <c r="AA81" s="737"/>
      <c r="AB81" s="737"/>
      <c r="AC81" s="737"/>
      <c r="AD81" s="737"/>
      <c r="AE81" s="737"/>
      <c r="AF81" s="737"/>
      <c r="AG81" s="737"/>
      <c r="AH81" s="738"/>
    </row>
    <row r="82" spans="1:34" ht="17.850000000000001" customHeight="1">
      <c r="A82" s="947"/>
      <c r="B82" s="948"/>
      <c r="C82" s="948"/>
      <c r="D82" s="948"/>
      <c r="E82" s="948"/>
      <c r="F82" s="948"/>
      <c r="G82" s="948"/>
      <c r="H82" s="948"/>
      <c r="I82" s="948"/>
      <c r="J82" s="948"/>
      <c r="K82" s="949"/>
      <c r="L82" s="712" t="s">
        <v>1112</v>
      </c>
      <c r="M82" s="743"/>
      <c r="N82" s="743"/>
      <c r="O82" s="743"/>
      <c r="P82" s="743"/>
      <c r="Q82" s="743"/>
      <c r="R82" s="714"/>
      <c r="S82" s="712" t="s">
        <v>1113</v>
      </c>
      <c r="T82" s="737"/>
      <c r="U82" s="737"/>
      <c r="V82" s="737"/>
      <c r="W82" s="737"/>
      <c r="X82" s="737"/>
      <c r="Y82" s="737"/>
      <c r="Z82" s="737"/>
      <c r="AA82" s="737"/>
      <c r="AB82" s="737"/>
      <c r="AC82" s="738"/>
      <c r="AD82" s="712" t="s">
        <v>1114</v>
      </c>
      <c r="AE82" s="743"/>
      <c r="AF82" s="743"/>
      <c r="AG82" s="743"/>
      <c r="AH82" s="714"/>
    </row>
    <row r="83" spans="1:34" ht="22.9" customHeight="1">
      <c r="A83" s="911"/>
      <c r="B83" s="912"/>
      <c r="C83" s="912"/>
      <c r="D83" s="912"/>
      <c r="E83" s="912"/>
      <c r="F83" s="912"/>
      <c r="G83" s="912"/>
      <c r="H83" s="912"/>
      <c r="I83" s="912"/>
      <c r="J83" s="912"/>
      <c r="K83" s="913"/>
      <c r="L83" s="715"/>
      <c r="M83" s="744"/>
      <c r="N83" s="744"/>
      <c r="O83" s="744"/>
      <c r="P83" s="744"/>
      <c r="Q83" s="744"/>
      <c r="R83" s="716"/>
      <c r="S83" s="712" t="s">
        <v>1115</v>
      </c>
      <c r="T83" s="737"/>
      <c r="U83" s="738"/>
      <c r="V83" s="712" t="s">
        <v>1116</v>
      </c>
      <c r="W83" s="737"/>
      <c r="X83" s="737"/>
      <c r="Y83" s="738"/>
      <c r="Z83" s="712" t="s">
        <v>1117</v>
      </c>
      <c r="AA83" s="737"/>
      <c r="AB83" s="737"/>
      <c r="AC83" s="738"/>
      <c r="AD83" s="715"/>
      <c r="AE83" s="744"/>
      <c r="AF83" s="744"/>
      <c r="AG83" s="744"/>
      <c r="AH83" s="716"/>
    </row>
    <row r="84" spans="1:34" ht="11.85" customHeight="1">
      <c r="A84" s="880" t="s">
        <v>1434</v>
      </c>
      <c r="B84" s="881"/>
      <c r="C84" s="881"/>
      <c r="D84" s="881"/>
      <c r="E84" s="881"/>
      <c r="F84" s="881"/>
      <c r="G84" s="881"/>
      <c r="H84" s="881"/>
      <c r="I84" s="881"/>
      <c r="J84" s="881"/>
      <c r="K84" s="882"/>
      <c r="L84" s="950"/>
      <c r="M84" s="951"/>
      <c r="N84" s="951"/>
      <c r="O84" s="951"/>
      <c r="P84" s="951"/>
      <c r="Q84" s="951"/>
      <c r="R84" s="952"/>
      <c r="S84" s="950"/>
      <c r="T84" s="951"/>
      <c r="U84" s="952"/>
      <c r="V84" s="950"/>
      <c r="W84" s="951"/>
      <c r="X84" s="951"/>
      <c r="Y84" s="952"/>
      <c r="Z84" s="950"/>
      <c r="AA84" s="951"/>
      <c r="AB84" s="951"/>
      <c r="AC84" s="952"/>
      <c r="AD84" s="898" t="s">
        <v>656</v>
      </c>
      <c r="AE84" s="899"/>
      <c r="AF84" s="899"/>
      <c r="AG84" s="899"/>
      <c r="AH84" s="900"/>
    </row>
    <row r="85" spans="1:34" ht="11.85" customHeight="1">
      <c r="A85" s="894" t="s">
        <v>1118</v>
      </c>
      <c r="B85" s="901"/>
      <c r="C85" s="901"/>
      <c r="D85" s="901"/>
      <c r="E85" s="901"/>
      <c r="F85" s="901"/>
      <c r="G85" s="901"/>
      <c r="H85" s="901"/>
      <c r="I85" s="901"/>
      <c r="J85" s="901"/>
      <c r="K85" s="895"/>
      <c r="L85" s="898" t="s">
        <v>656</v>
      </c>
      <c r="M85" s="899"/>
      <c r="N85" s="899"/>
      <c r="O85" s="899"/>
      <c r="P85" s="899"/>
      <c r="Q85" s="899"/>
      <c r="R85" s="900"/>
      <c r="S85" s="898" t="s">
        <v>656</v>
      </c>
      <c r="T85" s="899"/>
      <c r="U85" s="900"/>
      <c r="V85" s="898" t="s">
        <v>656</v>
      </c>
      <c r="W85" s="899"/>
      <c r="X85" s="899"/>
      <c r="Y85" s="900"/>
      <c r="Z85" s="898" t="s">
        <v>656</v>
      </c>
      <c r="AA85" s="899"/>
      <c r="AB85" s="899"/>
      <c r="AC85" s="900"/>
      <c r="AD85" s="883" t="s">
        <v>656</v>
      </c>
      <c r="AE85" s="884"/>
      <c r="AF85" s="884"/>
      <c r="AG85" s="884"/>
      <c r="AH85" s="885"/>
    </row>
    <row r="86" spans="1:34" ht="11.1" customHeight="1">
      <c r="A86" s="886" t="s">
        <v>1119</v>
      </c>
      <c r="B86" s="932"/>
      <c r="C86" s="932"/>
      <c r="D86" s="932"/>
      <c r="E86" s="932"/>
      <c r="F86" s="932"/>
      <c r="G86" s="932"/>
      <c r="H86" s="932"/>
      <c r="I86" s="932"/>
      <c r="J86" s="932"/>
      <c r="K86" s="887"/>
      <c r="L86" s="888" t="s">
        <v>656</v>
      </c>
      <c r="M86" s="890"/>
      <c r="N86" s="890"/>
      <c r="O86" s="890"/>
      <c r="P86" s="890"/>
      <c r="Q86" s="890"/>
      <c r="R86" s="889"/>
      <c r="S86" s="888" t="s">
        <v>656</v>
      </c>
      <c r="T86" s="890"/>
      <c r="U86" s="889"/>
      <c r="V86" s="888" t="s">
        <v>656</v>
      </c>
      <c r="W86" s="890"/>
      <c r="X86" s="890"/>
      <c r="Y86" s="889"/>
      <c r="Z86" s="888" t="s">
        <v>656</v>
      </c>
      <c r="AA86" s="890"/>
      <c r="AB86" s="890"/>
      <c r="AC86" s="889"/>
      <c r="AD86" s="888" t="s">
        <v>656</v>
      </c>
      <c r="AE86" s="890"/>
      <c r="AF86" s="890"/>
      <c r="AG86" s="890"/>
      <c r="AH86" s="889"/>
    </row>
    <row r="87" spans="1:34" ht="11.85" customHeight="1">
      <c r="A87" s="914" t="s">
        <v>1120</v>
      </c>
      <c r="B87" s="915"/>
      <c r="C87" s="915"/>
      <c r="D87" s="915"/>
      <c r="E87" s="915"/>
      <c r="F87" s="915"/>
      <c r="G87" s="915"/>
      <c r="H87" s="915"/>
      <c r="I87" s="915"/>
      <c r="J87" s="915"/>
      <c r="K87" s="916"/>
      <c r="L87" s="917" t="s">
        <v>656</v>
      </c>
      <c r="M87" s="918"/>
      <c r="N87" s="918"/>
      <c r="O87" s="918"/>
      <c r="P87" s="918"/>
      <c r="Q87" s="918"/>
      <c r="R87" s="919"/>
      <c r="S87" s="917" t="s">
        <v>656</v>
      </c>
      <c r="T87" s="918"/>
      <c r="U87" s="919"/>
      <c r="V87" s="917" t="s">
        <v>656</v>
      </c>
      <c r="W87" s="918"/>
      <c r="X87" s="918"/>
      <c r="Y87" s="919"/>
      <c r="Z87" s="917" t="s">
        <v>656</v>
      </c>
      <c r="AA87" s="918"/>
      <c r="AB87" s="918"/>
      <c r="AC87" s="919"/>
      <c r="AD87" s="917" t="s">
        <v>656</v>
      </c>
      <c r="AE87" s="918"/>
      <c r="AF87" s="918"/>
      <c r="AG87" s="918"/>
      <c r="AH87" s="919"/>
    </row>
    <row r="88" spans="1:34" ht="11.85" customHeight="1">
      <c r="A88" s="774"/>
      <c r="B88" s="774"/>
      <c r="C88" s="774"/>
      <c r="D88" s="774"/>
      <c r="E88" s="774"/>
      <c r="F88" s="774"/>
      <c r="G88" s="774"/>
      <c r="H88" s="774"/>
      <c r="I88" s="774"/>
      <c r="J88" s="774"/>
      <c r="K88" s="774"/>
      <c r="L88" s="774"/>
      <c r="M88" s="774"/>
      <c r="N88" s="774"/>
      <c r="O88" s="774"/>
      <c r="P88" s="774"/>
      <c r="Q88" s="774"/>
      <c r="R88" s="774"/>
      <c r="S88" s="774"/>
      <c r="T88" s="774"/>
      <c r="U88" s="774"/>
      <c r="V88" s="774"/>
      <c r="W88" s="774"/>
      <c r="X88" s="774"/>
      <c r="Y88" s="774"/>
      <c r="Z88" s="774"/>
      <c r="AA88" s="774"/>
      <c r="AB88" s="774"/>
      <c r="AC88" s="774"/>
      <c r="AD88" s="774"/>
      <c r="AE88" s="774"/>
      <c r="AF88" s="774"/>
      <c r="AG88" s="774"/>
      <c r="AH88" s="774"/>
    </row>
    <row r="89" spans="1:34" ht="17.100000000000001" customHeight="1"/>
    <row r="90" spans="1:34" ht="11.85" customHeight="1">
      <c r="A90" s="739" t="s">
        <v>2504</v>
      </c>
      <c r="B90" s="739"/>
      <c r="C90" s="739"/>
      <c r="D90" s="739"/>
      <c r="E90" s="739"/>
      <c r="F90" s="739"/>
      <c r="G90" s="739"/>
      <c r="H90" s="739"/>
      <c r="I90" s="739"/>
      <c r="J90" s="739"/>
      <c r="K90" s="739"/>
      <c r="L90" s="739"/>
      <c r="M90" s="739"/>
      <c r="N90" s="739"/>
      <c r="O90" s="739"/>
      <c r="P90" s="739"/>
      <c r="Q90" s="739"/>
      <c r="R90" s="739"/>
      <c r="S90" s="739"/>
      <c r="T90" s="739"/>
      <c r="U90" s="739"/>
      <c r="V90" s="739"/>
      <c r="W90" s="739"/>
      <c r="X90" s="739"/>
      <c r="Y90" s="739"/>
      <c r="Z90" s="739"/>
      <c r="AA90" s="739"/>
      <c r="AB90" s="739"/>
      <c r="AC90" s="739"/>
      <c r="AD90" s="739"/>
      <c r="AE90" s="739"/>
      <c r="AF90" s="739"/>
      <c r="AG90" s="739"/>
    </row>
    <row r="91" spans="1:34" ht="5.85" customHeight="1"/>
    <row r="92" spans="1:34" ht="11.85" customHeight="1">
      <c r="A92" s="717" t="s">
        <v>661</v>
      </c>
      <c r="B92" s="717"/>
      <c r="C92" s="717"/>
      <c r="D92" s="717"/>
      <c r="E92" s="717"/>
      <c r="F92" s="717"/>
      <c r="G92" s="717"/>
      <c r="AG92" s="562" t="s">
        <v>937</v>
      </c>
    </row>
    <row r="93" spans="1:34" ht="11.1" customHeight="1">
      <c r="A93" s="717" t="s">
        <v>655</v>
      </c>
      <c r="B93" s="717"/>
      <c r="C93" s="717"/>
      <c r="D93" s="717"/>
      <c r="E93" s="717"/>
      <c r="F93" s="717"/>
      <c r="G93" s="717"/>
    </row>
    <row r="94" spans="1:34" ht="11.85" customHeight="1">
      <c r="A94" s="740" t="s">
        <v>1052</v>
      </c>
      <c r="B94" s="740"/>
      <c r="C94" s="740"/>
      <c r="D94" s="740"/>
      <c r="E94" s="740"/>
      <c r="F94" s="740"/>
      <c r="G94" s="740"/>
    </row>
    <row r="95" spans="1:34" ht="11.85" customHeight="1">
      <c r="A95" s="717" t="s">
        <v>660</v>
      </c>
      <c r="B95" s="717"/>
      <c r="C95" s="717"/>
      <c r="D95" s="717"/>
      <c r="E95" s="717"/>
      <c r="F95" s="717"/>
      <c r="G95" s="717"/>
    </row>
    <row r="96" spans="1:34" ht="11.85" customHeight="1">
      <c r="A96" s="717" t="s">
        <v>2445</v>
      </c>
      <c r="B96" s="717"/>
      <c r="C96" s="717"/>
      <c r="D96" s="717"/>
      <c r="E96" s="717"/>
      <c r="F96" s="717"/>
      <c r="G96" s="717"/>
    </row>
    <row r="97" spans="1:34" ht="5.85" customHeight="1"/>
    <row r="98" spans="1:34" ht="11.1" customHeight="1">
      <c r="A98" s="741" t="s">
        <v>1053</v>
      </c>
      <c r="B98" s="741"/>
      <c r="C98" s="741"/>
      <c r="D98" s="741"/>
      <c r="E98" s="741"/>
      <c r="F98" s="741"/>
      <c r="G98" s="741"/>
      <c r="H98" s="466"/>
      <c r="I98" s="466"/>
      <c r="J98" s="466"/>
      <c r="K98" s="466"/>
      <c r="L98" s="466"/>
      <c r="M98" s="466"/>
      <c r="N98" s="466"/>
      <c r="O98" s="466"/>
      <c r="P98" s="466"/>
      <c r="Q98" s="466"/>
      <c r="R98" s="466"/>
      <c r="S98" s="466"/>
      <c r="T98" s="466"/>
      <c r="U98" s="466"/>
      <c r="V98" s="466"/>
      <c r="W98" s="466"/>
      <c r="X98" s="466"/>
      <c r="Y98" s="466"/>
      <c r="Z98" s="466"/>
      <c r="AA98" s="466"/>
      <c r="AB98" s="466"/>
      <c r="AC98" s="466"/>
      <c r="AD98" s="466"/>
      <c r="AE98" s="466"/>
      <c r="AF98" s="466"/>
      <c r="AG98" s="466"/>
      <c r="AH98" s="466"/>
    </row>
    <row r="99" spans="1:34" ht="17.850000000000001" customHeight="1">
      <c r="A99" s="734" t="s">
        <v>1121</v>
      </c>
      <c r="B99" s="735"/>
      <c r="C99" s="735"/>
      <c r="D99" s="735"/>
      <c r="E99" s="735"/>
      <c r="F99" s="735"/>
      <c r="G99" s="735"/>
      <c r="H99" s="735"/>
      <c r="I99" s="735"/>
      <c r="J99" s="735"/>
      <c r="K99" s="735"/>
      <c r="L99" s="735"/>
      <c r="M99" s="735"/>
      <c r="N99" s="735"/>
      <c r="O99" s="735"/>
      <c r="P99" s="735"/>
      <c r="Q99" s="735"/>
      <c r="R99" s="735"/>
      <c r="S99" s="735"/>
      <c r="T99" s="735"/>
      <c r="U99" s="735"/>
      <c r="V99" s="735"/>
      <c r="W99" s="735"/>
      <c r="X99" s="735"/>
      <c r="Y99" s="735"/>
      <c r="Z99" s="735"/>
      <c r="AA99" s="735"/>
      <c r="AB99" s="735"/>
      <c r="AC99" s="735"/>
      <c r="AD99" s="735"/>
      <c r="AE99" s="735"/>
      <c r="AF99" s="735"/>
      <c r="AG99" s="735"/>
      <c r="AH99" s="736"/>
    </row>
    <row r="100" spans="1:34" ht="40.700000000000003" customHeight="1">
      <c r="A100" s="732" t="s">
        <v>1122</v>
      </c>
      <c r="B100" s="897"/>
      <c r="C100" s="548" t="s">
        <v>1123</v>
      </c>
      <c r="D100" s="548" t="s">
        <v>1124</v>
      </c>
      <c r="E100" s="712" t="s">
        <v>1125</v>
      </c>
      <c r="F100" s="738"/>
      <c r="G100" s="712" t="s">
        <v>1126</v>
      </c>
      <c r="H100" s="738"/>
      <c r="I100" s="712" t="s">
        <v>1127</v>
      </c>
      <c r="J100" s="737"/>
      <c r="K100" s="737"/>
      <c r="L100" s="737"/>
      <c r="M100" s="738"/>
      <c r="N100" s="712" t="s">
        <v>1128</v>
      </c>
      <c r="O100" s="737"/>
      <c r="P100" s="737"/>
      <c r="Q100" s="738"/>
      <c r="R100" s="712" t="s">
        <v>1129</v>
      </c>
      <c r="S100" s="737"/>
      <c r="T100" s="737"/>
      <c r="U100" s="738"/>
      <c r="V100" s="712" t="s">
        <v>1130</v>
      </c>
      <c r="W100" s="737"/>
      <c r="X100" s="737"/>
      <c r="Y100" s="737"/>
      <c r="Z100" s="737"/>
      <c r="AA100" s="738"/>
      <c r="AB100" s="712" t="s">
        <v>1131</v>
      </c>
      <c r="AC100" s="737"/>
      <c r="AD100" s="737"/>
      <c r="AE100" s="738"/>
      <c r="AF100" s="712" t="s">
        <v>1132</v>
      </c>
      <c r="AG100" s="737"/>
      <c r="AH100" s="738"/>
    </row>
    <row r="101" spans="1:34" ht="11.85" customHeight="1">
      <c r="A101" s="880" t="s">
        <v>1435</v>
      </c>
      <c r="B101" s="882"/>
      <c r="C101" s="571" t="s">
        <v>2529</v>
      </c>
      <c r="D101" s="571" t="s">
        <v>2526</v>
      </c>
      <c r="E101" s="898" t="s">
        <v>2530</v>
      </c>
      <c r="F101" s="900"/>
      <c r="G101" s="898" t="s">
        <v>656</v>
      </c>
      <c r="H101" s="900"/>
      <c r="I101" s="898" t="s">
        <v>656</v>
      </c>
      <c r="J101" s="899"/>
      <c r="K101" s="899"/>
      <c r="L101" s="899"/>
      <c r="M101" s="900"/>
      <c r="N101" s="898" t="s">
        <v>656</v>
      </c>
      <c r="O101" s="899"/>
      <c r="P101" s="899"/>
      <c r="Q101" s="900"/>
      <c r="R101" s="898" t="s">
        <v>656</v>
      </c>
      <c r="S101" s="899"/>
      <c r="T101" s="899"/>
      <c r="U101" s="900"/>
      <c r="V101" s="898" t="s">
        <v>656</v>
      </c>
      <c r="W101" s="899"/>
      <c r="X101" s="899"/>
      <c r="Y101" s="899"/>
      <c r="Z101" s="899"/>
      <c r="AA101" s="900"/>
      <c r="AB101" s="898" t="s">
        <v>656</v>
      </c>
      <c r="AC101" s="899"/>
      <c r="AD101" s="899"/>
      <c r="AE101" s="900"/>
      <c r="AF101" s="898" t="s">
        <v>2530</v>
      </c>
      <c r="AG101" s="899"/>
      <c r="AH101" s="900"/>
    </row>
    <row r="102" spans="1:34" ht="11.85" customHeight="1">
      <c r="A102" s="894" t="s">
        <v>1133</v>
      </c>
      <c r="B102" s="895"/>
      <c r="C102" s="573" t="s">
        <v>656</v>
      </c>
      <c r="D102" s="573" t="s">
        <v>656</v>
      </c>
      <c r="E102" s="883" t="s">
        <v>656</v>
      </c>
      <c r="F102" s="885"/>
      <c r="G102" s="883" t="s">
        <v>656</v>
      </c>
      <c r="H102" s="885"/>
      <c r="I102" s="883" t="s">
        <v>656</v>
      </c>
      <c r="J102" s="884"/>
      <c r="K102" s="884"/>
      <c r="L102" s="884"/>
      <c r="M102" s="885"/>
      <c r="N102" s="883" t="s">
        <v>656</v>
      </c>
      <c r="O102" s="884"/>
      <c r="P102" s="884"/>
      <c r="Q102" s="885"/>
      <c r="R102" s="883" t="s">
        <v>656</v>
      </c>
      <c r="S102" s="884"/>
      <c r="T102" s="884"/>
      <c r="U102" s="885"/>
      <c r="V102" s="883" t="s">
        <v>656</v>
      </c>
      <c r="W102" s="884"/>
      <c r="X102" s="884"/>
      <c r="Y102" s="884"/>
      <c r="Z102" s="884"/>
      <c r="AA102" s="885"/>
      <c r="AB102" s="883" t="s">
        <v>656</v>
      </c>
      <c r="AC102" s="884"/>
      <c r="AD102" s="884"/>
      <c r="AE102" s="885"/>
      <c r="AF102" s="883" t="s">
        <v>656</v>
      </c>
      <c r="AG102" s="884"/>
      <c r="AH102" s="885"/>
    </row>
    <row r="103" spans="1:34" ht="11.1" customHeight="1">
      <c r="A103" s="894" t="s">
        <v>1134</v>
      </c>
      <c r="B103" s="895"/>
      <c r="C103" s="573" t="s">
        <v>656</v>
      </c>
      <c r="D103" s="573" t="s">
        <v>656</v>
      </c>
      <c r="E103" s="883" t="s">
        <v>656</v>
      </c>
      <c r="F103" s="885"/>
      <c r="G103" s="883" t="s">
        <v>656</v>
      </c>
      <c r="H103" s="885"/>
      <c r="I103" s="883" t="s">
        <v>656</v>
      </c>
      <c r="J103" s="884"/>
      <c r="K103" s="884"/>
      <c r="L103" s="884"/>
      <c r="M103" s="885"/>
      <c r="N103" s="883" t="s">
        <v>656</v>
      </c>
      <c r="O103" s="884"/>
      <c r="P103" s="884"/>
      <c r="Q103" s="885"/>
      <c r="R103" s="883" t="s">
        <v>656</v>
      </c>
      <c r="S103" s="884"/>
      <c r="T103" s="884"/>
      <c r="U103" s="885"/>
      <c r="V103" s="883" t="s">
        <v>656</v>
      </c>
      <c r="W103" s="884"/>
      <c r="X103" s="884"/>
      <c r="Y103" s="884"/>
      <c r="Z103" s="884"/>
      <c r="AA103" s="885"/>
      <c r="AB103" s="883" t="s">
        <v>656</v>
      </c>
      <c r="AC103" s="884"/>
      <c r="AD103" s="884"/>
      <c r="AE103" s="885"/>
      <c r="AF103" s="883" t="s">
        <v>656</v>
      </c>
      <c r="AG103" s="884"/>
      <c r="AH103" s="885"/>
    </row>
    <row r="104" spans="1:34" ht="11.85" customHeight="1">
      <c r="A104" s="894" t="s">
        <v>1135</v>
      </c>
      <c r="B104" s="895"/>
      <c r="C104" s="573" t="s">
        <v>656</v>
      </c>
      <c r="D104" s="573" t="s">
        <v>656</v>
      </c>
      <c r="E104" s="883" t="s">
        <v>656</v>
      </c>
      <c r="F104" s="885"/>
      <c r="G104" s="883" t="s">
        <v>656</v>
      </c>
      <c r="H104" s="885"/>
      <c r="I104" s="883" t="s">
        <v>656</v>
      </c>
      <c r="J104" s="884"/>
      <c r="K104" s="884"/>
      <c r="L104" s="884"/>
      <c r="M104" s="885"/>
      <c r="N104" s="883" t="s">
        <v>656</v>
      </c>
      <c r="O104" s="884"/>
      <c r="P104" s="884"/>
      <c r="Q104" s="885"/>
      <c r="R104" s="883" t="s">
        <v>656</v>
      </c>
      <c r="S104" s="884"/>
      <c r="T104" s="884"/>
      <c r="U104" s="885"/>
      <c r="V104" s="883" t="s">
        <v>656</v>
      </c>
      <c r="W104" s="884"/>
      <c r="X104" s="884"/>
      <c r="Y104" s="884"/>
      <c r="Z104" s="884"/>
      <c r="AA104" s="885"/>
      <c r="AB104" s="883" t="s">
        <v>656</v>
      </c>
      <c r="AC104" s="884"/>
      <c r="AD104" s="884"/>
      <c r="AE104" s="885"/>
      <c r="AF104" s="883" t="s">
        <v>656</v>
      </c>
      <c r="AG104" s="884"/>
      <c r="AH104" s="885"/>
    </row>
    <row r="105" spans="1:34" ht="11.85" customHeight="1">
      <c r="A105" s="894" t="s">
        <v>1136</v>
      </c>
      <c r="B105" s="895"/>
      <c r="C105" s="573" t="s">
        <v>656</v>
      </c>
      <c r="D105" s="573" t="s">
        <v>656</v>
      </c>
      <c r="E105" s="883" t="s">
        <v>656</v>
      </c>
      <c r="F105" s="885"/>
      <c r="G105" s="883" t="s">
        <v>656</v>
      </c>
      <c r="H105" s="885"/>
      <c r="I105" s="883" t="s">
        <v>656</v>
      </c>
      <c r="J105" s="884"/>
      <c r="K105" s="884"/>
      <c r="L105" s="884"/>
      <c r="M105" s="885"/>
      <c r="N105" s="883" t="s">
        <v>656</v>
      </c>
      <c r="O105" s="884"/>
      <c r="P105" s="884"/>
      <c r="Q105" s="885"/>
      <c r="R105" s="883" t="s">
        <v>656</v>
      </c>
      <c r="S105" s="884"/>
      <c r="T105" s="884"/>
      <c r="U105" s="885"/>
      <c r="V105" s="883" t="s">
        <v>656</v>
      </c>
      <c r="W105" s="884"/>
      <c r="X105" s="884"/>
      <c r="Y105" s="884"/>
      <c r="Z105" s="884"/>
      <c r="AA105" s="885"/>
      <c r="AB105" s="883" t="s">
        <v>656</v>
      </c>
      <c r="AC105" s="884"/>
      <c r="AD105" s="884"/>
      <c r="AE105" s="885"/>
      <c r="AF105" s="883" t="s">
        <v>656</v>
      </c>
      <c r="AG105" s="884"/>
      <c r="AH105" s="885"/>
    </row>
    <row r="106" spans="1:34" ht="11.85" customHeight="1">
      <c r="A106" s="894" t="s">
        <v>1137</v>
      </c>
      <c r="B106" s="895"/>
      <c r="C106" s="573" t="s">
        <v>656</v>
      </c>
      <c r="D106" s="573" t="s">
        <v>656</v>
      </c>
      <c r="E106" s="883" t="s">
        <v>656</v>
      </c>
      <c r="F106" s="885"/>
      <c r="G106" s="883" t="s">
        <v>656</v>
      </c>
      <c r="H106" s="885"/>
      <c r="I106" s="883" t="s">
        <v>656</v>
      </c>
      <c r="J106" s="884"/>
      <c r="K106" s="884"/>
      <c r="L106" s="884"/>
      <c r="M106" s="885"/>
      <c r="N106" s="883" t="s">
        <v>656</v>
      </c>
      <c r="O106" s="884"/>
      <c r="P106" s="884"/>
      <c r="Q106" s="885"/>
      <c r="R106" s="883" t="s">
        <v>656</v>
      </c>
      <c r="S106" s="884"/>
      <c r="T106" s="884"/>
      <c r="U106" s="885"/>
      <c r="V106" s="883" t="s">
        <v>656</v>
      </c>
      <c r="W106" s="884"/>
      <c r="X106" s="884"/>
      <c r="Y106" s="884"/>
      <c r="Z106" s="884"/>
      <c r="AA106" s="885"/>
      <c r="AB106" s="883" t="s">
        <v>656</v>
      </c>
      <c r="AC106" s="884"/>
      <c r="AD106" s="884"/>
      <c r="AE106" s="885"/>
      <c r="AF106" s="883" t="s">
        <v>656</v>
      </c>
      <c r="AG106" s="884"/>
      <c r="AH106" s="885"/>
    </row>
    <row r="107" spans="1:34" ht="11.1" customHeight="1">
      <c r="A107" s="894" t="s">
        <v>1138</v>
      </c>
      <c r="B107" s="895"/>
      <c r="C107" s="573" t="s">
        <v>656</v>
      </c>
      <c r="D107" s="573" t="s">
        <v>656</v>
      </c>
      <c r="E107" s="883" t="s">
        <v>656</v>
      </c>
      <c r="F107" s="885"/>
      <c r="G107" s="883" t="s">
        <v>656</v>
      </c>
      <c r="H107" s="885"/>
      <c r="I107" s="883" t="s">
        <v>656</v>
      </c>
      <c r="J107" s="884"/>
      <c r="K107" s="884"/>
      <c r="L107" s="884"/>
      <c r="M107" s="885"/>
      <c r="N107" s="883" t="s">
        <v>656</v>
      </c>
      <c r="O107" s="884"/>
      <c r="P107" s="884"/>
      <c r="Q107" s="885"/>
      <c r="R107" s="883" t="s">
        <v>656</v>
      </c>
      <c r="S107" s="884"/>
      <c r="T107" s="884"/>
      <c r="U107" s="885"/>
      <c r="V107" s="883" t="s">
        <v>656</v>
      </c>
      <c r="W107" s="884"/>
      <c r="X107" s="884"/>
      <c r="Y107" s="884"/>
      <c r="Z107" s="884"/>
      <c r="AA107" s="885"/>
      <c r="AB107" s="883" t="s">
        <v>656</v>
      </c>
      <c r="AC107" s="884"/>
      <c r="AD107" s="884"/>
      <c r="AE107" s="885"/>
      <c r="AF107" s="883" t="s">
        <v>656</v>
      </c>
      <c r="AG107" s="884"/>
      <c r="AH107" s="885"/>
    </row>
    <row r="108" spans="1:34" ht="11.85" customHeight="1">
      <c r="A108" s="894" t="s">
        <v>1139</v>
      </c>
      <c r="B108" s="895"/>
      <c r="C108" s="573" t="s">
        <v>656</v>
      </c>
      <c r="D108" s="573" t="s">
        <v>656</v>
      </c>
      <c r="E108" s="883" t="s">
        <v>656</v>
      </c>
      <c r="F108" s="885"/>
      <c r="G108" s="883" t="s">
        <v>656</v>
      </c>
      <c r="H108" s="885"/>
      <c r="I108" s="883" t="s">
        <v>656</v>
      </c>
      <c r="J108" s="884"/>
      <c r="K108" s="884"/>
      <c r="L108" s="884"/>
      <c r="M108" s="885"/>
      <c r="N108" s="883" t="s">
        <v>656</v>
      </c>
      <c r="O108" s="884"/>
      <c r="P108" s="884"/>
      <c r="Q108" s="885"/>
      <c r="R108" s="883" t="s">
        <v>656</v>
      </c>
      <c r="S108" s="884"/>
      <c r="T108" s="884"/>
      <c r="U108" s="885"/>
      <c r="V108" s="883" t="s">
        <v>656</v>
      </c>
      <c r="W108" s="884"/>
      <c r="X108" s="884"/>
      <c r="Y108" s="884"/>
      <c r="Z108" s="884"/>
      <c r="AA108" s="885"/>
      <c r="AB108" s="883" t="s">
        <v>656</v>
      </c>
      <c r="AC108" s="884"/>
      <c r="AD108" s="884"/>
      <c r="AE108" s="885"/>
      <c r="AF108" s="883" t="s">
        <v>656</v>
      </c>
      <c r="AG108" s="884"/>
      <c r="AH108" s="885"/>
    </row>
    <row r="109" spans="1:34" ht="11.85" customHeight="1">
      <c r="A109" s="894" t="s">
        <v>1140</v>
      </c>
      <c r="B109" s="895"/>
      <c r="C109" s="573" t="s">
        <v>656</v>
      </c>
      <c r="D109" s="573" t="s">
        <v>656</v>
      </c>
      <c r="E109" s="883" t="s">
        <v>656</v>
      </c>
      <c r="F109" s="885"/>
      <c r="G109" s="883" t="s">
        <v>656</v>
      </c>
      <c r="H109" s="885"/>
      <c r="I109" s="883" t="s">
        <v>656</v>
      </c>
      <c r="J109" s="884"/>
      <c r="K109" s="884"/>
      <c r="L109" s="884"/>
      <c r="M109" s="885"/>
      <c r="N109" s="883" t="s">
        <v>656</v>
      </c>
      <c r="O109" s="884"/>
      <c r="P109" s="884"/>
      <c r="Q109" s="885"/>
      <c r="R109" s="883" t="s">
        <v>656</v>
      </c>
      <c r="S109" s="884"/>
      <c r="T109" s="884"/>
      <c r="U109" s="885"/>
      <c r="V109" s="883" t="s">
        <v>656</v>
      </c>
      <c r="W109" s="884"/>
      <c r="X109" s="884"/>
      <c r="Y109" s="884"/>
      <c r="Z109" s="884"/>
      <c r="AA109" s="885"/>
      <c r="AB109" s="883" t="s">
        <v>656</v>
      </c>
      <c r="AC109" s="884"/>
      <c r="AD109" s="884"/>
      <c r="AE109" s="885"/>
      <c r="AF109" s="883" t="s">
        <v>656</v>
      </c>
      <c r="AG109" s="884"/>
      <c r="AH109" s="885"/>
    </row>
    <row r="110" spans="1:34" ht="11.85" customHeight="1">
      <c r="A110" s="886" t="s">
        <v>1141</v>
      </c>
      <c r="B110" s="887"/>
      <c r="C110" s="576" t="s">
        <v>656</v>
      </c>
      <c r="D110" s="576" t="s">
        <v>656</v>
      </c>
      <c r="E110" s="888" t="s">
        <v>656</v>
      </c>
      <c r="F110" s="889"/>
      <c r="G110" s="888" t="s">
        <v>656</v>
      </c>
      <c r="H110" s="889"/>
      <c r="I110" s="888" t="s">
        <v>656</v>
      </c>
      <c r="J110" s="890"/>
      <c r="K110" s="890"/>
      <c r="L110" s="890"/>
      <c r="M110" s="889"/>
      <c r="N110" s="888" t="s">
        <v>656</v>
      </c>
      <c r="O110" s="890"/>
      <c r="P110" s="890"/>
      <c r="Q110" s="889"/>
      <c r="R110" s="888" t="s">
        <v>656</v>
      </c>
      <c r="S110" s="890"/>
      <c r="T110" s="890"/>
      <c r="U110" s="889"/>
      <c r="V110" s="888" t="s">
        <v>656</v>
      </c>
      <c r="W110" s="890"/>
      <c r="X110" s="890"/>
      <c r="Y110" s="890"/>
      <c r="Z110" s="890"/>
      <c r="AA110" s="889"/>
      <c r="AB110" s="888" t="s">
        <v>656</v>
      </c>
      <c r="AC110" s="890"/>
      <c r="AD110" s="890"/>
      <c r="AE110" s="889"/>
      <c r="AF110" s="883" t="s">
        <v>656</v>
      </c>
      <c r="AG110" s="890"/>
      <c r="AH110" s="885"/>
    </row>
    <row r="111" spans="1:34" ht="11.1" customHeight="1">
      <c r="A111" s="873"/>
      <c r="B111" s="773"/>
      <c r="C111" s="773"/>
      <c r="D111" s="773"/>
      <c r="E111" s="773"/>
      <c r="F111" s="773"/>
      <c r="G111" s="773"/>
      <c r="H111" s="773"/>
      <c r="I111" s="773"/>
      <c r="J111" s="773"/>
      <c r="K111" s="773"/>
      <c r="L111" s="773"/>
      <c r="M111" s="773"/>
      <c r="N111" s="773"/>
      <c r="O111" s="773"/>
      <c r="P111" s="773"/>
      <c r="Q111" s="773"/>
      <c r="R111" s="773"/>
      <c r="S111" s="773"/>
      <c r="T111" s="773"/>
      <c r="U111" s="773"/>
      <c r="V111" s="773"/>
      <c r="W111" s="773"/>
      <c r="X111" s="773"/>
      <c r="Y111" s="773"/>
      <c r="Z111" s="773"/>
      <c r="AA111" s="773"/>
      <c r="AB111" s="773"/>
      <c r="AC111" s="773"/>
      <c r="AD111" s="773"/>
      <c r="AE111" s="773"/>
      <c r="AF111" s="773"/>
      <c r="AG111" s="773"/>
      <c r="AH111" s="873"/>
    </row>
    <row r="112" spans="1:34" ht="11.85" customHeight="1">
      <c r="A112" s="874" t="s">
        <v>1142</v>
      </c>
      <c r="B112" s="875"/>
      <c r="C112" s="875"/>
      <c r="D112" s="875"/>
      <c r="E112" s="875"/>
      <c r="F112" s="875"/>
      <c r="G112" s="875"/>
      <c r="H112" s="875"/>
      <c r="I112" s="875"/>
      <c r="J112" s="875"/>
      <c r="K112" s="875"/>
      <c r="L112" s="875"/>
      <c r="M112" s="875"/>
      <c r="N112" s="875"/>
      <c r="O112" s="875"/>
      <c r="P112" s="875"/>
      <c r="Q112" s="875"/>
      <c r="R112" s="875"/>
      <c r="S112" s="875"/>
      <c r="T112" s="875"/>
      <c r="U112" s="875"/>
      <c r="V112" s="875"/>
      <c r="W112" s="875"/>
      <c r="X112" s="875"/>
      <c r="Y112" s="875"/>
      <c r="Z112" s="875"/>
      <c r="AA112" s="875"/>
      <c r="AB112" s="875"/>
      <c r="AC112" s="875"/>
      <c r="AD112" s="875"/>
      <c r="AE112" s="876"/>
      <c r="AF112" s="877" t="s">
        <v>656</v>
      </c>
      <c r="AG112" s="878"/>
      <c r="AH112" s="879"/>
    </row>
    <row r="113" spans="1:34" ht="11.85" customHeight="1">
      <c r="A113" s="874" t="s">
        <v>1143</v>
      </c>
      <c r="B113" s="875"/>
      <c r="C113" s="875"/>
      <c r="D113" s="875"/>
      <c r="E113" s="875"/>
      <c r="F113" s="875"/>
      <c r="G113" s="875"/>
      <c r="H113" s="875"/>
      <c r="I113" s="875"/>
      <c r="J113" s="875"/>
      <c r="K113" s="875"/>
      <c r="L113" s="875"/>
      <c r="M113" s="875"/>
      <c r="N113" s="875"/>
      <c r="O113" s="875"/>
      <c r="P113" s="875"/>
      <c r="Q113" s="875"/>
      <c r="R113" s="875"/>
      <c r="S113" s="875"/>
      <c r="T113" s="875"/>
      <c r="U113" s="875"/>
      <c r="V113" s="875"/>
      <c r="W113" s="875"/>
      <c r="X113" s="875"/>
      <c r="Y113" s="875"/>
      <c r="Z113" s="875"/>
      <c r="AA113" s="875"/>
      <c r="AB113" s="875"/>
      <c r="AC113" s="875"/>
      <c r="AD113" s="875"/>
      <c r="AE113" s="876"/>
      <c r="AF113" s="877" t="s">
        <v>656</v>
      </c>
      <c r="AG113" s="878"/>
      <c r="AH113" s="879"/>
    </row>
    <row r="114" spans="1:34" ht="11.85" customHeight="1">
      <c r="A114" s="874" t="s">
        <v>1144</v>
      </c>
      <c r="B114" s="875"/>
      <c r="C114" s="875"/>
      <c r="D114" s="875"/>
      <c r="E114" s="875"/>
      <c r="F114" s="875"/>
      <c r="G114" s="875"/>
      <c r="H114" s="875"/>
      <c r="I114" s="875"/>
      <c r="J114" s="875"/>
      <c r="K114" s="875"/>
      <c r="L114" s="875"/>
      <c r="M114" s="875"/>
      <c r="N114" s="875"/>
      <c r="O114" s="875"/>
      <c r="P114" s="875"/>
      <c r="Q114" s="875"/>
      <c r="R114" s="875"/>
      <c r="S114" s="875"/>
      <c r="T114" s="875"/>
      <c r="U114" s="875"/>
      <c r="V114" s="875"/>
      <c r="W114" s="875"/>
      <c r="X114" s="875"/>
      <c r="Y114" s="875"/>
      <c r="Z114" s="875"/>
      <c r="AA114" s="875"/>
      <c r="AB114" s="875"/>
      <c r="AC114" s="875"/>
      <c r="AD114" s="875"/>
      <c r="AE114" s="876"/>
      <c r="AF114" s="877" t="s">
        <v>656</v>
      </c>
      <c r="AG114" s="878"/>
      <c r="AH114" s="879"/>
    </row>
    <row r="115" spans="1:34" ht="11.1" customHeight="1">
      <c r="A115" s="773"/>
      <c r="B115" s="773"/>
      <c r="C115" s="773"/>
      <c r="D115" s="773"/>
      <c r="E115" s="773"/>
      <c r="F115" s="773"/>
      <c r="G115" s="773"/>
      <c r="H115" s="773"/>
      <c r="I115" s="773"/>
      <c r="J115" s="773"/>
      <c r="K115" s="773"/>
      <c r="L115" s="773"/>
      <c r="M115" s="773"/>
      <c r="N115" s="773"/>
      <c r="O115" s="773"/>
      <c r="P115" s="773"/>
      <c r="Q115" s="773"/>
      <c r="R115" s="773"/>
      <c r="S115" s="773"/>
      <c r="T115" s="773"/>
      <c r="U115" s="773"/>
      <c r="V115" s="773"/>
      <c r="W115" s="773"/>
      <c r="X115" s="773"/>
      <c r="Y115" s="773"/>
      <c r="Z115" s="773"/>
      <c r="AA115" s="773"/>
      <c r="AB115" s="773"/>
      <c r="AC115" s="773"/>
      <c r="AD115" s="773"/>
      <c r="AE115" s="773"/>
      <c r="AF115" s="773"/>
      <c r="AG115" s="773"/>
      <c r="AH115" s="773"/>
    </row>
    <row r="116" spans="1:34" ht="11.85" customHeight="1">
      <c r="A116" s="908" t="s">
        <v>1145</v>
      </c>
      <c r="B116" s="909"/>
      <c r="C116" s="909"/>
      <c r="D116" s="909"/>
      <c r="E116" s="909"/>
      <c r="F116" s="909"/>
      <c r="G116" s="909"/>
      <c r="H116" s="909"/>
      <c r="I116" s="909"/>
      <c r="J116" s="910"/>
      <c r="K116" s="712" t="s">
        <v>1146</v>
      </c>
      <c r="L116" s="737"/>
      <c r="M116" s="737"/>
      <c r="N116" s="737"/>
      <c r="O116" s="737"/>
      <c r="P116" s="737"/>
      <c r="Q116" s="737"/>
      <c r="R116" s="737"/>
      <c r="S116" s="737"/>
      <c r="T116" s="737"/>
      <c r="U116" s="737"/>
      <c r="V116" s="737"/>
      <c r="W116" s="737"/>
      <c r="X116" s="737"/>
      <c r="Y116" s="737"/>
      <c r="Z116" s="737"/>
      <c r="AA116" s="737"/>
      <c r="AB116" s="737"/>
      <c r="AC116" s="737"/>
      <c r="AD116" s="737"/>
      <c r="AE116" s="737"/>
      <c r="AF116" s="737"/>
      <c r="AG116" s="737"/>
      <c r="AH116" s="738"/>
    </row>
    <row r="117" spans="1:34" ht="17.850000000000001" customHeight="1">
      <c r="A117" s="947"/>
      <c r="B117" s="948"/>
      <c r="C117" s="948"/>
      <c r="D117" s="948"/>
      <c r="E117" s="948"/>
      <c r="F117" s="948"/>
      <c r="G117" s="948"/>
      <c r="H117" s="948"/>
      <c r="I117" s="948"/>
      <c r="J117" s="949"/>
      <c r="K117" s="712" t="s">
        <v>1147</v>
      </c>
      <c r="L117" s="743"/>
      <c r="M117" s="743"/>
      <c r="N117" s="743"/>
      <c r="O117" s="743"/>
      <c r="P117" s="743"/>
      <c r="Q117" s="743"/>
      <c r="R117" s="714"/>
      <c r="S117" s="712" t="s">
        <v>1113</v>
      </c>
      <c r="T117" s="737"/>
      <c r="U117" s="737"/>
      <c r="V117" s="737"/>
      <c r="W117" s="737"/>
      <c r="X117" s="737"/>
      <c r="Y117" s="737"/>
      <c r="Z117" s="737"/>
      <c r="AA117" s="737"/>
      <c r="AB117" s="737"/>
      <c r="AC117" s="738"/>
      <c r="AD117" s="712" t="s">
        <v>1148</v>
      </c>
      <c r="AE117" s="743"/>
      <c r="AF117" s="743"/>
      <c r="AG117" s="743"/>
      <c r="AH117" s="714"/>
    </row>
    <row r="118" spans="1:34" ht="22.9" customHeight="1">
      <c r="A118" s="911"/>
      <c r="B118" s="912"/>
      <c r="C118" s="912"/>
      <c r="D118" s="912"/>
      <c r="E118" s="912"/>
      <c r="F118" s="912"/>
      <c r="G118" s="912"/>
      <c r="H118" s="912"/>
      <c r="I118" s="912"/>
      <c r="J118" s="913"/>
      <c r="K118" s="715"/>
      <c r="L118" s="744"/>
      <c r="M118" s="744"/>
      <c r="N118" s="744"/>
      <c r="O118" s="744"/>
      <c r="P118" s="744"/>
      <c r="Q118" s="744"/>
      <c r="R118" s="716"/>
      <c r="S118" s="712" t="s">
        <v>1149</v>
      </c>
      <c r="T118" s="737"/>
      <c r="U118" s="738"/>
      <c r="V118" s="712" t="s">
        <v>1150</v>
      </c>
      <c r="W118" s="737"/>
      <c r="X118" s="737"/>
      <c r="Y118" s="738"/>
      <c r="Z118" s="712" t="s">
        <v>1151</v>
      </c>
      <c r="AA118" s="737"/>
      <c r="AB118" s="737"/>
      <c r="AC118" s="738"/>
      <c r="AD118" s="715"/>
      <c r="AE118" s="744"/>
      <c r="AF118" s="744"/>
      <c r="AG118" s="744"/>
      <c r="AH118" s="716"/>
    </row>
    <row r="119" spans="1:34" ht="11.85" customHeight="1">
      <c r="A119" s="880" t="s">
        <v>1436</v>
      </c>
      <c r="B119" s="881"/>
      <c r="C119" s="881"/>
      <c r="D119" s="881"/>
      <c r="E119" s="881"/>
      <c r="F119" s="881"/>
      <c r="G119" s="881"/>
      <c r="H119" s="881"/>
      <c r="I119" s="881"/>
      <c r="J119" s="882"/>
      <c r="K119" s="898" t="s">
        <v>656</v>
      </c>
      <c r="L119" s="899"/>
      <c r="M119" s="899"/>
      <c r="N119" s="899"/>
      <c r="O119" s="899"/>
      <c r="P119" s="899"/>
      <c r="Q119" s="899"/>
      <c r="R119" s="900"/>
      <c r="S119" s="898" t="s">
        <v>656</v>
      </c>
      <c r="T119" s="899"/>
      <c r="U119" s="900"/>
      <c r="V119" s="898" t="s">
        <v>656</v>
      </c>
      <c r="W119" s="899"/>
      <c r="X119" s="899"/>
      <c r="Y119" s="900"/>
      <c r="Z119" s="898" t="s">
        <v>656</v>
      </c>
      <c r="AA119" s="899"/>
      <c r="AB119" s="899"/>
      <c r="AC119" s="900"/>
      <c r="AD119" s="898" t="s">
        <v>656</v>
      </c>
      <c r="AE119" s="899"/>
      <c r="AF119" s="899"/>
      <c r="AG119" s="899"/>
      <c r="AH119" s="900"/>
    </row>
    <row r="120" spans="1:34" ht="11.85" customHeight="1">
      <c r="A120" s="894" t="s">
        <v>1437</v>
      </c>
      <c r="B120" s="901"/>
      <c r="C120" s="901"/>
      <c r="D120" s="901"/>
      <c r="E120" s="901"/>
      <c r="F120" s="901"/>
      <c r="G120" s="901"/>
      <c r="H120" s="901"/>
      <c r="I120" s="901"/>
      <c r="J120" s="895"/>
      <c r="K120" s="883" t="s">
        <v>1438</v>
      </c>
      <c r="L120" s="884"/>
      <c r="M120" s="884"/>
      <c r="N120" s="884"/>
      <c r="O120" s="884"/>
      <c r="P120" s="884"/>
      <c r="Q120" s="884"/>
      <c r="R120" s="885"/>
      <c r="S120" s="883" t="s">
        <v>656</v>
      </c>
      <c r="T120" s="884"/>
      <c r="U120" s="885"/>
      <c r="V120" s="883" t="s">
        <v>656</v>
      </c>
      <c r="W120" s="884"/>
      <c r="X120" s="884"/>
      <c r="Y120" s="885"/>
      <c r="Z120" s="883" t="s">
        <v>656</v>
      </c>
      <c r="AA120" s="884"/>
      <c r="AB120" s="884"/>
      <c r="AC120" s="885"/>
      <c r="AD120" s="883" t="s">
        <v>1438</v>
      </c>
      <c r="AE120" s="884"/>
      <c r="AF120" s="884"/>
      <c r="AG120" s="884"/>
      <c r="AH120" s="885"/>
    </row>
    <row r="121" spans="1:34" ht="11.1" customHeight="1">
      <c r="A121" s="886" t="s">
        <v>1152</v>
      </c>
      <c r="B121" s="932"/>
      <c r="C121" s="932"/>
      <c r="D121" s="932"/>
      <c r="E121" s="932"/>
      <c r="F121" s="932"/>
      <c r="G121" s="932"/>
      <c r="H121" s="932"/>
      <c r="I121" s="932"/>
      <c r="J121" s="887"/>
      <c r="K121" s="888" t="s">
        <v>1154</v>
      </c>
      <c r="L121" s="890"/>
      <c r="M121" s="890"/>
      <c r="N121" s="890"/>
      <c r="O121" s="890"/>
      <c r="P121" s="890"/>
      <c r="Q121" s="890"/>
      <c r="R121" s="889"/>
      <c r="S121" s="888" t="s">
        <v>656</v>
      </c>
      <c r="T121" s="890"/>
      <c r="U121" s="889"/>
      <c r="V121" s="888" t="s">
        <v>656</v>
      </c>
      <c r="W121" s="890"/>
      <c r="X121" s="890"/>
      <c r="Y121" s="889"/>
      <c r="Z121" s="888" t="s">
        <v>656</v>
      </c>
      <c r="AA121" s="890"/>
      <c r="AB121" s="890"/>
      <c r="AC121" s="889"/>
      <c r="AD121" s="888" t="s">
        <v>1154</v>
      </c>
      <c r="AE121" s="890"/>
      <c r="AF121" s="890"/>
      <c r="AG121" s="890"/>
      <c r="AH121" s="889"/>
    </row>
    <row r="122" spans="1:34" ht="11.85" customHeight="1">
      <c r="A122" s="914" t="s">
        <v>1153</v>
      </c>
      <c r="B122" s="915"/>
      <c r="C122" s="915"/>
      <c r="D122" s="915"/>
      <c r="E122" s="915"/>
      <c r="F122" s="915"/>
      <c r="G122" s="915"/>
      <c r="H122" s="915"/>
      <c r="I122" s="915"/>
      <c r="J122" s="916"/>
      <c r="K122" s="917" t="s">
        <v>1439</v>
      </c>
      <c r="L122" s="918"/>
      <c r="M122" s="918"/>
      <c r="N122" s="918"/>
      <c r="O122" s="918"/>
      <c r="P122" s="918"/>
      <c r="Q122" s="918"/>
      <c r="R122" s="919"/>
      <c r="S122" s="917" t="s">
        <v>656</v>
      </c>
      <c r="T122" s="918"/>
      <c r="U122" s="919"/>
      <c r="V122" s="917" t="s">
        <v>656</v>
      </c>
      <c r="W122" s="918"/>
      <c r="X122" s="918"/>
      <c r="Y122" s="919"/>
      <c r="Z122" s="917" t="s">
        <v>656</v>
      </c>
      <c r="AA122" s="918"/>
      <c r="AB122" s="918"/>
      <c r="AC122" s="919"/>
      <c r="AD122" s="917" t="s">
        <v>1439</v>
      </c>
      <c r="AE122" s="918"/>
      <c r="AF122" s="918"/>
      <c r="AG122" s="918"/>
      <c r="AH122" s="919"/>
    </row>
    <row r="123" spans="1:34" ht="11.85" customHeight="1">
      <c r="A123" s="773"/>
      <c r="B123" s="773"/>
      <c r="C123" s="773"/>
      <c r="D123" s="773"/>
      <c r="E123" s="773"/>
      <c r="F123" s="773"/>
      <c r="G123" s="773"/>
      <c r="H123" s="773"/>
      <c r="I123" s="773"/>
      <c r="J123" s="773"/>
      <c r="K123" s="773"/>
      <c r="L123" s="773"/>
      <c r="M123" s="773"/>
      <c r="N123" s="773"/>
      <c r="O123" s="773"/>
      <c r="P123" s="773"/>
      <c r="Q123" s="773"/>
      <c r="R123" s="773"/>
      <c r="S123" s="773"/>
      <c r="T123" s="773"/>
      <c r="U123" s="773"/>
      <c r="V123" s="773"/>
      <c r="W123" s="773"/>
      <c r="X123" s="773"/>
      <c r="Y123" s="773"/>
      <c r="Z123" s="773"/>
      <c r="AA123" s="773"/>
      <c r="AB123" s="773"/>
      <c r="AC123" s="773"/>
      <c r="AD123" s="773"/>
      <c r="AE123" s="773"/>
      <c r="AF123" s="773"/>
      <c r="AG123" s="773"/>
      <c r="AH123" s="773"/>
    </row>
    <row r="124" spans="1:34" ht="11.85" customHeight="1">
      <c r="A124" s="732" t="s">
        <v>1155</v>
      </c>
      <c r="B124" s="942"/>
      <c r="C124" s="942"/>
      <c r="D124" s="942"/>
      <c r="E124" s="942"/>
      <c r="F124" s="942"/>
      <c r="G124" s="942"/>
      <c r="H124" s="942"/>
      <c r="I124" s="943"/>
      <c r="J124" s="712" t="s">
        <v>843</v>
      </c>
      <c r="K124" s="743"/>
      <c r="L124" s="743"/>
      <c r="M124" s="743"/>
      <c r="N124" s="743"/>
      <c r="O124" s="743"/>
      <c r="P124" s="714"/>
      <c r="Q124" s="712" t="s">
        <v>844</v>
      </c>
      <c r="R124" s="743"/>
      <c r="S124" s="743"/>
      <c r="T124" s="743"/>
      <c r="U124" s="743"/>
      <c r="V124" s="743"/>
      <c r="W124" s="714"/>
      <c r="X124" s="734" t="s">
        <v>845</v>
      </c>
      <c r="Y124" s="735"/>
      <c r="Z124" s="735"/>
      <c r="AA124" s="735"/>
      <c r="AB124" s="735"/>
      <c r="AC124" s="735"/>
      <c r="AD124" s="735"/>
      <c r="AE124" s="735"/>
      <c r="AF124" s="735"/>
      <c r="AG124" s="735"/>
      <c r="AH124" s="736"/>
    </row>
    <row r="125" spans="1:34" ht="17.100000000000001" customHeight="1">
      <c r="A125" s="944"/>
      <c r="B125" s="945"/>
      <c r="C125" s="945"/>
      <c r="D125" s="945"/>
      <c r="E125" s="945"/>
      <c r="F125" s="945"/>
      <c r="G125" s="945"/>
      <c r="H125" s="945"/>
      <c r="I125" s="946"/>
      <c r="J125" s="715"/>
      <c r="K125" s="744"/>
      <c r="L125" s="744"/>
      <c r="M125" s="744"/>
      <c r="N125" s="744"/>
      <c r="O125" s="744"/>
      <c r="P125" s="716"/>
      <c r="Q125" s="715"/>
      <c r="R125" s="744"/>
      <c r="S125" s="744"/>
      <c r="T125" s="744"/>
      <c r="U125" s="744"/>
      <c r="V125" s="744"/>
      <c r="W125" s="716"/>
      <c r="X125" s="712" t="s">
        <v>1055</v>
      </c>
      <c r="Y125" s="737"/>
      <c r="Z125" s="737"/>
      <c r="AA125" s="737"/>
      <c r="AB125" s="737"/>
      <c r="AC125" s="737"/>
      <c r="AD125" s="738"/>
      <c r="AE125" s="712" t="s">
        <v>1056</v>
      </c>
      <c r="AF125" s="737"/>
      <c r="AG125" s="737"/>
      <c r="AH125" s="738"/>
    </row>
    <row r="126" spans="1:34" ht="11.85" customHeight="1">
      <c r="A126" s="880" t="s">
        <v>1156</v>
      </c>
      <c r="B126" s="881"/>
      <c r="C126" s="881"/>
      <c r="D126" s="881"/>
      <c r="E126" s="881"/>
      <c r="F126" s="881"/>
      <c r="G126" s="881"/>
      <c r="H126" s="881"/>
      <c r="I126" s="882"/>
      <c r="J126" s="898" t="s">
        <v>1440</v>
      </c>
      <c r="K126" s="899"/>
      <c r="L126" s="899"/>
      <c r="M126" s="899"/>
      <c r="N126" s="899"/>
      <c r="O126" s="899"/>
      <c r="P126" s="900"/>
      <c r="Q126" s="898" t="s">
        <v>2533</v>
      </c>
      <c r="R126" s="899"/>
      <c r="S126" s="899"/>
      <c r="T126" s="899"/>
      <c r="U126" s="899"/>
      <c r="V126" s="899"/>
      <c r="W126" s="900"/>
      <c r="X126" s="898" t="s">
        <v>2534</v>
      </c>
      <c r="Y126" s="899"/>
      <c r="Z126" s="899"/>
      <c r="AA126" s="899"/>
      <c r="AB126" s="899"/>
      <c r="AC126" s="899"/>
      <c r="AD126" s="900"/>
      <c r="AE126" s="898" t="s">
        <v>2535</v>
      </c>
      <c r="AF126" s="899"/>
      <c r="AG126" s="899"/>
      <c r="AH126" s="900"/>
    </row>
    <row r="127" spans="1:34" ht="11.85" customHeight="1">
      <c r="A127" s="894" t="s">
        <v>1157</v>
      </c>
      <c r="B127" s="901"/>
      <c r="C127" s="901"/>
      <c r="D127" s="901"/>
      <c r="E127" s="901"/>
      <c r="F127" s="901"/>
      <c r="G127" s="901"/>
      <c r="H127" s="901"/>
      <c r="I127" s="895"/>
      <c r="J127" s="883" t="s">
        <v>1398</v>
      </c>
      <c r="K127" s="884"/>
      <c r="L127" s="884"/>
      <c r="M127" s="884"/>
      <c r="N127" s="884"/>
      <c r="O127" s="884"/>
      <c r="P127" s="885"/>
      <c r="Q127" s="883" t="s">
        <v>2536</v>
      </c>
      <c r="R127" s="884"/>
      <c r="S127" s="884"/>
      <c r="T127" s="884"/>
      <c r="U127" s="884"/>
      <c r="V127" s="884"/>
      <c r="W127" s="885"/>
      <c r="X127" s="883" t="s">
        <v>2537</v>
      </c>
      <c r="Y127" s="884"/>
      <c r="Z127" s="884"/>
      <c r="AA127" s="884"/>
      <c r="AB127" s="884"/>
      <c r="AC127" s="884"/>
      <c r="AD127" s="885"/>
      <c r="AE127" s="883" t="s">
        <v>2538</v>
      </c>
      <c r="AF127" s="884"/>
      <c r="AG127" s="884"/>
      <c r="AH127" s="885"/>
    </row>
    <row r="128" spans="1:34" ht="11.85" customHeight="1">
      <c r="A128" s="894" t="s">
        <v>1158</v>
      </c>
      <c r="B128" s="901"/>
      <c r="C128" s="901"/>
      <c r="D128" s="901"/>
      <c r="E128" s="901"/>
      <c r="F128" s="901"/>
      <c r="G128" s="901"/>
      <c r="H128" s="901"/>
      <c r="I128" s="895"/>
      <c r="J128" s="883" t="s">
        <v>885</v>
      </c>
      <c r="K128" s="884"/>
      <c r="L128" s="884"/>
      <c r="M128" s="884"/>
      <c r="N128" s="884"/>
      <c r="O128" s="884"/>
      <c r="P128" s="885"/>
      <c r="Q128" s="883" t="s">
        <v>885</v>
      </c>
      <c r="R128" s="884"/>
      <c r="S128" s="884"/>
      <c r="T128" s="884"/>
      <c r="U128" s="884"/>
      <c r="V128" s="884"/>
      <c r="W128" s="885"/>
      <c r="X128" s="883" t="s">
        <v>2539</v>
      </c>
      <c r="Y128" s="884"/>
      <c r="Z128" s="884"/>
      <c r="AA128" s="884"/>
      <c r="AB128" s="884"/>
      <c r="AC128" s="884"/>
      <c r="AD128" s="885"/>
      <c r="AE128" s="883" t="s">
        <v>2540</v>
      </c>
      <c r="AF128" s="884"/>
      <c r="AG128" s="884"/>
      <c r="AH128" s="885"/>
    </row>
    <row r="129" spans="1:34" ht="11.1" customHeight="1">
      <c r="A129" s="894" t="s">
        <v>1159</v>
      </c>
      <c r="B129" s="901"/>
      <c r="C129" s="901"/>
      <c r="D129" s="901"/>
      <c r="E129" s="901"/>
      <c r="F129" s="901"/>
      <c r="G129" s="901"/>
      <c r="H129" s="901"/>
      <c r="I129" s="895"/>
      <c r="J129" s="883" t="s">
        <v>656</v>
      </c>
      <c r="K129" s="884"/>
      <c r="L129" s="884"/>
      <c r="M129" s="884"/>
      <c r="N129" s="884"/>
      <c r="O129" s="884"/>
      <c r="P129" s="885"/>
      <c r="Q129" s="883" t="s">
        <v>656</v>
      </c>
      <c r="R129" s="884"/>
      <c r="S129" s="884"/>
      <c r="T129" s="884"/>
      <c r="U129" s="884"/>
      <c r="V129" s="884"/>
      <c r="W129" s="885"/>
      <c r="X129" s="883" t="s">
        <v>656</v>
      </c>
      <c r="Y129" s="884"/>
      <c r="Z129" s="884"/>
      <c r="AA129" s="884"/>
      <c r="AB129" s="884"/>
      <c r="AC129" s="884"/>
      <c r="AD129" s="885"/>
      <c r="AE129" s="883" t="s">
        <v>656</v>
      </c>
      <c r="AF129" s="884"/>
      <c r="AG129" s="884"/>
      <c r="AH129" s="885"/>
    </row>
    <row r="130" spans="1:34" ht="11.85" customHeight="1">
      <c r="A130" s="894" t="s">
        <v>1160</v>
      </c>
      <c r="B130" s="901"/>
      <c r="C130" s="901"/>
      <c r="D130" s="901"/>
      <c r="E130" s="901"/>
      <c r="F130" s="901"/>
      <c r="G130" s="901"/>
      <c r="H130" s="901"/>
      <c r="I130" s="895"/>
      <c r="J130" s="883" t="s">
        <v>656</v>
      </c>
      <c r="K130" s="884"/>
      <c r="L130" s="884"/>
      <c r="M130" s="884"/>
      <c r="N130" s="884"/>
      <c r="O130" s="884"/>
      <c r="P130" s="885"/>
      <c r="Q130" s="883" t="s">
        <v>656</v>
      </c>
      <c r="R130" s="884"/>
      <c r="S130" s="884"/>
      <c r="T130" s="884"/>
      <c r="U130" s="884"/>
      <c r="V130" s="884"/>
      <c r="W130" s="885"/>
      <c r="X130" s="883" t="s">
        <v>656</v>
      </c>
      <c r="Y130" s="884"/>
      <c r="Z130" s="884"/>
      <c r="AA130" s="884"/>
      <c r="AB130" s="884"/>
      <c r="AC130" s="884"/>
      <c r="AD130" s="885"/>
      <c r="AE130" s="883" t="s">
        <v>656</v>
      </c>
      <c r="AF130" s="884"/>
      <c r="AG130" s="884"/>
      <c r="AH130" s="885"/>
    </row>
    <row r="131" spans="1:34" ht="11.85" customHeight="1">
      <c r="A131" s="894" t="s">
        <v>1161</v>
      </c>
      <c r="B131" s="901"/>
      <c r="C131" s="901"/>
      <c r="D131" s="901"/>
      <c r="E131" s="901"/>
      <c r="F131" s="901"/>
      <c r="G131" s="901"/>
      <c r="H131" s="901"/>
      <c r="I131" s="895"/>
      <c r="J131" s="883" t="s">
        <v>656</v>
      </c>
      <c r="K131" s="884"/>
      <c r="L131" s="884"/>
      <c r="M131" s="884"/>
      <c r="N131" s="884"/>
      <c r="O131" s="884"/>
      <c r="P131" s="885"/>
      <c r="Q131" s="883" t="s">
        <v>656</v>
      </c>
      <c r="R131" s="884"/>
      <c r="S131" s="884"/>
      <c r="T131" s="884"/>
      <c r="U131" s="884"/>
      <c r="V131" s="884"/>
      <c r="W131" s="885"/>
      <c r="X131" s="883" t="s">
        <v>2541</v>
      </c>
      <c r="Y131" s="884"/>
      <c r="Z131" s="884"/>
      <c r="AA131" s="884"/>
      <c r="AB131" s="884"/>
      <c r="AC131" s="884"/>
      <c r="AD131" s="885"/>
      <c r="AE131" s="883" t="s">
        <v>656</v>
      </c>
      <c r="AF131" s="884"/>
      <c r="AG131" s="884"/>
      <c r="AH131" s="885"/>
    </row>
    <row r="132" spans="1:34" ht="17.100000000000001" customHeight="1"/>
    <row r="133" spans="1:34" ht="11.85" customHeight="1">
      <c r="A133" s="739" t="s">
        <v>2504</v>
      </c>
      <c r="B133" s="739"/>
      <c r="C133" s="739"/>
      <c r="D133" s="739"/>
      <c r="E133" s="739"/>
      <c r="F133" s="739"/>
      <c r="G133" s="739"/>
      <c r="H133" s="739"/>
      <c r="I133" s="739"/>
      <c r="J133" s="739"/>
      <c r="K133" s="739"/>
      <c r="L133" s="739"/>
      <c r="M133" s="739"/>
      <c r="N133" s="739"/>
      <c r="O133" s="739"/>
      <c r="P133" s="739"/>
      <c r="Q133" s="739"/>
      <c r="R133" s="739"/>
      <c r="S133" s="739"/>
      <c r="T133" s="739"/>
      <c r="U133" s="739"/>
      <c r="V133" s="739"/>
      <c r="W133" s="739"/>
      <c r="X133" s="739"/>
      <c r="Y133" s="739"/>
      <c r="Z133" s="739"/>
      <c r="AA133" s="739"/>
      <c r="AB133" s="739"/>
      <c r="AC133" s="739"/>
      <c r="AD133" s="739"/>
      <c r="AE133" s="739"/>
      <c r="AF133" s="739"/>
      <c r="AG133" s="739"/>
    </row>
    <row r="134" spans="1:34" ht="5.85" customHeight="1"/>
    <row r="135" spans="1:34" ht="11.85" customHeight="1">
      <c r="A135" s="717" t="s">
        <v>661</v>
      </c>
      <c r="B135" s="717"/>
      <c r="C135" s="717"/>
      <c r="D135" s="717"/>
      <c r="E135" s="717"/>
      <c r="F135" s="717"/>
      <c r="G135" s="717"/>
      <c r="AG135" s="562" t="s">
        <v>947</v>
      </c>
    </row>
    <row r="136" spans="1:34" ht="11.1" customHeight="1">
      <c r="A136" s="717" t="s">
        <v>655</v>
      </c>
      <c r="B136" s="717"/>
      <c r="C136" s="717"/>
      <c r="D136" s="717"/>
      <c r="E136" s="717"/>
      <c r="F136" s="717"/>
      <c r="G136" s="717"/>
    </row>
    <row r="137" spans="1:34" ht="11.85" customHeight="1">
      <c r="A137" s="740" t="s">
        <v>1052</v>
      </c>
      <c r="B137" s="740"/>
      <c r="C137" s="740"/>
      <c r="D137" s="740"/>
      <c r="E137" s="740"/>
      <c r="F137" s="740"/>
      <c r="G137" s="740"/>
    </row>
    <row r="138" spans="1:34" ht="11.85" customHeight="1">
      <c r="A138" s="717" t="s">
        <v>660</v>
      </c>
      <c r="B138" s="717"/>
      <c r="C138" s="717"/>
      <c r="D138" s="717"/>
      <c r="E138" s="717"/>
      <c r="F138" s="717"/>
      <c r="G138" s="717"/>
    </row>
    <row r="139" spans="1:34" ht="11.85" customHeight="1">
      <c r="A139" s="717" t="s">
        <v>2445</v>
      </c>
      <c r="B139" s="717"/>
      <c r="C139" s="717"/>
      <c r="D139" s="717"/>
      <c r="E139" s="717"/>
      <c r="F139" s="717"/>
      <c r="G139" s="717"/>
    </row>
    <row r="140" spans="1:34" ht="5.85" customHeight="1"/>
    <row r="141" spans="1:34" ht="11.1" customHeight="1">
      <c r="A141" s="741" t="s">
        <v>1053</v>
      </c>
      <c r="B141" s="741"/>
      <c r="C141" s="741"/>
      <c r="D141" s="741"/>
      <c r="E141" s="741"/>
      <c r="F141" s="741"/>
      <c r="G141" s="741"/>
      <c r="H141" s="466"/>
      <c r="I141" s="466"/>
      <c r="J141" s="466"/>
      <c r="K141" s="466"/>
      <c r="L141" s="466"/>
      <c r="M141" s="466"/>
      <c r="N141" s="466"/>
      <c r="O141" s="466"/>
      <c r="P141" s="466"/>
      <c r="Q141" s="466"/>
      <c r="R141" s="466"/>
      <c r="S141" s="466"/>
      <c r="T141" s="466"/>
      <c r="U141" s="466"/>
      <c r="V141" s="466"/>
      <c r="W141" s="466"/>
      <c r="X141" s="466"/>
      <c r="Y141" s="466"/>
      <c r="Z141" s="466"/>
      <c r="AA141" s="466"/>
      <c r="AB141" s="466"/>
      <c r="AC141" s="466"/>
      <c r="AD141" s="466"/>
      <c r="AE141" s="466"/>
      <c r="AF141" s="466"/>
      <c r="AG141" s="466"/>
      <c r="AH141" s="466"/>
    </row>
    <row r="142" spans="1:34" ht="11.85" customHeight="1">
      <c r="A142" s="732" t="s">
        <v>1155</v>
      </c>
      <c r="B142" s="942"/>
      <c r="C142" s="942"/>
      <c r="D142" s="942"/>
      <c r="E142" s="942"/>
      <c r="F142" s="942"/>
      <c r="G142" s="942"/>
      <c r="H142" s="942"/>
      <c r="I142" s="943"/>
      <c r="J142" s="712" t="s">
        <v>843</v>
      </c>
      <c r="K142" s="743"/>
      <c r="L142" s="743"/>
      <c r="M142" s="743"/>
      <c r="N142" s="743"/>
      <c r="O142" s="743"/>
      <c r="P142" s="714"/>
      <c r="Q142" s="712" t="s">
        <v>844</v>
      </c>
      <c r="R142" s="743"/>
      <c r="S142" s="743"/>
      <c r="T142" s="743"/>
      <c r="U142" s="743"/>
      <c r="V142" s="743"/>
      <c r="W142" s="714"/>
      <c r="X142" s="734" t="s">
        <v>845</v>
      </c>
      <c r="Y142" s="735"/>
      <c r="Z142" s="735"/>
      <c r="AA142" s="735"/>
      <c r="AB142" s="735"/>
      <c r="AC142" s="735"/>
      <c r="AD142" s="735"/>
      <c r="AE142" s="735"/>
      <c r="AF142" s="735"/>
      <c r="AG142" s="735"/>
      <c r="AH142" s="736"/>
    </row>
    <row r="143" spans="1:34" ht="17.850000000000001" customHeight="1">
      <c r="A143" s="944"/>
      <c r="B143" s="945"/>
      <c r="C143" s="945"/>
      <c r="D143" s="945"/>
      <c r="E143" s="945"/>
      <c r="F143" s="945"/>
      <c r="G143" s="945"/>
      <c r="H143" s="945"/>
      <c r="I143" s="946"/>
      <c r="J143" s="715"/>
      <c r="K143" s="744"/>
      <c r="L143" s="744"/>
      <c r="M143" s="744"/>
      <c r="N143" s="744"/>
      <c r="O143" s="744"/>
      <c r="P143" s="716"/>
      <c r="Q143" s="715"/>
      <c r="R143" s="744"/>
      <c r="S143" s="744"/>
      <c r="T143" s="744"/>
      <c r="U143" s="744"/>
      <c r="V143" s="744"/>
      <c r="W143" s="716"/>
      <c r="X143" s="712" t="s">
        <v>1055</v>
      </c>
      <c r="Y143" s="737"/>
      <c r="Z143" s="737"/>
      <c r="AA143" s="737"/>
      <c r="AB143" s="737"/>
      <c r="AC143" s="737"/>
      <c r="AD143" s="738"/>
      <c r="AE143" s="712" t="s">
        <v>1056</v>
      </c>
      <c r="AF143" s="737"/>
      <c r="AG143" s="737"/>
      <c r="AH143" s="738"/>
    </row>
    <row r="144" spans="1:34" ht="11.1" customHeight="1">
      <c r="A144" s="914" t="s">
        <v>1162</v>
      </c>
      <c r="B144" s="915"/>
      <c r="C144" s="915"/>
      <c r="D144" s="915"/>
      <c r="E144" s="915"/>
      <c r="F144" s="915"/>
      <c r="G144" s="915"/>
      <c r="H144" s="915"/>
      <c r="I144" s="916"/>
      <c r="J144" s="917" t="s">
        <v>1440</v>
      </c>
      <c r="K144" s="918"/>
      <c r="L144" s="918"/>
      <c r="M144" s="918"/>
      <c r="N144" s="918"/>
      <c r="O144" s="918"/>
      <c r="P144" s="919"/>
      <c r="Q144" s="917" t="s">
        <v>2533</v>
      </c>
      <c r="R144" s="918"/>
      <c r="S144" s="918"/>
      <c r="T144" s="918"/>
      <c r="U144" s="918"/>
      <c r="V144" s="918"/>
      <c r="W144" s="919"/>
      <c r="X144" s="917" t="s">
        <v>2542</v>
      </c>
      <c r="Y144" s="918"/>
      <c r="Z144" s="918"/>
      <c r="AA144" s="918"/>
      <c r="AB144" s="918"/>
      <c r="AC144" s="918"/>
      <c r="AD144" s="919"/>
      <c r="AE144" s="917" t="s">
        <v>2543</v>
      </c>
      <c r="AF144" s="918"/>
      <c r="AG144" s="918"/>
      <c r="AH144" s="919"/>
    </row>
    <row r="145" spans="1:34" ht="11.85" customHeight="1">
      <c r="A145" s="773"/>
      <c r="B145" s="773"/>
      <c r="C145" s="773"/>
      <c r="D145" s="773"/>
      <c r="E145" s="773"/>
      <c r="F145" s="773"/>
      <c r="G145" s="773"/>
      <c r="H145" s="773"/>
      <c r="I145" s="773"/>
      <c r="J145" s="773"/>
      <c r="K145" s="773"/>
      <c r="L145" s="773"/>
      <c r="M145" s="773"/>
      <c r="N145" s="773"/>
      <c r="O145" s="773"/>
      <c r="P145" s="773"/>
      <c r="Q145" s="773"/>
      <c r="R145" s="773"/>
      <c r="S145" s="773"/>
      <c r="T145" s="773"/>
      <c r="U145" s="773"/>
      <c r="V145" s="773"/>
      <c r="W145" s="773"/>
      <c r="X145" s="773"/>
      <c r="Y145" s="773"/>
      <c r="Z145" s="773"/>
      <c r="AA145" s="773"/>
      <c r="AB145" s="773"/>
      <c r="AC145" s="773"/>
      <c r="AD145" s="773"/>
      <c r="AE145" s="773"/>
      <c r="AF145" s="773"/>
      <c r="AG145" s="773"/>
      <c r="AH145" s="773"/>
    </row>
    <row r="146" spans="1:34" ht="17.850000000000001" customHeight="1">
      <c r="A146" s="734" t="s">
        <v>1163</v>
      </c>
      <c r="B146" s="735"/>
      <c r="C146" s="735"/>
      <c r="D146" s="735"/>
      <c r="E146" s="735"/>
      <c r="F146" s="735"/>
      <c r="G146" s="735"/>
      <c r="H146" s="735"/>
      <c r="I146" s="735"/>
      <c r="J146" s="735"/>
      <c r="K146" s="735"/>
      <c r="L146" s="735"/>
      <c r="M146" s="735"/>
      <c r="N146" s="735"/>
      <c r="O146" s="735"/>
      <c r="P146" s="735"/>
      <c r="Q146" s="735"/>
      <c r="R146" s="735"/>
      <c r="S146" s="735"/>
      <c r="T146" s="735"/>
      <c r="U146" s="735"/>
      <c r="V146" s="735"/>
      <c r="W146" s="735"/>
      <c r="X146" s="735"/>
      <c r="Y146" s="735"/>
      <c r="Z146" s="735"/>
      <c r="AA146" s="735"/>
      <c r="AB146" s="735"/>
      <c r="AC146" s="735"/>
      <c r="AD146" s="735"/>
      <c r="AE146" s="735"/>
      <c r="AF146" s="735"/>
      <c r="AG146" s="735"/>
      <c r="AH146" s="736"/>
    </row>
    <row r="147" spans="1:34" ht="11.85" customHeight="1">
      <c r="A147" s="908" t="s">
        <v>1164</v>
      </c>
      <c r="B147" s="909"/>
      <c r="C147" s="909"/>
      <c r="D147" s="909"/>
      <c r="E147" s="910"/>
      <c r="F147" s="712" t="s">
        <v>1076</v>
      </c>
      <c r="G147" s="714"/>
      <c r="H147" s="712" t="s">
        <v>910</v>
      </c>
      <c r="I147" s="743"/>
      <c r="J147" s="743"/>
      <c r="K147" s="743"/>
      <c r="L147" s="714"/>
      <c r="M147" s="734" t="s">
        <v>864</v>
      </c>
      <c r="N147" s="735"/>
      <c r="O147" s="735"/>
      <c r="P147" s="735"/>
      <c r="Q147" s="735"/>
      <c r="R147" s="735"/>
      <c r="S147" s="736"/>
      <c r="T147" s="734" t="s">
        <v>866</v>
      </c>
      <c r="U147" s="735"/>
      <c r="V147" s="735"/>
      <c r="W147" s="735"/>
      <c r="X147" s="735"/>
      <c r="Y147" s="735"/>
      <c r="Z147" s="735"/>
      <c r="AA147" s="735"/>
      <c r="AB147" s="736"/>
      <c r="AC147" s="734" t="s">
        <v>1077</v>
      </c>
      <c r="AD147" s="735"/>
      <c r="AE147" s="735"/>
      <c r="AF147" s="735"/>
      <c r="AG147" s="735"/>
      <c r="AH147" s="736"/>
    </row>
    <row r="148" spans="1:34" ht="17.100000000000001" customHeight="1">
      <c r="A148" s="911"/>
      <c r="B148" s="912"/>
      <c r="C148" s="912"/>
      <c r="D148" s="912"/>
      <c r="E148" s="913"/>
      <c r="F148" s="715"/>
      <c r="G148" s="716"/>
      <c r="H148" s="715"/>
      <c r="I148" s="744"/>
      <c r="J148" s="744"/>
      <c r="K148" s="744"/>
      <c r="L148" s="716"/>
      <c r="M148" s="712" t="s">
        <v>1078</v>
      </c>
      <c r="N148" s="737"/>
      <c r="O148" s="738"/>
      <c r="P148" s="712" t="s">
        <v>1079</v>
      </c>
      <c r="Q148" s="737"/>
      <c r="R148" s="737"/>
      <c r="S148" s="738"/>
      <c r="T148" s="712" t="s">
        <v>1080</v>
      </c>
      <c r="U148" s="737"/>
      <c r="V148" s="737"/>
      <c r="W148" s="737"/>
      <c r="X148" s="738"/>
      <c r="Y148" s="712" t="s">
        <v>1081</v>
      </c>
      <c r="Z148" s="737"/>
      <c r="AA148" s="737"/>
      <c r="AB148" s="738"/>
      <c r="AC148" s="712" t="s">
        <v>1082</v>
      </c>
      <c r="AD148" s="737"/>
      <c r="AE148" s="737"/>
      <c r="AF148" s="738"/>
      <c r="AG148" s="712" t="s">
        <v>1083</v>
      </c>
      <c r="AH148" s="738"/>
    </row>
    <row r="149" spans="1:34" ht="17.850000000000001" customHeight="1">
      <c r="A149" s="953" t="s">
        <v>1165</v>
      </c>
      <c r="B149" s="954"/>
      <c r="C149" s="954"/>
      <c r="D149" s="954"/>
      <c r="E149" s="955"/>
      <c r="F149" s="867" t="s">
        <v>1441</v>
      </c>
      <c r="G149" s="869"/>
      <c r="H149" s="867" t="s">
        <v>2544</v>
      </c>
      <c r="I149" s="868"/>
      <c r="J149" s="868"/>
      <c r="K149" s="868"/>
      <c r="L149" s="869"/>
      <c r="M149" s="867" t="s">
        <v>2545</v>
      </c>
      <c r="N149" s="868"/>
      <c r="O149" s="869"/>
      <c r="P149" s="867" t="s">
        <v>2546</v>
      </c>
      <c r="Q149" s="868"/>
      <c r="R149" s="868"/>
      <c r="S149" s="869"/>
      <c r="T149" s="867" t="s">
        <v>2547</v>
      </c>
      <c r="U149" s="868"/>
      <c r="V149" s="868"/>
      <c r="W149" s="868"/>
      <c r="X149" s="869"/>
      <c r="Y149" s="867" t="s">
        <v>2548</v>
      </c>
      <c r="Z149" s="868"/>
      <c r="AA149" s="868"/>
      <c r="AB149" s="869"/>
      <c r="AC149" s="867" t="s">
        <v>2549</v>
      </c>
      <c r="AD149" s="868"/>
      <c r="AE149" s="868"/>
      <c r="AF149" s="869"/>
      <c r="AG149" s="867" t="s">
        <v>2550</v>
      </c>
      <c r="AH149" s="869"/>
    </row>
    <row r="150" spans="1:34" ht="17.100000000000001" customHeight="1">
      <c r="A150" s="891" t="s">
        <v>1086</v>
      </c>
      <c r="B150" s="892"/>
      <c r="C150" s="892"/>
      <c r="D150" s="892"/>
      <c r="E150" s="893"/>
      <c r="F150" s="870" t="s">
        <v>1442</v>
      </c>
      <c r="G150" s="872"/>
      <c r="H150" s="870" t="s">
        <v>2551</v>
      </c>
      <c r="I150" s="871"/>
      <c r="J150" s="871"/>
      <c r="K150" s="871"/>
      <c r="L150" s="872"/>
      <c r="M150" s="870" t="s">
        <v>2552</v>
      </c>
      <c r="N150" s="871"/>
      <c r="O150" s="872"/>
      <c r="P150" s="870" t="s">
        <v>2553</v>
      </c>
      <c r="Q150" s="871"/>
      <c r="R150" s="871"/>
      <c r="S150" s="872"/>
      <c r="T150" s="870" t="s">
        <v>2554</v>
      </c>
      <c r="U150" s="871"/>
      <c r="V150" s="871"/>
      <c r="W150" s="871"/>
      <c r="X150" s="872"/>
      <c r="Y150" s="870" t="s">
        <v>2555</v>
      </c>
      <c r="Z150" s="871"/>
      <c r="AA150" s="871"/>
      <c r="AB150" s="872"/>
      <c r="AC150" s="870" t="s">
        <v>2556</v>
      </c>
      <c r="AD150" s="871"/>
      <c r="AE150" s="871"/>
      <c r="AF150" s="872"/>
      <c r="AG150" s="870" t="s">
        <v>2557</v>
      </c>
      <c r="AH150" s="872"/>
    </row>
    <row r="151" spans="1:34" ht="17.850000000000001" customHeight="1">
      <c r="A151" s="891" t="s">
        <v>1087</v>
      </c>
      <c r="B151" s="892"/>
      <c r="C151" s="892"/>
      <c r="D151" s="892"/>
      <c r="E151" s="893"/>
      <c r="F151" s="870" t="s">
        <v>1443</v>
      </c>
      <c r="G151" s="872"/>
      <c r="H151" s="870" t="s">
        <v>1444</v>
      </c>
      <c r="I151" s="871"/>
      <c r="J151" s="871"/>
      <c r="K151" s="871"/>
      <c r="L151" s="872"/>
      <c r="M151" s="870" t="s">
        <v>1974</v>
      </c>
      <c r="N151" s="871"/>
      <c r="O151" s="872"/>
      <c r="P151" s="870" t="s">
        <v>2558</v>
      </c>
      <c r="Q151" s="871"/>
      <c r="R151" s="871"/>
      <c r="S151" s="872"/>
      <c r="T151" s="870" t="s">
        <v>2054</v>
      </c>
      <c r="U151" s="871"/>
      <c r="V151" s="871"/>
      <c r="W151" s="871"/>
      <c r="X151" s="872"/>
      <c r="Y151" s="870" t="s">
        <v>2559</v>
      </c>
      <c r="Z151" s="871"/>
      <c r="AA151" s="871"/>
      <c r="AB151" s="872"/>
      <c r="AC151" s="870" t="s">
        <v>2130</v>
      </c>
      <c r="AD151" s="871"/>
      <c r="AE151" s="871"/>
      <c r="AF151" s="872"/>
      <c r="AG151" s="870" t="s">
        <v>2560</v>
      </c>
      <c r="AH151" s="872"/>
    </row>
    <row r="152" spans="1:34" ht="17.850000000000001" customHeight="1">
      <c r="A152" s="891" t="s">
        <v>1166</v>
      </c>
      <c r="B152" s="892"/>
      <c r="C152" s="892"/>
      <c r="D152" s="892"/>
      <c r="E152" s="893"/>
      <c r="F152" s="870" t="s">
        <v>1445</v>
      </c>
      <c r="G152" s="872"/>
      <c r="H152" s="870" t="s">
        <v>2561</v>
      </c>
      <c r="I152" s="871"/>
      <c r="J152" s="871"/>
      <c r="K152" s="871"/>
      <c r="L152" s="872"/>
      <c r="M152" s="870" t="s">
        <v>2562</v>
      </c>
      <c r="N152" s="871"/>
      <c r="O152" s="872"/>
      <c r="P152" s="870" t="s">
        <v>2563</v>
      </c>
      <c r="Q152" s="871"/>
      <c r="R152" s="871"/>
      <c r="S152" s="872"/>
      <c r="T152" s="870" t="s">
        <v>2564</v>
      </c>
      <c r="U152" s="871"/>
      <c r="V152" s="871"/>
      <c r="W152" s="871"/>
      <c r="X152" s="872"/>
      <c r="Y152" s="870" t="s">
        <v>2565</v>
      </c>
      <c r="Z152" s="871"/>
      <c r="AA152" s="871"/>
      <c r="AB152" s="872"/>
      <c r="AC152" s="870" t="s">
        <v>2566</v>
      </c>
      <c r="AD152" s="871"/>
      <c r="AE152" s="871"/>
      <c r="AF152" s="872"/>
      <c r="AG152" s="870" t="s">
        <v>2567</v>
      </c>
      <c r="AH152" s="872"/>
    </row>
    <row r="153" spans="1:34" ht="17.100000000000001" customHeight="1">
      <c r="A153" s="891" t="s">
        <v>1086</v>
      </c>
      <c r="B153" s="892"/>
      <c r="C153" s="892"/>
      <c r="D153" s="892"/>
      <c r="E153" s="893"/>
      <c r="F153" s="870" t="s">
        <v>1446</v>
      </c>
      <c r="G153" s="872"/>
      <c r="H153" s="870" t="s">
        <v>2568</v>
      </c>
      <c r="I153" s="871"/>
      <c r="J153" s="871"/>
      <c r="K153" s="871"/>
      <c r="L153" s="872"/>
      <c r="M153" s="870" t="s">
        <v>2562</v>
      </c>
      <c r="N153" s="871"/>
      <c r="O153" s="872"/>
      <c r="P153" s="870" t="s">
        <v>2569</v>
      </c>
      <c r="Q153" s="871"/>
      <c r="R153" s="871"/>
      <c r="S153" s="872"/>
      <c r="T153" s="870" t="s">
        <v>2564</v>
      </c>
      <c r="U153" s="871"/>
      <c r="V153" s="871"/>
      <c r="W153" s="871"/>
      <c r="X153" s="872"/>
      <c r="Y153" s="870" t="s">
        <v>2570</v>
      </c>
      <c r="Z153" s="871"/>
      <c r="AA153" s="871"/>
      <c r="AB153" s="872"/>
      <c r="AC153" s="870" t="s">
        <v>2566</v>
      </c>
      <c r="AD153" s="871"/>
      <c r="AE153" s="871"/>
      <c r="AF153" s="872"/>
      <c r="AG153" s="870" t="s">
        <v>2571</v>
      </c>
      <c r="AH153" s="872"/>
    </row>
    <row r="154" spans="1:34" ht="17.850000000000001" customHeight="1">
      <c r="A154" s="891" t="s">
        <v>1087</v>
      </c>
      <c r="B154" s="892"/>
      <c r="C154" s="892"/>
      <c r="D154" s="892"/>
      <c r="E154" s="893"/>
      <c r="F154" s="870" t="s">
        <v>1447</v>
      </c>
      <c r="G154" s="872"/>
      <c r="H154" s="870" t="s">
        <v>1447</v>
      </c>
      <c r="I154" s="871"/>
      <c r="J154" s="871"/>
      <c r="K154" s="871"/>
      <c r="L154" s="872"/>
      <c r="M154" s="870" t="s">
        <v>656</v>
      </c>
      <c r="N154" s="871"/>
      <c r="O154" s="872"/>
      <c r="P154" s="870" t="s">
        <v>656</v>
      </c>
      <c r="Q154" s="871"/>
      <c r="R154" s="871"/>
      <c r="S154" s="872"/>
      <c r="T154" s="870" t="s">
        <v>656</v>
      </c>
      <c r="U154" s="871"/>
      <c r="V154" s="871"/>
      <c r="W154" s="871"/>
      <c r="X154" s="872"/>
      <c r="Y154" s="870" t="s">
        <v>656</v>
      </c>
      <c r="Z154" s="871"/>
      <c r="AA154" s="871"/>
      <c r="AB154" s="872"/>
      <c r="AC154" s="870" t="s">
        <v>656</v>
      </c>
      <c r="AD154" s="871"/>
      <c r="AE154" s="871"/>
      <c r="AF154" s="872"/>
      <c r="AG154" s="870" t="s">
        <v>656</v>
      </c>
      <c r="AH154" s="872"/>
    </row>
    <row r="155" spans="1:34" ht="17.850000000000001" customHeight="1">
      <c r="A155" s="891" t="s">
        <v>1169</v>
      </c>
      <c r="B155" s="892"/>
      <c r="C155" s="892"/>
      <c r="D155" s="892"/>
      <c r="E155" s="893"/>
      <c r="F155" s="870" t="s">
        <v>1448</v>
      </c>
      <c r="G155" s="872"/>
      <c r="H155" s="870" t="s">
        <v>1448</v>
      </c>
      <c r="I155" s="871"/>
      <c r="J155" s="871"/>
      <c r="K155" s="871"/>
      <c r="L155" s="872"/>
      <c r="M155" s="870" t="s">
        <v>2572</v>
      </c>
      <c r="N155" s="871"/>
      <c r="O155" s="872"/>
      <c r="P155" s="870" t="s">
        <v>2573</v>
      </c>
      <c r="Q155" s="871"/>
      <c r="R155" s="871"/>
      <c r="S155" s="872"/>
      <c r="T155" s="870" t="s">
        <v>2574</v>
      </c>
      <c r="U155" s="871"/>
      <c r="V155" s="871"/>
      <c r="W155" s="871"/>
      <c r="X155" s="872"/>
      <c r="Y155" s="870" t="s">
        <v>2575</v>
      </c>
      <c r="Z155" s="871"/>
      <c r="AA155" s="871"/>
      <c r="AB155" s="872"/>
      <c r="AC155" s="870" t="s">
        <v>2576</v>
      </c>
      <c r="AD155" s="871"/>
      <c r="AE155" s="871"/>
      <c r="AF155" s="872"/>
      <c r="AG155" s="870" t="s">
        <v>2577</v>
      </c>
      <c r="AH155" s="872"/>
    </row>
    <row r="156" spans="1:34" ht="17.100000000000001" customHeight="1">
      <c r="A156" s="891" t="s">
        <v>1086</v>
      </c>
      <c r="B156" s="892"/>
      <c r="C156" s="892"/>
      <c r="D156" s="892"/>
      <c r="E156" s="893"/>
      <c r="F156" s="870" t="s">
        <v>1449</v>
      </c>
      <c r="G156" s="872"/>
      <c r="H156" s="870" t="s">
        <v>1449</v>
      </c>
      <c r="I156" s="871"/>
      <c r="J156" s="871"/>
      <c r="K156" s="871"/>
      <c r="L156" s="872"/>
      <c r="M156" s="870" t="s">
        <v>2572</v>
      </c>
      <c r="N156" s="871"/>
      <c r="O156" s="872"/>
      <c r="P156" s="870" t="s">
        <v>2578</v>
      </c>
      <c r="Q156" s="871"/>
      <c r="R156" s="871"/>
      <c r="S156" s="872"/>
      <c r="T156" s="870" t="s">
        <v>2574</v>
      </c>
      <c r="U156" s="871"/>
      <c r="V156" s="871"/>
      <c r="W156" s="871"/>
      <c r="X156" s="872"/>
      <c r="Y156" s="870" t="s">
        <v>2579</v>
      </c>
      <c r="Z156" s="871"/>
      <c r="AA156" s="871"/>
      <c r="AB156" s="872"/>
      <c r="AC156" s="870" t="s">
        <v>2576</v>
      </c>
      <c r="AD156" s="871"/>
      <c r="AE156" s="871"/>
      <c r="AF156" s="872"/>
      <c r="AG156" s="870" t="s">
        <v>2580</v>
      </c>
      <c r="AH156" s="872"/>
    </row>
    <row r="157" spans="1:34" ht="17.850000000000001" customHeight="1">
      <c r="A157" s="891" t="s">
        <v>1087</v>
      </c>
      <c r="B157" s="892"/>
      <c r="C157" s="892"/>
      <c r="D157" s="892"/>
      <c r="E157" s="893"/>
      <c r="F157" s="870" t="s">
        <v>1450</v>
      </c>
      <c r="G157" s="872"/>
      <c r="H157" s="870" t="s">
        <v>1450</v>
      </c>
      <c r="I157" s="871"/>
      <c r="J157" s="871"/>
      <c r="K157" s="871"/>
      <c r="L157" s="872"/>
      <c r="M157" s="870" t="s">
        <v>656</v>
      </c>
      <c r="N157" s="871"/>
      <c r="O157" s="872"/>
      <c r="P157" s="870" t="s">
        <v>656</v>
      </c>
      <c r="Q157" s="871"/>
      <c r="R157" s="871"/>
      <c r="S157" s="872"/>
      <c r="T157" s="870" t="s">
        <v>656</v>
      </c>
      <c r="U157" s="871"/>
      <c r="V157" s="871"/>
      <c r="W157" s="871"/>
      <c r="X157" s="872"/>
      <c r="Y157" s="870" t="s">
        <v>656</v>
      </c>
      <c r="Z157" s="871"/>
      <c r="AA157" s="871"/>
      <c r="AB157" s="872"/>
      <c r="AC157" s="870" t="s">
        <v>656</v>
      </c>
      <c r="AD157" s="871"/>
      <c r="AE157" s="871"/>
      <c r="AF157" s="872"/>
      <c r="AG157" s="870" t="s">
        <v>656</v>
      </c>
      <c r="AH157" s="872"/>
    </row>
    <row r="158" spans="1:34" ht="17.100000000000001" customHeight="1">
      <c r="A158" s="891" t="s">
        <v>1170</v>
      </c>
      <c r="B158" s="892"/>
      <c r="C158" s="892"/>
      <c r="D158" s="892"/>
      <c r="E158" s="893"/>
      <c r="F158" s="870" t="s">
        <v>1451</v>
      </c>
      <c r="G158" s="872"/>
      <c r="H158" s="870" t="s">
        <v>2581</v>
      </c>
      <c r="I158" s="871"/>
      <c r="J158" s="871"/>
      <c r="K158" s="871"/>
      <c r="L158" s="872"/>
      <c r="M158" s="870" t="s">
        <v>1452</v>
      </c>
      <c r="N158" s="871"/>
      <c r="O158" s="872"/>
      <c r="P158" s="870" t="s">
        <v>2582</v>
      </c>
      <c r="Q158" s="871"/>
      <c r="R158" s="871"/>
      <c r="S158" s="872"/>
      <c r="T158" s="870" t="s">
        <v>656</v>
      </c>
      <c r="U158" s="871"/>
      <c r="V158" s="871"/>
      <c r="W158" s="871"/>
      <c r="X158" s="872"/>
      <c r="Y158" s="870" t="s">
        <v>656</v>
      </c>
      <c r="Z158" s="871"/>
      <c r="AA158" s="871"/>
      <c r="AB158" s="872"/>
      <c r="AC158" s="870" t="s">
        <v>656</v>
      </c>
      <c r="AD158" s="871"/>
      <c r="AE158" s="871"/>
      <c r="AF158" s="872"/>
      <c r="AG158" s="870" t="s">
        <v>656</v>
      </c>
      <c r="AH158" s="872"/>
    </row>
    <row r="159" spans="1:34" ht="17.850000000000001" customHeight="1">
      <c r="A159" s="891" t="s">
        <v>1086</v>
      </c>
      <c r="B159" s="892"/>
      <c r="C159" s="892"/>
      <c r="D159" s="892"/>
      <c r="E159" s="893"/>
      <c r="F159" s="870" t="s">
        <v>1453</v>
      </c>
      <c r="G159" s="872"/>
      <c r="H159" s="870" t="s">
        <v>2583</v>
      </c>
      <c r="I159" s="871"/>
      <c r="J159" s="871"/>
      <c r="K159" s="871"/>
      <c r="L159" s="872"/>
      <c r="M159" s="870" t="s">
        <v>1452</v>
      </c>
      <c r="N159" s="871"/>
      <c r="O159" s="872"/>
      <c r="P159" s="870" t="s">
        <v>2584</v>
      </c>
      <c r="Q159" s="871"/>
      <c r="R159" s="871"/>
      <c r="S159" s="872"/>
      <c r="T159" s="870" t="s">
        <v>656</v>
      </c>
      <c r="U159" s="871"/>
      <c r="V159" s="871"/>
      <c r="W159" s="871"/>
      <c r="X159" s="872"/>
      <c r="Y159" s="870" t="s">
        <v>656</v>
      </c>
      <c r="Z159" s="871"/>
      <c r="AA159" s="871"/>
      <c r="AB159" s="872"/>
      <c r="AC159" s="870" t="s">
        <v>656</v>
      </c>
      <c r="AD159" s="871"/>
      <c r="AE159" s="871"/>
      <c r="AF159" s="872"/>
      <c r="AG159" s="870" t="s">
        <v>656</v>
      </c>
      <c r="AH159" s="872"/>
    </row>
    <row r="160" spans="1:34" ht="17.850000000000001" customHeight="1">
      <c r="A160" s="891" t="s">
        <v>1087</v>
      </c>
      <c r="B160" s="892"/>
      <c r="C160" s="892"/>
      <c r="D160" s="892"/>
      <c r="E160" s="893"/>
      <c r="F160" s="870" t="s">
        <v>1454</v>
      </c>
      <c r="G160" s="872"/>
      <c r="H160" s="870" t="s">
        <v>1454</v>
      </c>
      <c r="I160" s="871"/>
      <c r="J160" s="871"/>
      <c r="K160" s="871"/>
      <c r="L160" s="872"/>
      <c r="M160" s="870" t="s">
        <v>656</v>
      </c>
      <c r="N160" s="871"/>
      <c r="O160" s="872"/>
      <c r="P160" s="870" t="s">
        <v>656</v>
      </c>
      <c r="Q160" s="871"/>
      <c r="R160" s="871"/>
      <c r="S160" s="872"/>
      <c r="T160" s="870" t="s">
        <v>656</v>
      </c>
      <c r="U160" s="871"/>
      <c r="V160" s="871"/>
      <c r="W160" s="871"/>
      <c r="X160" s="872"/>
      <c r="Y160" s="870" t="s">
        <v>656</v>
      </c>
      <c r="Z160" s="871"/>
      <c r="AA160" s="871"/>
      <c r="AB160" s="872"/>
      <c r="AC160" s="870" t="s">
        <v>656</v>
      </c>
      <c r="AD160" s="871"/>
      <c r="AE160" s="871"/>
      <c r="AF160" s="872"/>
      <c r="AG160" s="870" t="s">
        <v>656</v>
      </c>
      <c r="AH160" s="872"/>
    </row>
    <row r="161" spans="1:34" ht="17.100000000000001" customHeight="1">
      <c r="A161" s="891" t="s">
        <v>1172</v>
      </c>
      <c r="B161" s="892"/>
      <c r="C161" s="892"/>
      <c r="D161" s="892"/>
      <c r="E161" s="893"/>
      <c r="F161" s="870" t="s">
        <v>1455</v>
      </c>
      <c r="G161" s="872"/>
      <c r="H161" s="870" t="s">
        <v>2585</v>
      </c>
      <c r="I161" s="871"/>
      <c r="J161" s="871"/>
      <c r="K161" s="871"/>
      <c r="L161" s="872"/>
      <c r="M161" s="870" t="s">
        <v>2586</v>
      </c>
      <c r="N161" s="871"/>
      <c r="O161" s="872"/>
      <c r="P161" s="870" t="s">
        <v>2587</v>
      </c>
      <c r="Q161" s="871"/>
      <c r="R161" s="871"/>
      <c r="S161" s="872"/>
      <c r="T161" s="870" t="s">
        <v>2588</v>
      </c>
      <c r="U161" s="871"/>
      <c r="V161" s="871"/>
      <c r="W161" s="871"/>
      <c r="X161" s="872"/>
      <c r="Y161" s="870" t="s">
        <v>2589</v>
      </c>
      <c r="Z161" s="871"/>
      <c r="AA161" s="871"/>
      <c r="AB161" s="872"/>
      <c r="AC161" s="870" t="s">
        <v>2590</v>
      </c>
      <c r="AD161" s="871"/>
      <c r="AE161" s="871"/>
      <c r="AF161" s="872"/>
      <c r="AG161" s="870" t="s">
        <v>2591</v>
      </c>
      <c r="AH161" s="872"/>
    </row>
    <row r="162" spans="1:34" ht="17.850000000000001" customHeight="1">
      <c r="A162" s="891" t="s">
        <v>1086</v>
      </c>
      <c r="B162" s="892"/>
      <c r="C162" s="892"/>
      <c r="D162" s="892"/>
      <c r="E162" s="893"/>
      <c r="F162" s="870" t="s">
        <v>1456</v>
      </c>
      <c r="G162" s="872"/>
      <c r="H162" s="870" t="s">
        <v>2592</v>
      </c>
      <c r="I162" s="871"/>
      <c r="J162" s="871"/>
      <c r="K162" s="871"/>
      <c r="L162" s="872"/>
      <c r="M162" s="870" t="s">
        <v>2586</v>
      </c>
      <c r="N162" s="871"/>
      <c r="O162" s="872"/>
      <c r="P162" s="870" t="s">
        <v>2593</v>
      </c>
      <c r="Q162" s="871"/>
      <c r="R162" s="871"/>
      <c r="S162" s="872"/>
      <c r="T162" s="870" t="s">
        <v>2588</v>
      </c>
      <c r="U162" s="871"/>
      <c r="V162" s="871"/>
      <c r="W162" s="871"/>
      <c r="X162" s="872"/>
      <c r="Y162" s="870" t="s">
        <v>2594</v>
      </c>
      <c r="Z162" s="871"/>
      <c r="AA162" s="871"/>
      <c r="AB162" s="872"/>
      <c r="AC162" s="870" t="s">
        <v>2590</v>
      </c>
      <c r="AD162" s="871"/>
      <c r="AE162" s="871"/>
      <c r="AF162" s="872"/>
      <c r="AG162" s="870" t="s">
        <v>2595</v>
      </c>
      <c r="AH162" s="872"/>
    </row>
    <row r="163" spans="1:34" ht="17.850000000000001" customHeight="1">
      <c r="A163" s="891" t="s">
        <v>1087</v>
      </c>
      <c r="B163" s="892"/>
      <c r="C163" s="892"/>
      <c r="D163" s="892"/>
      <c r="E163" s="893"/>
      <c r="F163" s="870" t="s">
        <v>1457</v>
      </c>
      <c r="G163" s="872"/>
      <c r="H163" s="870" t="s">
        <v>1457</v>
      </c>
      <c r="I163" s="871"/>
      <c r="J163" s="871"/>
      <c r="K163" s="871"/>
      <c r="L163" s="872"/>
      <c r="M163" s="870" t="s">
        <v>656</v>
      </c>
      <c r="N163" s="871"/>
      <c r="O163" s="872"/>
      <c r="P163" s="870" t="s">
        <v>656</v>
      </c>
      <c r="Q163" s="871"/>
      <c r="R163" s="871"/>
      <c r="S163" s="872"/>
      <c r="T163" s="870" t="s">
        <v>656</v>
      </c>
      <c r="U163" s="871"/>
      <c r="V163" s="871"/>
      <c r="W163" s="871"/>
      <c r="X163" s="872"/>
      <c r="Y163" s="870" t="s">
        <v>656</v>
      </c>
      <c r="Z163" s="871"/>
      <c r="AA163" s="871"/>
      <c r="AB163" s="872"/>
      <c r="AC163" s="870" t="s">
        <v>656</v>
      </c>
      <c r="AD163" s="871"/>
      <c r="AE163" s="871"/>
      <c r="AF163" s="872"/>
      <c r="AG163" s="870" t="s">
        <v>656</v>
      </c>
      <c r="AH163" s="872"/>
    </row>
    <row r="164" spans="1:34" ht="17.100000000000001" customHeight="1">
      <c r="A164" s="891" t="s">
        <v>1174</v>
      </c>
      <c r="B164" s="892"/>
      <c r="C164" s="892"/>
      <c r="D164" s="892"/>
      <c r="E164" s="893"/>
      <c r="F164" s="870" t="s">
        <v>656</v>
      </c>
      <c r="G164" s="872"/>
      <c r="H164" s="870" t="s">
        <v>656</v>
      </c>
      <c r="I164" s="871"/>
      <c r="J164" s="871"/>
      <c r="K164" s="871"/>
      <c r="L164" s="872"/>
      <c r="M164" s="870" t="s">
        <v>656</v>
      </c>
      <c r="N164" s="871"/>
      <c r="O164" s="872"/>
      <c r="P164" s="870" t="s">
        <v>656</v>
      </c>
      <c r="Q164" s="871"/>
      <c r="R164" s="871"/>
      <c r="S164" s="872"/>
      <c r="T164" s="870" t="s">
        <v>656</v>
      </c>
      <c r="U164" s="871"/>
      <c r="V164" s="871"/>
      <c r="W164" s="871"/>
      <c r="X164" s="872"/>
      <c r="Y164" s="870" t="s">
        <v>656</v>
      </c>
      <c r="Z164" s="871"/>
      <c r="AA164" s="871"/>
      <c r="AB164" s="872"/>
      <c r="AC164" s="870" t="s">
        <v>656</v>
      </c>
      <c r="AD164" s="871"/>
      <c r="AE164" s="871"/>
      <c r="AF164" s="872"/>
      <c r="AG164" s="870" t="s">
        <v>656</v>
      </c>
      <c r="AH164" s="872"/>
    </row>
    <row r="165" spans="1:34" ht="17.850000000000001" customHeight="1">
      <c r="A165" s="891" t="s">
        <v>1086</v>
      </c>
      <c r="B165" s="892"/>
      <c r="C165" s="892"/>
      <c r="D165" s="892"/>
      <c r="E165" s="893"/>
      <c r="F165" s="870" t="s">
        <v>656</v>
      </c>
      <c r="G165" s="872"/>
      <c r="H165" s="870" t="s">
        <v>656</v>
      </c>
      <c r="I165" s="871"/>
      <c r="J165" s="871"/>
      <c r="K165" s="871"/>
      <c r="L165" s="872"/>
      <c r="M165" s="870" t="s">
        <v>656</v>
      </c>
      <c r="N165" s="871"/>
      <c r="O165" s="872"/>
      <c r="P165" s="870" t="s">
        <v>656</v>
      </c>
      <c r="Q165" s="871"/>
      <c r="R165" s="871"/>
      <c r="S165" s="872"/>
      <c r="T165" s="870" t="s">
        <v>656</v>
      </c>
      <c r="U165" s="871"/>
      <c r="V165" s="871"/>
      <c r="W165" s="871"/>
      <c r="X165" s="872"/>
      <c r="Y165" s="870" t="s">
        <v>656</v>
      </c>
      <c r="Z165" s="871"/>
      <c r="AA165" s="871"/>
      <c r="AB165" s="872"/>
      <c r="AC165" s="870" t="s">
        <v>656</v>
      </c>
      <c r="AD165" s="871"/>
      <c r="AE165" s="871"/>
      <c r="AF165" s="872"/>
      <c r="AG165" s="870" t="s">
        <v>656</v>
      </c>
      <c r="AH165" s="872"/>
    </row>
    <row r="166" spans="1:34" ht="17.100000000000001" customHeight="1">
      <c r="A166" s="891" t="s">
        <v>1087</v>
      </c>
      <c r="B166" s="892"/>
      <c r="C166" s="892"/>
      <c r="D166" s="892"/>
      <c r="E166" s="893"/>
      <c r="F166" s="870" t="s">
        <v>656</v>
      </c>
      <c r="G166" s="872"/>
      <c r="H166" s="870" t="s">
        <v>656</v>
      </c>
      <c r="I166" s="871"/>
      <c r="J166" s="871"/>
      <c r="K166" s="871"/>
      <c r="L166" s="872"/>
      <c r="M166" s="870" t="s">
        <v>656</v>
      </c>
      <c r="N166" s="871"/>
      <c r="O166" s="872"/>
      <c r="P166" s="870" t="s">
        <v>656</v>
      </c>
      <c r="Q166" s="871"/>
      <c r="R166" s="871"/>
      <c r="S166" s="872"/>
      <c r="T166" s="870" t="s">
        <v>656</v>
      </c>
      <c r="U166" s="871"/>
      <c r="V166" s="871"/>
      <c r="W166" s="871"/>
      <c r="X166" s="872"/>
      <c r="Y166" s="870" t="s">
        <v>656</v>
      </c>
      <c r="Z166" s="871"/>
      <c r="AA166" s="871"/>
      <c r="AB166" s="872"/>
      <c r="AC166" s="870" t="s">
        <v>656</v>
      </c>
      <c r="AD166" s="871"/>
      <c r="AE166" s="871"/>
      <c r="AF166" s="872"/>
      <c r="AG166" s="870" t="s">
        <v>656</v>
      </c>
      <c r="AH166" s="872"/>
    </row>
    <row r="167" spans="1:34" ht="17.850000000000001" customHeight="1">
      <c r="A167" s="891" t="s">
        <v>1175</v>
      </c>
      <c r="B167" s="892"/>
      <c r="C167" s="892"/>
      <c r="D167" s="892"/>
      <c r="E167" s="893"/>
      <c r="F167" s="870" t="s">
        <v>1458</v>
      </c>
      <c r="G167" s="872"/>
      <c r="H167" s="870" t="s">
        <v>1458</v>
      </c>
      <c r="I167" s="871"/>
      <c r="J167" s="871"/>
      <c r="K167" s="871"/>
      <c r="L167" s="872"/>
      <c r="M167" s="870" t="s">
        <v>656</v>
      </c>
      <c r="N167" s="871"/>
      <c r="O167" s="872"/>
      <c r="P167" s="870" t="s">
        <v>656</v>
      </c>
      <c r="Q167" s="871"/>
      <c r="R167" s="871"/>
      <c r="S167" s="872"/>
      <c r="T167" s="870" t="s">
        <v>656</v>
      </c>
      <c r="U167" s="871"/>
      <c r="V167" s="871"/>
      <c r="W167" s="871"/>
      <c r="X167" s="872"/>
      <c r="Y167" s="870" t="s">
        <v>656</v>
      </c>
      <c r="Z167" s="871"/>
      <c r="AA167" s="871"/>
      <c r="AB167" s="872"/>
      <c r="AC167" s="870" t="s">
        <v>656</v>
      </c>
      <c r="AD167" s="871"/>
      <c r="AE167" s="871"/>
      <c r="AF167" s="872"/>
      <c r="AG167" s="870" t="s">
        <v>656</v>
      </c>
      <c r="AH167" s="872"/>
    </row>
    <row r="168" spans="1:34" ht="17.850000000000001" customHeight="1">
      <c r="A168" s="891" t="s">
        <v>1086</v>
      </c>
      <c r="B168" s="892"/>
      <c r="C168" s="892"/>
      <c r="D168" s="892"/>
      <c r="E168" s="893"/>
      <c r="F168" s="870" t="s">
        <v>1459</v>
      </c>
      <c r="G168" s="872"/>
      <c r="H168" s="870" t="s">
        <v>1459</v>
      </c>
      <c r="I168" s="871"/>
      <c r="J168" s="871"/>
      <c r="K168" s="871"/>
      <c r="L168" s="872"/>
      <c r="M168" s="870" t="s">
        <v>656</v>
      </c>
      <c r="N168" s="871"/>
      <c r="O168" s="872"/>
      <c r="P168" s="870" t="s">
        <v>656</v>
      </c>
      <c r="Q168" s="871"/>
      <c r="R168" s="871"/>
      <c r="S168" s="872"/>
      <c r="T168" s="870" t="s">
        <v>656</v>
      </c>
      <c r="U168" s="871"/>
      <c r="V168" s="871"/>
      <c r="W168" s="871"/>
      <c r="X168" s="872"/>
      <c r="Y168" s="870" t="s">
        <v>656</v>
      </c>
      <c r="Z168" s="871"/>
      <c r="AA168" s="871"/>
      <c r="AB168" s="872"/>
      <c r="AC168" s="870" t="s">
        <v>656</v>
      </c>
      <c r="AD168" s="871"/>
      <c r="AE168" s="871"/>
      <c r="AF168" s="872"/>
      <c r="AG168" s="870" t="s">
        <v>656</v>
      </c>
      <c r="AH168" s="872"/>
    </row>
    <row r="169" spans="1:34" ht="11.1" customHeight="1"/>
    <row r="170" spans="1:34" ht="11.85" customHeight="1">
      <c r="A170" s="739" t="s">
        <v>2504</v>
      </c>
      <c r="B170" s="739"/>
      <c r="C170" s="739"/>
      <c r="D170" s="739"/>
      <c r="E170" s="739"/>
      <c r="F170" s="739"/>
      <c r="G170" s="739"/>
      <c r="H170" s="739"/>
      <c r="I170" s="739"/>
      <c r="J170" s="739"/>
      <c r="K170" s="739"/>
      <c r="L170" s="739"/>
      <c r="M170" s="739"/>
      <c r="N170" s="739"/>
      <c r="O170" s="739"/>
      <c r="P170" s="739"/>
      <c r="Q170" s="739"/>
      <c r="R170" s="739"/>
      <c r="S170" s="739"/>
      <c r="T170" s="739"/>
      <c r="U170" s="739"/>
      <c r="V170" s="739"/>
      <c r="W170" s="739"/>
      <c r="X170" s="739"/>
      <c r="Y170" s="739"/>
      <c r="Z170" s="739"/>
      <c r="AA170" s="739"/>
      <c r="AB170" s="739"/>
      <c r="AC170" s="739"/>
      <c r="AD170" s="739"/>
      <c r="AE170" s="739"/>
      <c r="AF170" s="739"/>
      <c r="AG170" s="739"/>
    </row>
    <row r="171" spans="1:34" ht="5.85" customHeight="1"/>
    <row r="172" spans="1:34" ht="11.85" customHeight="1">
      <c r="A172" s="717" t="s">
        <v>661</v>
      </c>
      <c r="B172" s="717"/>
      <c r="C172" s="717"/>
      <c r="D172" s="717"/>
      <c r="E172" s="717"/>
      <c r="F172" s="717"/>
      <c r="G172" s="717"/>
      <c r="AG172" s="562" t="s">
        <v>962</v>
      </c>
    </row>
    <row r="173" spans="1:34" ht="11.1" customHeight="1">
      <c r="A173" s="717" t="s">
        <v>655</v>
      </c>
      <c r="B173" s="717"/>
      <c r="C173" s="717"/>
      <c r="D173" s="717"/>
      <c r="E173" s="717"/>
      <c r="F173" s="717"/>
      <c r="G173" s="717"/>
    </row>
    <row r="174" spans="1:34" ht="11.85" customHeight="1">
      <c r="A174" s="740" t="s">
        <v>1052</v>
      </c>
      <c r="B174" s="740"/>
      <c r="C174" s="740"/>
      <c r="D174" s="740"/>
      <c r="E174" s="740"/>
      <c r="F174" s="740"/>
      <c r="G174" s="740"/>
    </row>
    <row r="175" spans="1:34" ht="11.85" customHeight="1">
      <c r="A175" s="717" t="s">
        <v>660</v>
      </c>
      <c r="B175" s="717"/>
      <c r="C175" s="717"/>
      <c r="D175" s="717"/>
      <c r="E175" s="717"/>
      <c r="F175" s="717"/>
      <c r="G175" s="717"/>
    </row>
    <row r="176" spans="1:34" ht="11.85" customHeight="1">
      <c r="A176" s="717" t="s">
        <v>2445</v>
      </c>
      <c r="B176" s="717"/>
      <c r="C176" s="717"/>
      <c r="D176" s="717"/>
      <c r="E176" s="717"/>
      <c r="F176" s="717"/>
      <c r="G176" s="717"/>
    </row>
    <row r="177" spans="1:34" ht="5.85" customHeight="1"/>
    <row r="178" spans="1:34" ht="11.1" customHeight="1">
      <c r="A178" s="741" t="s">
        <v>1053</v>
      </c>
      <c r="B178" s="741"/>
      <c r="C178" s="741"/>
      <c r="D178" s="741"/>
      <c r="E178" s="741"/>
      <c r="F178" s="741"/>
      <c r="G178" s="741"/>
      <c r="H178" s="466"/>
      <c r="I178" s="466"/>
      <c r="J178" s="466"/>
      <c r="K178" s="466"/>
      <c r="L178" s="466"/>
      <c r="M178" s="466"/>
      <c r="N178" s="466"/>
      <c r="O178" s="466"/>
      <c r="P178" s="466"/>
      <c r="Q178" s="466"/>
      <c r="R178" s="466"/>
      <c r="S178" s="466"/>
      <c r="T178" s="466"/>
      <c r="U178" s="466"/>
      <c r="V178" s="466"/>
      <c r="W178" s="466"/>
      <c r="X178" s="466"/>
      <c r="Y178" s="466"/>
      <c r="Z178" s="466"/>
      <c r="AA178" s="466"/>
      <c r="AB178" s="466"/>
      <c r="AC178" s="466"/>
      <c r="AD178" s="466"/>
      <c r="AE178" s="466"/>
      <c r="AF178" s="466"/>
      <c r="AG178" s="466"/>
      <c r="AH178" s="466"/>
    </row>
    <row r="179" spans="1:34" ht="17.850000000000001" customHeight="1">
      <c r="A179" s="734" t="s">
        <v>1163</v>
      </c>
      <c r="B179" s="735"/>
      <c r="C179" s="735"/>
      <c r="D179" s="735"/>
      <c r="E179" s="735"/>
      <c r="F179" s="735"/>
      <c r="G179" s="735"/>
      <c r="H179" s="735"/>
      <c r="I179" s="735"/>
      <c r="J179" s="735"/>
      <c r="K179" s="735"/>
      <c r="L179" s="735"/>
      <c r="M179" s="735"/>
      <c r="N179" s="735"/>
      <c r="O179" s="735"/>
      <c r="P179" s="735"/>
      <c r="Q179" s="735"/>
      <c r="R179" s="735"/>
      <c r="S179" s="735"/>
      <c r="T179" s="735"/>
      <c r="U179" s="735"/>
      <c r="V179" s="735"/>
      <c r="W179" s="735"/>
      <c r="X179" s="735"/>
      <c r="Y179" s="735"/>
      <c r="Z179" s="735"/>
      <c r="AA179" s="735"/>
      <c r="AB179" s="735"/>
      <c r="AC179" s="735"/>
      <c r="AD179" s="735"/>
      <c r="AE179" s="735"/>
      <c r="AF179" s="735"/>
      <c r="AG179" s="735"/>
      <c r="AH179" s="736"/>
    </row>
    <row r="180" spans="1:34" ht="11.85" customHeight="1">
      <c r="A180" s="908" t="s">
        <v>1164</v>
      </c>
      <c r="B180" s="909"/>
      <c r="C180" s="909"/>
      <c r="D180" s="909"/>
      <c r="E180" s="910"/>
      <c r="F180" s="712" t="s">
        <v>1076</v>
      </c>
      <c r="G180" s="714"/>
      <c r="H180" s="712" t="s">
        <v>910</v>
      </c>
      <c r="I180" s="743"/>
      <c r="J180" s="743"/>
      <c r="K180" s="743"/>
      <c r="L180" s="714"/>
      <c r="M180" s="734" t="s">
        <v>864</v>
      </c>
      <c r="N180" s="735"/>
      <c r="O180" s="735"/>
      <c r="P180" s="735"/>
      <c r="Q180" s="735"/>
      <c r="R180" s="735"/>
      <c r="S180" s="736"/>
      <c r="T180" s="734" t="s">
        <v>866</v>
      </c>
      <c r="U180" s="735"/>
      <c r="V180" s="735"/>
      <c r="W180" s="735"/>
      <c r="X180" s="735"/>
      <c r="Y180" s="735"/>
      <c r="Z180" s="735"/>
      <c r="AA180" s="735"/>
      <c r="AB180" s="736"/>
      <c r="AC180" s="734" t="s">
        <v>1077</v>
      </c>
      <c r="AD180" s="735"/>
      <c r="AE180" s="735"/>
      <c r="AF180" s="735"/>
      <c r="AG180" s="735"/>
      <c r="AH180" s="736"/>
    </row>
    <row r="181" spans="1:34" ht="17.100000000000001" customHeight="1">
      <c r="A181" s="911"/>
      <c r="B181" s="912"/>
      <c r="C181" s="912"/>
      <c r="D181" s="912"/>
      <c r="E181" s="913"/>
      <c r="F181" s="715"/>
      <c r="G181" s="716"/>
      <c r="H181" s="715"/>
      <c r="I181" s="744"/>
      <c r="J181" s="744"/>
      <c r="K181" s="744"/>
      <c r="L181" s="716"/>
      <c r="M181" s="712" t="s">
        <v>1078</v>
      </c>
      <c r="N181" s="737"/>
      <c r="O181" s="738"/>
      <c r="P181" s="712" t="s">
        <v>1079</v>
      </c>
      <c r="Q181" s="737"/>
      <c r="R181" s="737"/>
      <c r="S181" s="738"/>
      <c r="T181" s="712" t="s">
        <v>1080</v>
      </c>
      <c r="U181" s="737"/>
      <c r="V181" s="737"/>
      <c r="W181" s="737"/>
      <c r="X181" s="738"/>
      <c r="Y181" s="712" t="s">
        <v>1081</v>
      </c>
      <c r="Z181" s="737"/>
      <c r="AA181" s="737"/>
      <c r="AB181" s="738"/>
      <c r="AC181" s="712" t="s">
        <v>1082</v>
      </c>
      <c r="AD181" s="737"/>
      <c r="AE181" s="737"/>
      <c r="AF181" s="738"/>
      <c r="AG181" s="712" t="s">
        <v>1083</v>
      </c>
      <c r="AH181" s="738"/>
    </row>
    <row r="182" spans="1:34" ht="17.850000000000001" customHeight="1">
      <c r="A182" s="956" t="s">
        <v>1087</v>
      </c>
      <c r="B182" s="957"/>
      <c r="C182" s="957"/>
      <c r="D182" s="957"/>
      <c r="E182" s="958"/>
      <c r="F182" s="864" t="s">
        <v>1460</v>
      </c>
      <c r="G182" s="866"/>
      <c r="H182" s="864" t="s">
        <v>1460</v>
      </c>
      <c r="I182" s="865"/>
      <c r="J182" s="865"/>
      <c r="K182" s="865"/>
      <c r="L182" s="866"/>
      <c r="M182" s="864" t="s">
        <v>656</v>
      </c>
      <c r="N182" s="865"/>
      <c r="O182" s="866"/>
      <c r="P182" s="864" t="s">
        <v>656</v>
      </c>
      <c r="Q182" s="865"/>
      <c r="R182" s="865"/>
      <c r="S182" s="866"/>
      <c r="T182" s="864" t="s">
        <v>656</v>
      </c>
      <c r="U182" s="865"/>
      <c r="V182" s="865"/>
      <c r="W182" s="865"/>
      <c r="X182" s="866"/>
      <c r="Y182" s="864" t="s">
        <v>656</v>
      </c>
      <c r="Z182" s="865"/>
      <c r="AA182" s="865"/>
      <c r="AB182" s="866"/>
      <c r="AC182" s="864" t="s">
        <v>656</v>
      </c>
      <c r="AD182" s="865"/>
      <c r="AE182" s="865"/>
      <c r="AF182" s="866"/>
      <c r="AG182" s="864" t="s">
        <v>656</v>
      </c>
      <c r="AH182" s="866"/>
    </row>
    <row r="183" spans="1:34" ht="17.850000000000001" customHeight="1">
      <c r="A183" s="926" t="s">
        <v>1176</v>
      </c>
      <c r="B183" s="927"/>
      <c r="C183" s="927"/>
      <c r="D183" s="927"/>
      <c r="E183" s="928"/>
      <c r="F183" s="929" t="s">
        <v>1461</v>
      </c>
      <c r="G183" s="931"/>
      <c r="H183" s="929" t="s">
        <v>2596</v>
      </c>
      <c r="I183" s="930"/>
      <c r="J183" s="930"/>
      <c r="K183" s="930"/>
      <c r="L183" s="931"/>
      <c r="M183" s="929" t="s">
        <v>2597</v>
      </c>
      <c r="N183" s="930"/>
      <c r="O183" s="931"/>
      <c r="P183" s="929" t="s">
        <v>2598</v>
      </c>
      <c r="Q183" s="930"/>
      <c r="R183" s="930"/>
      <c r="S183" s="931"/>
      <c r="T183" s="929" t="s">
        <v>2599</v>
      </c>
      <c r="U183" s="930"/>
      <c r="V183" s="930"/>
      <c r="W183" s="930"/>
      <c r="X183" s="931"/>
      <c r="Y183" s="929" t="s">
        <v>2227</v>
      </c>
      <c r="Z183" s="930"/>
      <c r="AA183" s="930"/>
      <c r="AB183" s="931"/>
      <c r="AC183" s="929" t="s">
        <v>2600</v>
      </c>
      <c r="AD183" s="930"/>
      <c r="AE183" s="930"/>
      <c r="AF183" s="931"/>
      <c r="AG183" s="929" t="s">
        <v>2601</v>
      </c>
      <c r="AH183" s="931"/>
    </row>
    <row r="184" spans="1:34" ht="11.1" customHeight="1">
      <c r="A184" s="773"/>
      <c r="B184" s="773"/>
      <c r="C184" s="773"/>
      <c r="D184" s="773"/>
      <c r="E184" s="773"/>
      <c r="F184" s="773"/>
      <c r="G184" s="773"/>
      <c r="H184" s="773"/>
      <c r="I184" s="773"/>
      <c r="J184" s="773"/>
      <c r="K184" s="773"/>
      <c r="L184" s="773"/>
      <c r="M184" s="773"/>
      <c r="N184" s="773"/>
      <c r="O184" s="773"/>
      <c r="P184" s="773"/>
      <c r="Q184" s="773"/>
      <c r="R184" s="773"/>
      <c r="S184" s="773"/>
      <c r="T184" s="773"/>
      <c r="U184" s="773"/>
      <c r="V184" s="773"/>
      <c r="W184" s="773"/>
      <c r="X184" s="773"/>
      <c r="Y184" s="773"/>
      <c r="Z184" s="773"/>
      <c r="AA184" s="773"/>
      <c r="AB184" s="773"/>
      <c r="AC184" s="773"/>
      <c r="AD184" s="773"/>
      <c r="AE184" s="773"/>
      <c r="AF184" s="773"/>
      <c r="AG184" s="773"/>
      <c r="AH184" s="773"/>
    </row>
    <row r="185" spans="1:34" ht="11.85" customHeight="1">
      <c r="A185" s="908" t="s">
        <v>1177</v>
      </c>
      <c r="B185" s="909"/>
      <c r="C185" s="909"/>
      <c r="D185" s="909"/>
      <c r="E185" s="910"/>
      <c r="F185" s="712" t="s">
        <v>1076</v>
      </c>
      <c r="G185" s="714"/>
      <c r="H185" s="712" t="s">
        <v>910</v>
      </c>
      <c r="I185" s="743"/>
      <c r="J185" s="743"/>
      <c r="K185" s="743"/>
      <c r="L185" s="714"/>
      <c r="M185" s="734" t="s">
        <v>864</v>
      </c>
      <c r="N185" s="735"/>
      <c r="O185" s="735"/>
      <c r="P185" s="735"/>
      <c r="Q185" s="735"/>
      <c r="R185" s="735"/>
      <c r="S185" s="736"/>
      <c r="T185" s="734" t="s">
        <v>866</v>
      </c>
      <c r="U185" s="735"/>
      <c r="V185" s="735"/>
      <c r="W185" s="735"/>
      <c r="X185" s="735"/>
      <c r="Y185" s="735"/>
      <c r="Z185" s="735"/>
      <c r="AA185" s="735"/>
      <c r="AB185" s="736"/>
      <c r="AC185" s="734" t="s">
        <v>1077</v>
      </c>
      <c r="AD185" s="735"/>
      <c r="AE185" s="735"/>
      <c r="AF185" s="735"/>
      <c r="AG185" s="735"/>
      <c r="AH185" s="736"/>
    </row>
    <row r="186" spans="1:34" ht="17.850000000000001" customHeight="1">
      <c r="A186" s="911"/>
      <c r="B186" s="912"/>
      <c r="C186" s="912"/>
      <c r="D186" s="912"/>
      <c r="E186" s="913"/>
      <c r="F186" s="715"/>
      <c r="G186" s="716"/>
      <c r="H186" s="715"/>
      <c r="I186" s="744"/>
      <c r="J186" s="744"/>
      <c r="K186" s="744"/>
      <c r="L186" s="716"/>
      <c r="M186" s="712" t="s">
        <v>1078</v>
      </c>
      <c r="N186" s="737"/>
      <c r="O186" s="738"/>
      <c r="P186" s="712" t="s">
        <v>1079</v>
      </c>
      <c r="Q186" s="737"/>
      <c r="R186" s="737"/>
      <c r="S186" s="738"/>
      <c r="T186" s="712" t="s">
        <v>1080</v>
      </c>
      <c r="U186" s="737"/>
      <c r="V186" s="737"/>
      <c r="W186" s="737"/>
      <c r="X186" s="738"/>
      <c r="Y186" s="712" t="s">
        <v>1081</v>
      </c>
      <c r="Z186" s="737"/>
      <c r="AA186" s="737"/>
      <c r="AB186" s="738"/>
      <c r="AC186" s="712" t="s">
        <v>1082</v>
      </c>
      <c r="AD186" s="737"/>
      <c r="AE186" s="737"/>
      <c r="AF186" s="738"/>
      <c r="AG186" s="712" t="s">
        <v>1083</v>
      </c>
      <c r="AH186" s="738"/>
    </row>
    <row r="187" spans="1:34" ht="17.100000000000001" customHeight="1">
      <c r="A187" s="953" t="s">
        <v>1178</v>
      </c>
      <c r="B187" s="954"/>
      <c r="C187" s="954"/>
      <c r="D187" s="954"/>
      <c r="E187" s="955"/>
      <c r="F187" s="898" t="s">
        <v>1462</v>
      </c>
      <c r="G187" s="900"/>
      <c r="H187" s="898" t="s">
        <v>2602</v>
      </c>
      <c r="I187" s="899"/>
      <c r="J187" s="899"/>
      <c r="K187" s="899"/>
      <c r="L187" s="900"/>
      <c r="M187" s="867" t="s">
        <v>2603</v>
      </c>
      <c r="N187" s="868"/>
      <c r="O187" s="869"/>
      <c r="P187" s="867" t="s">
        <v>2604</v>
      </c>
      <c r="Q187" s="868"/>
      <c r="R187" s="868"/>
      <c r="S187" s="869"/>
      <c r="T187" s="867" t="s">
        <v>2605</v>
      </c>
      <c r="U187" s="868"/>
      <c r="V187" s="868"/>
      <c r="W187" s="868"/>
      <c r="X187" s="869"/>
      <c r="Y187" s="867" t="s">
        <v>2606</v>
      </c>
      <c r="Z187" s="868"/>
      <c r="AA187" s="868"/>
      <c r="AB187" s="869"/>
      <c r="AC187" s="867" t="s">
        <v>2607</v>
      </c>
      <c r="AD187" s="868"/>
      <c r="AE187" s="868"/>
      <c r="AF187" s="869"/>
      <c r="AG187" s="867" t="s">
        <v>2608</v>
      </c>
      <c r="AH187" s="869"/>
    </row>
    <row r="188" spans="1:34" ht="17.850000000000001" customHeight="1">
      <c r="A188" s="891" t="s">
        <v>1179</v>
      </c>
      <c r="B188" s="892"/>
      <c r="C188" s="892"/>
      <c r="D188" s="892"/>
      <c r="E188" s="893"/>
      <c r="F188" s="883" t="s">
        <v>1463</v>
      </c>
      <c r="G188" s="885"/>
      <c r="H188" s="883" t="s">
        <v>2609</v>
      </c>
      <c r="I188" s="884"/>
      <c r="J188" s="884"/>
      <c r="K188" s="884"/>
      <c r="L188" s="885"/>
      <c r="M188" s="870" t="s">
        <v>2610</v>
      </c>
      <c r="N188" s="871"/>
      <c r="O188" s="872"/>
      <c r="P188" s="870" t="s">
        <v>2611</v>
      </c>
      <c r="Q188" s="871"/>
      <c r="R188" s="871"/>
      <c r="S188" s="872"/>
      <c r="T188" s="870" t="s">
        <v>2612</v>
      </c>
      <c r="U188" s="871"/>
      <c r="V188" s="871"/>
      <c r="W188" s="871"/>
      <c r="X188" s="872"/>
      <c r="Y188" s="870" t="s">
        <v>2613</v>
      </c>
      <c r="Z188" s="871"/>
      <c r="AA188" s="871"/>
      <c r="AB188" s="872"/>
      <c r="AC188" s="870" t="s">
        <v>2614</v>
      </c>
      <c r="AD188" s="871"/>
      <c r="AE188" s="871"/>
      <c r="AF188" s="872"/>
      <c r="AG188" s="870" t="s">
        <v>2615</v>
      </c>
      <c r="AH188" s="872"/>
    </row>
    <row r="189" spans="1:34" ht="17.850000000000001" customHeight="1">
      <c r="A189" s="891" t="s">
        <v>1180</v>
      </c>
      <c r="B189" s="892"/>
      <c r="C189" s="892"/>
      <c r="D189" s="892"/>
      <c r="E189" s="893"/>
      <c r="F189" s="883" t="s">
        <v>1464</v>
      </c>
      <c r="G189" s="885"/>
      <c r="H189" s="883" t="s">
        <v>1464</v>
      </c>
      <c r="I189" s="884"/>
      <c r="J189" s="884"/>
      <c r="K189" s="884"/>
      <c r="L189" s="885"/>
      <c r="M189" s="870" t="s">
        <v>2616</v>
      </c>
      <c r="N189" s="871"/>
      <c r="O189" s="872"/>
      <c r="P189" s="870" t="s">
        <v>2617</v>
      </c>
      <c r="Q189" s="871"/>
      <c r="R189" s="871"/>
      <c r="S189" s="872"/>
      <c r="T189" s="870" t="s">
        <v>2618</v>
      </c>
      <c r="U189" s="871"/>
      <c r="V189" s="871"/>
      <c r="W189" s="871"/>
      <c r="X189" s="872"/>
      <c r="Y189" s="870" t="s">
        <v>2619</v>
      </c>
      <c r="Z189" s="871"/>
      <c r="AA189" s="871"/>
      <c r="AB189" s="872"/>
      <c r="AC189" s="870" t="s">
        <v>2620</v>
      </c>
      <c r="AD189" s="871"/>
      <c r="AE189" s="871"/>
      <c r="AF189" s="872"/>
      <c r="AG189" s="870" t="s">
        <v>2621</v>
      </c>
      <c r="AH189" s="872"/>
    </row>
    <row r="190" spans="1:34" ht="17.100000000000001" customHeight="1">
      <c r="A190" s="891" t="s">
        <v>1181</v>
      </c>
      <c r="B190" s="892"/>
      <c r="C190" s="892"/>
      <c r="D190" s="892"/>
      <c r="E190" s="893"/>
      <c r="F190" s="883" t="s">
        <v>1465</v>
      </c>
      <c r="G190" s="885"/>
      <c r="H190" s="883" t="s">
        <v>2622</v>
      </c>
      <c r="I190" s="884"/>
      <c r="J190" s="884"/>
      <c r="K190" s="884"/>
      <c r="L190" s="885"/>
      <c r="M190" s="870" t="s">
        <v>2623</v>
      </c>
      <c r="N190" s="871"/>
      <c r="O190" s="872"/>
      <c r="P190" s="870" t="s">
        <v>2624</v>
      </c>
      <c r="Q190" s="871"/>
      <c r="R190" s="871"/>
      <c r="S190" s="872"/>
      <c r="T190" s="870" t="s">
        <v>2500</v>
      </c>
      <c r="U190" s="871"/>
      <c r="V190" s="871"/>
      <c r="W190" s="871"/>
      <c r="X190" s="872"/>
      <c r="Y190" s="870" t="s">
        <v>2309</v>
      </c>
      <c r="Z190" s="871"/>
      <c r="AA190" s="871"/>
      <c r="AB190" s="872"/>
      <c r="AC190" s="870" t="s">
        <v>2502</v>
      </c>
      <c r="AD190" s="871"/>
      <c r="AE190" s="871"/>
      <c r="AF190" s="872"/>
      <c r="AG190" s="870" t="s">
        <v>2625</v>
      </c>
      <c r="AH190" s="872"/>
    </row>
    <row r="191" spans="1:34" ht="17.850000000000001" customHeight="1">
      <c r="A191" s="891" t="s">
        <v>1182</v>
      </c>
      <c r="B191" s="892"/>
      <c r="C191" s="892"/>
      <c r="D191" s="892"/>
      <c r="E191" s="893"/>
      <c r="F191" s="883" t="s">
        <v>1466</v>
      </c>
      <c r="G191" s="885"/>
      <c r="H191" s="883" t="s">
        <v>2626</v>
      </c>
      <c r="I191" s="884"/>
      <c r="J191" s="884"/>
      <c r="K191" s="884"/>
      <c r="L191" s="885"/>
      <c r="M191" s="870" t="s">
        <v>2627</v>
      </c>
      <c r="N191" s="871"/>
      <c r="O191" s="872"/>
      <c r="P191" s="870" t="s">
        <v>2628</v>
      </c>
      <c r="Q191" s="871"/>
      <c r="R191" s="871"/>
      <c r="S191" s="872"/>
      <c r="T191" s="870" t="s">
        <v>2629</v>
      </c>
      <c r="U191" s="871"/>
      <c r="V191" s="871"/>
      <c r="W191" s="871"/>
      <c r="X191" s="872"/>
      <c r="Y191" s="870" t="s">
        <v>2630</v>
      </c>
      <c r="Z191" s="871"/>
      <c r="AA191" s="871"/>
      <c r="AB191" s="872"/>
      <c r="AC191" s="870" t="s">
        <v>2631</v>
      </c>
      <c r="AD191" s="871"/>
      <c r="AE191" s="871"/>
      <c r="AF191" s="872"/>
      <c r="AG191" s="870" t="s">
        <v>2632</v>
      </c>
      <c r="AH191" s="872"/>
    </row>
    <row r="192" spans="1:34" ht="17.100000000000001" customHeight="1">
      <c r="A192" s="891" t="s">
        <v>1183</v>
      </c>
      <c r="B192" s="892"/>
      <c r="C192" s="892"/>
      <c r="D192" s="892"/>
      <c r="E192" s="893"/>
      <c r="F192" s="883" t="s">
        <v>656</v>
      </c>
      <c r="G192" s="885"/>
      <c r="H192" s="883" t="s">
        <v>656</v>
      </c>
      <c r="I192" s="884"/>
      <c r="J192" s="884"/>
      <c r="K192" s="884"/>
      <c r="L192" s="885"/>
      <c r="M192" s="870" t="s">
        <v>656</v>
      </c>
      <c r="N192" s="871"/>
      <c r="O192" s="872"/>
      <c r="P192" s="870" t="s">
        <v>656</v>
      </c>
      <c r="Q192" s="871"/>
      <c r="R192" s="871"/>
      <c r="S192" s="872"/>
      <c r="T192" s="870" t="s">
        <v>656</v>
      </c>
      <c r="U192" s="871"/>
      <c r="V192" s="871"/>
      <c r="W192" s="871"/>
      <c r="X192" s="872"/>
      <c r="Y192" s="870" t="s">
        <v>656</v>
      </c>
      <c r="Z192" s="871"/>
      <c r="AA192" s="871"/>
      <c r="AB192" s="872"/>
      <c r="AC192" s="870" t="s">
        <v>656</v>
      </c>
      <c r="AD192" s="871"/>
      <c r="AE192" s="871"/>
      <c r="AF192" s="872"/>
      <c r="AG192" s="870" t="s">
        <v>656</v>
      </c>
      <c r="AH192" s="872"/>
    </row>
    <row r="193" spans="1:34" ht="17.850000000000001" customHeight="1">
      <c r="A193" s="920" t="s">
        <v>1094</v>
      </c>
      <c r="B193" s="921"/>
      <c r="C193" s="921"/>
      <c r="D193" s="921"/>
      <c r="E193" s="922"/>
      <c r="F193" s="888" t="s">
        <v>1468</v>
      </c>
      <c r="G193" s="889"/>
      <c r="H193" s="888" t="s">
        <v>2633</v>
      </c>
      <c r="I193" s="890"/>
      <c r="J193" s="890"/>
      <c r="K193" s="890"/>
      <c r="L193" s="889"/>
      <c r="M193" s="959" t="s">
        <v>2510</v>
      </c>
      <c r="N193" s="960"/>
      <c r="O193" s="961"/>
      <c r="P193" s="959" t="s">
        <v>2634</v>
      </c>
      <c r="Q193" s="960"/>
      <c r="R193" s="960"/>
      <c r="S193" s="961"/>
      <c r="T193" s="959" t="s">
        <v>2512</v>
      </c>
      <c r="U193" s="960"/>
      <c r="V193" s="960"/>
      <c r="W193" s="960"/>
      <c r="X193" s="961"/>
      <c r="Y193" s="959" t="s">
        <v>2635</v>
      </c>
      <c r="Z193" s="960"/>
      <c r="AA193" s="960"/>
      <c r="AB193" s="961"/>
      <c r="AC193" s="959" t="s">
        <v>2514</v>
      </c>
      <c r="AD193" s="960"/>
      <c r="AE193" s="960"/>
      <c r="AF193" s="961"/>
      <c r="AG193" s="959" t="s">
        <v>2636</v>
      </c>
      <c r="AH193" s="961"/>
    </row>
    <row r="194" spans="1:34" ht="17.850000000000001" customHeight="1">
      <c r="A194" s="926" t="s">
        <v>1184</v>
      </c>
      <c r="B194" s="927"/>
      <c r="C194" s="927"/>
      <c r="D194" s="927"/>
      <c r="E194" s="928"/>
      <c r="F194" s="917" t="s">
        <v>1469</v>
      </c>
      <c r="G194" s="919"/>
      <c r="H194" s="917" t="s">
        <v>2637</v>
      </c>
      <c r="I194" s="918"/>
      <c r="J194" s="918"/>
      <c r="K194" s="918"/>
      <c r="L194" s="919"/>
      <c r="M194" s="929" t="s">
        <v>2638</v>
      </c>
      <c r="N194" s="930"/>
      <c r="O194" s="931"/>
      <c r="P194" s="929" t="s">
        <v>2639</v>
      </c>
      <c r="Q194" s="930"/>
      <c r="R194" s="930"/>
      <c r="S194" s="931"/>
      <c r="T194" s="929" t="s">
        <v>2640</v>
      </c>
      <c r="U194" s="930"/>
      <c r="V194" s="930"/>
      <c r="W194" s="930"/>
      <c r="X194" s="931"/>
      <c r="Y194" s="929" t="s">
        <v>2641</v>
      </c>
      <c r="Z194" s="930"/>
      <c r="AA194" s="930"/>
      <c r="AB194" s="931"/>
      <c r="AC194" s="929" t="s">
        <v>2642</v>
      </c>
      <c r="AD194" s="930"/>
      <c r="AE194" s="930"/>
      <c r="AF194" s="931"/>
      <c r="AG194" s="929" t="s">
        <v>2643</v>
      </c>
      <c r="AH194" s="931"/>
    </row>
    <row r="195" spans="1:34" ht="17.100000000000001" customHeight="1">
      <c r="A195" s="956" t="s">
        <v>1185</v>
      </c>
      <c r="B195" s="957"/>
      <c r="C195" s="957"/>
      <c r="D195" s="957"/>
      <c r="E195" s="958"/>
      <c r="F195" s="933" t="s">
        <v>1470</v>
      </c>
      <c r="G195" s="935"/>
      <c r="H195" s="933" t="s">
        <v>2644</v>
      </c>
      <c r="I195" s="934"/>
      <c r="J195" s="934"/>
      <c r="K195" s="934"/>
      <c r="L195" s="935"/>
      <c r="M195" s="864" t="s">
        <v>2645</v>
      </c>
      <c r="N195" s="865"/>
      <c r="O195" s="866"/>
      <c r="P195" s="864" t="s">
        <v>2646</v>
      </c>
      <c r="Q195" s="865"/>
      <c r="R195" s="865"/>
      <c r="S195" s="866"/>
      <c r="T195" s="864" t="s">
        <v>2647</v>
      </c>
      <c r="U195" s="865"/>
      <c r="V195" s="865"/>
      <c r="W195" s="865"/>
      <c r="X195" s="866"/>
      <c r="Y195" s="864" t="s">
        <v>2648</v>
      </c>
      <c r="Z195" s="865"/>
      <c r="AA195" s="865"/>
      <c r="AB195" s="866"/>
      <c r="AC195" s="864" t="s">
        <v>2600</v>
      </c>
      <c r="AD195" s="865"/>
      <c r="AE195" s="865"/>
      <c r="AF195" s="866"/>
      <c r="AG195" s="864" t="s">
        <v>2649</v>
      </c>
      <c r="AH195" s="866"/>
    </row>
    <row r="196" spans="1:34" ht="17.850000000000001" customHeight="1">
      <c r="A196" s="926" t="s">
        <v>1186</v>
      </c>
      <c r="B196" s="927"/>
      <c r="C196" s="927"/>
      <c r="D196" s="927"/>
      <c r="E196" s="928"/>
      <c r="F196" s="917" t="s">
        <v>1471</v>
      </c>
      <c r="G196" s="919"/>
      <c r="H196" s="917" t="s">
        <v>2650</v>
      </c>
      <c r="I196" s="918"/>
      <c r="J196" s="918"/>
      <c r="K196" s="918"/>
      <c r="L196" s="919"/>
      <c r="M196" s="929" t="s">
        <v>1796</v>
      </c>
      <c r="N196" s="930"/>
      <c r="O196" s="931"/>
      <c r="P196" s="929" t="s">
        <v>2651</v>
      </c>
      <c r="Q196" s="930"/>
      <c r="R196" s="930"/>
      <c r="S196" s="931"/>
      <c r="T196" s="929" t="s">
        <v>2005</v>
      </c>
      <c r="U196" s="930"/>
      <c r="V196" s="930"/>
      <c r="W196" s="930"/>
      <c r="X196" s="931"/>
      <c r="Y196" s="929" t="s">
        <v>2652</v>
      </c>
      <c r="Z196" s="930"/>
      <c r="AA196" s="930"/>
      <c r="AB196" s="931"/>
      <c r="AC196" s="929" t="s">
        <v>2074</v>
      </c>
      <c r="AD196" s="930"/>
      <c r="AE196" s="930"/>
      <c r="AF196" s="931"/>
      <c r="AG196" s="929" t="s">
        <v>2594</v>
      </c>
      <c r="AH196" s="931"/>
    </row>
    <row r="197" spans="1:34" ht="11.85" customHeight="1">
      <c r="A197" s="774"/>
      <c r="B197" s="773"/>
      <c r="C197" s="773"/>
      <c r="D197" s="773"/>
      <c r="E197" s="773"/>
      <c r="F197" s="773"/>
      <c r="G197" s="773"/>
      <c r="H197" s="773"/>
      <c r="I197" s="773"/>
      <c r="J197" s="773"/>
      <c r="K197" s="773"/>
      <c r="L197" s="773"/>
      <c r="M197" s="773"/>
      <c r="N197" s="773"/>
      <c r="O197" s="773"/>
      <c r="P197" s="773"/>
      <c r="Q197" s="773"/>
      <c r="R197" s="773"/>
      <c r="S197" s="773"/>
      <c r="T197" s="773"/>
      <c r="U197" s="773"/>
      <c r="V197" s="773"/>
      <c r="W197" s="773"/>
      <c r="X197" s="773"/>
      <c r="Y197" s="773"/>
      <c r="Z197" s="773"/>
      <c r="AA197" s="773"/>
      <c r="AB197" s="773"/>
      <c r="AC197" s="773"/>
      <c r="AD197" s="773"/>
      <c r="AE197" s="773"/>
      <c r="AF197" s="773"/>
      <c r="AG197" s="773"/>
      <c r="AH197" s="774"/>
    </row>
    <row r="198" spans="1:34" ht="11.1" customHeight="1">
      <c r="A198" s="469"/>
      <c r="B198" s="469"/>
      <c r="C198" s="469"/>
      <c r="D198" s="469"/>
      <c r="E198" s="469"/>
      <c r="F198" s="469"/>
      <c r="G198" s="469"/>
      <c r="H198" s="469"/>
      <c r="I198" s="469"/>
      <c r="J198" s="469"/>
      <c r="K198" s="469"/>
      <c r="L198" s="469"/>
      <c r="M198" s="469"/>
      <c r="N198" s="469"/>
      <c r="O198" s="469"/>
      <c r="P198" s="469"/>
      <c r="Q198" s="469"/>
      <c r="R198" s="469"/>
      <c r="S198" s="469"/>
      <c r="T198" s="469"/>
      <c r="U198" s="469"/>
      <c r="V198" s="469"/>
      <c r="W198" s="469"/>
      <c r="X198" s="469"/>
      <c r="Y198" s="469"/>
      <c r="Z198" s="469"/>
      <c r="AA198" s="469"/>
      <c r="AB198" s="469"/>
      <c r="AC198" s="469"/>
      <c r="AD198" s="469"/>
      <c r="AE198" s="469"/>
      <c r="AF198" s="469"/>
      <c r="AG198" s="469"/>
    </row>
    <row r="199" spans="1:34" ht="11.85" customHeight="1">
      <c r="A199" s="569" t="s">
        <v>1187</v>
      </c>
    </row>
    <row r="200" spans="1:34" ht="11.85" customHeight="1">
      <c r="A200" s="739" t="s">
        <v>1188</v>
      </c>
      <c r="B200" s="739"/>
      <c r="C200" s="739"/>
      <c r="D200" s="739"/>
      <c r="E200" s="739"/>
      <c r="F200" s="739"/>
      <c r="G200" s="739"/>
      <c r="H200" s="739"/>
      <c r="I200" s="739"/>
      <c r="J200" s="739"/>
      <c r="K200" s="739"/>
      <c r="L200" s="739"/>
      <c r="M200" s="739"/>
      <c r="N200" s="739"/>
      <c r="O200" s="739"/>
      <c r="P200" s="739"/>
      <c r="Q200" s="739"/>
      <c r="R200" s="739"/>
      <c r="S200" s="739"/>
      <c r="T200" s="739"/>
      <c r="U200" s="739"/>
      <c r="V200" s="739"/>
    </row>
    <row r="201" spans="1:34" ht="22.9" customHeight="1">
      <c r="A201" s="962" t="s">
        <v>1189</v>
      </c>
      <c r="B201" s="962"/>
      <c r="C201" s="962"/>
      <c r="D201" s="962"/>
      <c r="E201" s="962"/>
      <c r="F201" s="962"/>
      <c r="G201" s="962"/>
      <c r="H201" s="962"/>
      <c r="I201" s="962"/>
      <c r="J201" s="962"/>
      <c r="K201" s="962"/>
      <c r="L201" s="962"/>
      <c r="M201" s="962"/>
      <c r="N201" s="962"/>
      <c r="O201" s="962"/>
      <c r="P201" s="962"/>
      <c r="Q201" s="962"/>
      <c r="R201" s="962"/>
      <c r="S201" s="962"/>
      <c r="T201" s="962"/>
      <c r="U201" s="962"/>
      <c r="V201" s="962"/>
      <c r="W201" s="962"/>
      <c r="X201" s="962"/>
      <c r="Y201" s="962"/>
      <c r="Z201" s="962"/>
    </row>
    <row r="202" spans="1:34" ht="11.85" customHeight="1">
      <c r="A202" s="739" t="s">
        <v>1190</v>
      </c>
      <c r="B202" s="739"/>
      <c r="C202" s="739"/>
      <c r="D202" s="739"/>
      <c r="E202" s="739"/>
      <c r="F202" s="739"/>
      <c r="G202" s="739"/>
      <c r="H202" s="739"/>
      <c r="I202" s="739"/>
      <c r="J202" s="739"/>
      <c r="K202" s="739"/>
      <c r="L202" s="739"/>
      <c r="M202" s="739"/>
      <c r="N202" s="739"/>
      <c r="O202" s="739"/>
      <c r="P202" s="739"/>
      <c r="Q202" s="739"/>
      <c r="R202" s="739"/>
      <c r="S202" s="739"/>
      <c r="T202" s="739"/>
      <c r="U202" s="739"/>
      <c r="V202" s="739"/>
    </row>
    <row r="203" spans="1:34" ht="5.85" customHeight="1"/>
    <row r="204" spans="1:34" ht="11.85" customHeight="1"/>
    <row r="205" spans="1:34" ht="17.100000000000001" customHeight="1"/>
    <row r="206" spans="1:34" ht="11.85" customHeight="1"/>
    <row r="207" spans="1:34" ht="34.700000000000003" customHeight="1"/>
    <row r="208" spans="1:34" ht="11.85" customHeight="1">
      <c r="A208" s="739" t="s">
        <v>2504</v>
      </c>
      <c r="B208" s="739"/>
      <c r="C208" s="739"/>
      <c r="D208" s="739"/>
      <c r="E208" s="739"/>
      <c r="F208" s="739"/>
      <c r="G208" s="739"/>
      <c r="H208" s="739"/>
      <c r="I208" s="739"/>
      <c r="J208" s="739"/>
      <c r="K208" s="739"/>
      <c r="L208" s="739"/>
      <c r="M208" s="739"/>
      <c r="N208" s="739"/>
      <c r="O208" s="739"/>
      <c r="P208" s="739"/>
      <c r="Q208" s="739"/>
      <c r="R208" s="739"/>
      <c r="S208" s="739"/>
      <c r="T208" s="739"/>
      <c r="U208" s="739"/>
      <c r="V208" s="739"/>
      <c r="W208" s="739"/>
      <c r="X208" s="739"/>
      <c r="Y208" s="739"/>
      <c r="Z208" s="739"/>
      <c r="AA208" s="739"/>
      <c r="AB208" s="739"/>
      <c r="AC208" s="739"/>
      <c r="AD208" s="739"/>
      <c r="AE208" s="739"/>
      <c r="AF208" s="739"/>
      <c r="AG208" s="739"/>
    </row>
    <row r="209" ht="5.85" customHeight="1"/>
  </sheetData>
  <mergeCells count="964">
    <mergeCell ref="A197:AH197"/>
    <mergeCell ref="A200:V200"/>
    <mergeCell ref="A201:Z201"/>
    <mergeCell ref="A202:V202"/>
    <mergeCell ref="A208:AG208"/>
    <mergeCell ref="A196:E196"/>
    <mergeCell ref="F196:G196"/>
    <mergeCell ref="H196:L196"/>
    <mergeCell ref="M196:O196"/>
    <mergeCell ref="P196:S196"/>
    <mergeCell ref="T196:X196"/>
    <mergeCell ref="Y196:AB196"/>
    <mergeCell ref="AC196:AF196"/>
    <mergeCell ref="AG196:AH196"/>
    <mergeCell ref="A195:E195"/>
    <mergeCell ref="F195:G195"/>
    <mergeCell ref="H195:L195"/>
    <mergeCell ref="M195:O195"/>
    <mergeCell ref="P195:S195"/>
    <mergeCell ref="T195:X195"/>
    <mergeCell ref="Y195:AB195"/>
    <mergeCell ref="AC195:AF195"/>
    <mergeCell ref="AG195:AH195"/>
    <mergeCell ref="A194:E194"/>
    <mergeCell ref="F194:G194"/>
    <mergeCell ref="H194:L194"/>
    <mergeCell ref="M194:O194"/>
    <mergeCell ref="P194:S194"/>
    <mergeCell ref="T194:X194"/>
    <mergeCell ref="Y194:AB194"/>
    <mergeCell ref="AC194:AF194"/>
    <mergeCell ref="AG194:AH194"/>
    <mergeCell ref="A193:E193"/>
    <mergeCell ref="F193:G193"/>
    <mergeCell ref="H193:L193"/>
    <mergeCell ref="M193:O193"/>
    <mergeCell ref="P193:S193"/>
    <mergeCell ref="T193:X193"/>
    <mergeCell ref="Y193:AB193"/>
    <mergeCell ref="AC193:AF193"/>
    <mergeCell ref="AG193:AH193"/>
    <mergeCell ref="A192:E192"/>
    <mergeCell ref="F192:G192"/>
    <mergeCell ref="H192:L192"/>
    <mergeCell ref="M192:O192"/>
    <mergeCell ref="P192:S192"/>
    <mergeCell ref="T192:X192"/>
    <mergeCell ref="Y192:AB192"/>
    <mergeCell ref="AC192:AF192"/>
    <mergeCell ref="AG192:AH192"/>
    <mergeCell ref="A191:E191"/>
    <mergeCell ref="F191:G191"/>
    <mergeCell ref="H191:L191"/>
    <mergeCell ref="M191:O191"/>
    <mergeCell ref="P191:S191"/>
    <mergeCell ref="T191:X191"/>
    <mergeCell ref="Y191:AB191"/>
    <mergeCell ref="AC191:AF191"/>
    <mergeCell ref="AG191:AH191"/>
    <mergeCell ref="H189:L189"/>
    <mergeCell ref="M189:O189"/>
    <mergeCell ref="P189:S189"/>
    <mergeCell ref="T189:X189"/>
    <mergeCell ref="Y189:AB189"/>
    <mergeCell ref="AC189:AF189"/>
    <mergeCell ref="AG189:AH189"/>
    <mergeCell ref="A190:E190"/>
    <mergeCell ref="F190:G190"/>
    <mergeCell ref="H190:L190"/>
    <mergeCell ref="M190:O190"/>
    <mergeCell ref="P190:S190"/>
    <mergeCell ref="T190:X190"/>
    <mergeCell ref="Y190:AB190"/>
    <mergeCell ref="AC190:AF190"/>
    <mergeCell ref="AG190:AH190"/>
    <mergeCell ref="A189:E189"/>
    <mergeCell ref="F189:G189"/>
    <mergeCell ref="A188:E188"/>
    <mergeCell ref="F188:G188"/>
    <mergeCell ref="H188:L188"/>
    <mergeCell ref="M188:O188"/>
    <mergeCell ref="P188:S188"/>
    <mergeCell ref="T188:X188"/>
    <mergeCell ref="Y188:AB188"/>
    <mergeCell ref="AC188:AF188"/>
    <mergeCell ref="AG188:AH188"/>
    <mergeCell ref="F180:G181"/>
    <mergeCell ref="H180:L181"/>
    <mergeCell ref="M180:S180"/>
    <mergeCell ref="T180:AB180"/>
    <mergeCell ref="AC180:AH180"/>
    <mergeCell ref="A183:E183"/>
    <mergeCell ref="F183:G183"/>
    <mergeCell ref="H183:L183"/>
    <mergeCell ref="M183:O183"/>
    <mergeCell ref="P183:S183"/>
    <mergeCell ref="T183:X183"/>
    <mergeCell ref="Y183:AB183"/>
    <mergeCell ref="AC183:AF183"/>
    <mergeCell ref="AG183:AH183"/>
    <mergeCell ref="A182:E182"/>
    <mergeCell ref="F182:G182"/>
    <mergeCell ref="H182:L182"/>
    <mergeCell ref="M182:O182"/>
    <mergeCell ref="P182:S182"/>
    <mergeCell ref="T182:X182"/>
    <mergeCell ref="Y182:AB182"/>
    <mergeCell ref="A166:E166"/>
    <mergeCell ref="F166:G166"/>
    <mergeCell ref="H166:L166"/>
    <mergeCell ref="M166:O166"/>
    <mergeCell ref="P166:S166"/>
    <mergeCell ref="T166:X166"/>
    <mergeCell ref="Y166:AB166"/>
    <mergeCell ref="AC166:AF166"/>
    <mergeCell ref="AG166:AH166"/>
    <mergeCell ref="A165:E165"/>
    <mergeCell ref="F165:G165"/>
    <mergeCell ref="H165:L165"/>
    <mergeCell ref="M165:O165"/>
    <mergeCell ref="P165:S165"/>
    <mergeCell ref="T165:X165"/>
    <mergeCell ref="Y165:AB165"/>
    <mergeCell ref="AC165:AF165"/>
    <mergeCell ref="AG165:AH165"/>
    <mergeCell ref="A164:E164"/>
    <mergeCell ref="F164:G164"/>
    <mergeCell ref="H164:L164"/>
    <mergeCell ref="M164:O164"/>
    <mergeCell ref="P164:S164"/>
    <mergeCell ref="T164:X164"/>
    <mergeCell ref="Y164:AB164"/>
    <mergeCell ref="AC164:AF164"/>
    <mergeCell ref="AG164:AH164"/>
    <mergeCell ref="A163:E163"/>
    <mergeCell ref="F163:G163"/>
    <mergeCell ref="H163:L163"/>
    <mergeCell ref="M163:O163"/>
    <mergeCell ref="P163:S163"/>
    <mergeCell ref="T163:X163"/>
    <mergeCell ref="Y163:AB163"/>
    <mergeCell ref="AC163:AF163"/>
    <mergeCell ref="AG163:AH163"/>
    <mergeCell ref="A162:E162"/>
    <mergeCell ref="F162:G162"/>
    <mergeCell ref="H162:L162"/>
    <mergeCell ref="M162:O162"/>
    <mergeCell ref="P162:S162"/>
    <mergeCell ref="T162:X162"/>
    <mergeCell ref="Y162:AB162"/>
    <mergeCell ref="AC162:AF162"/>
    <mergeCell ref="AG162:AH162"/>
    <mergeCell ref="A161:E161"/>
    <mergeCell ref="F161:G161"/>
    <mergeCell ref="H161:L161"/>
    <mergeCell ref="M161:O161"/>
    <mergeCell ref="P161:S161"/>
    <mergeCell ref="T161:X161"/>
    <mergeCell ref="Y161:AB161"/>
    <mergeCell ref="AC161:AF161"/>
    <mergeCell ref="AG161:AH161"/>
    <mergeCell ref="A152:E152"/>
    <mergeCell ref="F152:G152"/>
    <mergeCell ref="H152:L152"/>
    <mergeCell ref="A157:E157"/>
    <mergeCell ref="F157:G157"/>
    <mergeCell ref="H157:L157"/>
    <mergeCell ref="M157:O157"/>
    <mergeCell ref="P157:S157"/>
    <mergeCell ref="T157:X157"/>
    <mergeCell ref="H153:L153"/>
    <mergeCell ref="M153:O153"/>
    <mergeCell ref="P153:S153"/>
    <mergeCell ref="T153:X153"/>
    <mergeCell ref="A151:E151"/>
    <mergeCell ref="F151:G151"/>
    <mergeCell ref="H151:L151"/>
    <mergeCell ref="M151:O151"/>
    <mergeCell ref="P151:S151"/>
    <mergeCell ref="T151:X151"/>
    <mergeCell ref="Y151:AB151"/>
    <mergeCell ref="AC151:AF151"/>
    <mergeCell ref="AG151:AH151"/>
    <mergeCell ref="A150:E150"/>
    <mergeCell ref="F150:G150"/>
    <mergeCell ref="H150:L150"/>
    <mergeCell ref="M150:O150"/>
    <mergeCell ref="P150:S150"/>
    <mergeCell ref="T150:X150"/>
    <mergeCell ref="Y150:AB150"/>
    <mergeCell ref="AC150:AF150"/>
    <mergeCell ref="AG150:AH150"/>
    <mergeCell ref="T148:X148"/>
    <mergeCell ref="Y148:AB148"/>
    <mergeCell ref="AC148:AF148"/>
    <mergeCell ref="AG148:AH148"/>
    <mergeCell ref="A149:E149"/>
    <mergeCell ref="F149:G149"/>
    <mergeCell ref="H149:L149"/>
    <mergeCell ref="M149:O149"/>
    <mergeCell ref="P149:S149"/>
    <mergeCell ref="T149:X149"/>
    <mergeCell ref="Y149:AB149"/>
    <mergeCell ref="AC149:AF149"/>
    <mergeCell ref="AG149:AH149"/>
    <mergeCell ref="A133:AG133"/>
    <mergeCell ref="A135:G135"/>
    <mergeCell ref="A136:G136"/>
    <mergeCell ref="A137:G137"/>
    <mergeCell ref="A142:I143"/>
    <mergeCell ref="J142:P143"/>
    <mergeCell ref="Q142:W143"/>
    <mergeCell ref="X142:AH142"/>
    <mergeCell ref="A145:AH145"/>
    <mergeCell ref="A130:I130"/>
    <mergeCell ref="J130:P130"/>
    <mergeCell ref="Q130:W130"/>
    <mergeCell ref="X130:AD130"/>
    <mergeCell ref="AE130:AH130"/>
    <mergeCell ref="A131:I131"/>
    <mergeCell ref="J131:P131"/>
    <mergeCell ref="Q131:W131"/>
    <mergeCell ref="X131:AD131"/>
    <mergeCell ref="AE131:AH131"/>
    <mergeCell ref="A128:I128"/>
    <mergeCell ref="J128:P128"/>
    <mergeCell ref="Q128:W128"/>
    <mergeCell ref="X128:AD128"/>
    <mergeCell ref="AE128:AH128"/>
    <mergeCell ref="A129:I129"/>
    <mergeCell ref="J129:P129"/>
    <mergeCell ref="Q129:W129"/>
    <mergeCell ref="X129:AD129"/>
    <mergeCell ref="AE129:AH129"/>
    <mergeCell ref="A126:I126"/>
    <mergeCell ref="J126:P126"/>
    <mergeCell ref="Q126:W126"/>
    <mergeCell ref="X126:AD126"/>
    <mergeCell ref="AE126:AH126"/>
    <mergeCell ref="A127:I127"/>
    <mergeCell ref="J127:P127"/>
    <mergeCell ref="Q127:W127"/>
    <mergeCell ref="X127:AD127"/>
    <mergeCell ref="AE127:AH127"/>
    <mergeCell ref="A122:J122"/>
    <mergeCell ref="K122:R122"/>
    <mergeCell ref="S122:U122"/>
    <mergeCell ref="V122:Y122"/>
    <mergeCell ref="Z122:AC122"/>
    <mergeCell ref="AD122:AH122"/>
    <mergeCell ref="A123:AH123"/>
    <mergeCell ref="A124:I125"/>
    <mergeCell ref="J124:P125"/>
    <mergeCell ref="Q124:W125"/>
    <mergeCell ref="X124:AH124"/>
    <mergeCell ref="X125:AD125"/>
    <mergeCell ref="AE125:AH125"/>
    <mergeCell ref="A120:J120"/>
    <mergeCell ref="K120:R120"/>
    <mergeCell ref="S120:U120"/>
    <mergeCell ref="V120:Y120"/>
    <mergeCell ref="Z120:AC120"/>
    <mergeCell ref="AD120:AH120"/>
    <mergeCell ref="A121:J121"/>
    <mergeCell ref="K121:R121"/>
    <mergeCell ref="S121:U121"/>
    <mergeCell ref="V121:Y121"/>
    <mergeCell ref="Z121:AC121"/>
    <mergeCell ref="AD121:AH121"/>
    <mergeCell ref="A93:G93"/>
    <mergeCell ref="A94:G94"/>
    <mergeCell ref="A95:G95"/>
    <mergeCell ref="A96:G96"/>
    <mergeCell ref="A98:G98"/>
    <mergeCell ref="A116:J118"/>
    <mergeCell ref="K116:AH116"/>
    <mergeCell ref="K117:R118"/>
    <mergeCell ref="S117:AC117"/>
    <mergeCell ref="AD117:AH118"/>
    <mergeCell ref="S118:U118"/>
    <mergeCell ref="V118:Y118"/>
    <mergeCell ref="Z118:AC118"/>
    <mergeCell ref="A100:B100"/>
    <mergeCell ref="E100:F100"/>
    <mergeCell ref="A99:AH99"/>
    <mergeCell ref="G100:H100"/>
    <mergeCell ref="I100:M100"/>
    <mergeCell ref="N100:Q100"/>
    <mergeCell ref="R100:U100"/>
    <mergeCell ref="V100:AA100"/>
    <mergeCell ref="AB100:AE100"/>
    <mergeCell ref="AF100:AH100"/>
    <mergeCell ref="A101:B101"/>
    <mergeCell ref="A87:K87"/>
    <mergeCell ref="L87:R87"/>
    <mergeCell ref="S87:U87"/>
    <mergeCell ref="V87:Y87"/>
    <mergeCell ref="Z87:AC87"/>
    <mergeCell ref="AD87:AH87"/>
    <mergeCell ref="A88:AH88"/>
    <mergeCell ref="A90:AG90"/>
    <mergeCell ref="A92:G92"/>
    <mergeCell ref="A85:K85"/>
    <mergeCell ref="L85:R85"/>
    <mergeCell ref="S85:U85"/>
    <mergeCell ref="V85:Y85"/>
    <mergeCell ref="Z85:AC85"/>
    <mergeCell ref="AD85:AH85"/>
    <mergeCell ref="A86:K86"/>
    <mergeCell ref="L86:R86"/>
    <mergeCell ref="S86:U86"/>
    <mergeCell ref="V86:Y86"/>
    <mergeCell ref="Z86:AC86"/>
    <mergeCell ref="AD86:AH86"/>
    <mergeCell ref="A81:K83"/>
    <mergeCell ref="L81:AH81"/>
    <mergeCell ref="L82:R83"/>
    <mergeCell ref="S82:AC82"/>
    <mergeCell ref="AD82:AH83"/>
    <mergeCell ref="S83:U83"/>
    <mergeCell ref="V83:Y83"/>
    <mergeCell ref="Z83:AC83"/>
    <mergeCell ref="A84:K84"/>
    <mergeCell ref="L84:R84"/>
    <mergeCell ref="S84:U84"/>
    <mergeCell ref="V84:Y84"/>
    <mergeCell ref="Z84:AC84"/>
    <mergeCell ref="AD84:AH84"/>
    <mergeCell ref="A47:AG47"/>
    <mergeCell ref="A49:G49"/>
    <mergeCell ref="A51:G51"/>
    <mergeCell ref="A52:G52"/>
    <mergeCell ref="A53:G53"/>
    <mergeCell ref="A55:G55"/>
    <mergeCell ref="A56:E57"/>
    <mergeCell ref="F56:G57"/>
    <mergeCell ref="H56:L57"/>
    <mergeCell ref="M56:S56"/>
    <mergeCell ref="T56:AB56"/>
    <mergeCell ref="AC56:AH56"/>
    <mergeCell ref="M57:O57"/>
    <mergeCell ref="P57:S57"/>
    <mergeCell ref="T57:X57"/>
    <mergeCell ref="Y57:AB57"/>
    <mergeCell ref="AC57:AF57"/>
    <mergeCell ref="AG57:AH57"/>
    <mergeCell ref="A45:E45"/>
    <mergeCell ref="F45:G45"/>
    <mergeCell ref="H45:L45"/>
    <mergeCell ref="M45:O45"/>
    <mergeCell ref="P45:S45"/>
    <mergeCell ref="T45:X45"/>
    <mergeCell ref="Y45:AB45"/>
    <mergeCell ref="AC45:AF45"/>
    <mergeCell ref="AG45:AH45"/>
    <mergeCell ref="A44:E44"/>
    <mergeCell ref="F44:G44"/>
    <mergeCell ref="H44:L44"/>
    <mergeCell ref="M44:O44"/>
    <mergeCell ref="P44:S44"/>
    <mergeCell ref="T44:X44"/>
    <mergeCell ref="Y44:AB44"/>
    <mergeCell ref="AC44:AF44"/>
    <mergeCell ref="AG44:AH44"/>
    <mergeCell ref="T42:X42"/>
    <mergeCell ref="Y42:AB42"/>
    <mergeCell ref="AC42:AF42"/>
    <mergeCell ref="AG42:AH42"/>
    <mergeCell ref="A43:E43"/>
    <mergeCell ref="F43:G43"/>
    <mergeCell ref="H43:L43"/>
    <mergeCell ref="M43:O43"/>
    <mergeCell ref="P43:S43"/>
    <mergeCell ref="T43:X43"/>
    <mergeCell ref="Y43:AB43"/>
    <mergeCell ref="AC43:AF43"/>
    <mergeCell ref="AG43:AH43"/>
    <mergeCell ref="X8:AH8"/>
    <mergeCell ref="X9:AD9"/>
    <mergeCell ref="AE9:AH9"/>
    <mergeCell ref="A1:G1"/>
    <mergeCell ref="A2:G2"/>
    <mergeCell ref="A3:G3"/>
    <mergeCell ref="A4:G4"/>
    <mergeCell ref="A5:G5"/>
    <mergeCell ref="A7:G7"/>
    <mergeCell ref="A8:I9"/>
    <mergeCell ref="J8:P9"/>
    <mergeCell ref="Q8:W9"/>
    <mergeCell ref="A10:I10"/>
    <mergeCell ref="J10:P10"/>
    <mergeCell ref="Q10:W10"/>
    <mergeCell ref="X10:AD10"/>
    <mergeCell ref="AE10:AH10"/>
    <mergeCell ref="A11:I11"/>
    <mergeCell ref="J11:P11"/>
    <mergeCell ref="Q11:W11"/>
    <mergeCell ref="X11:AD11"/>
    <mergeCell ref="AE11:AH11"/>
    <mergeCell ref="A12:I12"/>
    <mergeCell ref="J12:P12"/>
    <mergeCell ref="Q12:W12"/>
    <mergeCell ref="X12:AD12"/>
    <mergeCell ref="AE12:AH12"/>
    <mergeCell ref="A13:I13"/>
    <mergeCell ref="J13:P13"/>
    <mergeCell ref="Q13:W13"/>
    <mergeCell ref="X13:AD13"/>
    <mergeCell ref="AE13:AH13"/>
    <mergeCell ref="A14:I14"/>
    <mergeCell ref="J14:P14"/>
    <mergeCell ref="Q14:W14"/>
    <mergeCell ref="X14:AD14"/>
    <mergeCell ref="AE14:AH14"/>
    <mergeCell ref="A15:I15"/>
    <mergeCell ref="J15:P15"/>
    <mergeCell ref="Q15:W15"/>
    <mergeCell ref="X15:AD15"/>
    <mergeCell ref="AE15:AH15"/>
    <mergeCell ref="A16:I16"/>
    <mergeCell ref="J16:P16"/>
    <mergeCell ref="Q16:W16"/>
    <mergeCell ref="X16:AD16"/>
    <mergeCell ref="AE16:AH16"/>
    <mergeCell ref="A17:I17"/>
    <mergeCell ref="J17:P17"/>
    <mergeCell ref="Q17:W17"/>
    <mergeCell ref="X17:AD17"/>
    <mergeCell ref="AE17:AH17"/>
    <mergeCell ref="A18:I18"/>
    <mergeCell ref="J18:P18"/>
    <mergeCell ref="Q18:W18"/>
    <mergeCell ref="X18:AD18"/>
    <mergeCell ref="AE18:AH18"/>
    <mergeCell ref="A19:I19"/>
    <mergeCell ref="J19:P19"/>
    <mergeCell ref="Q19:W19"/>
    <mergeCell ref="X19:AD19"/>
    <mergeCell ref="AE19:AH19"/>
    <mergeCell ref="A20:I20"/>
    <mergeCell ref="J20:P20"/>
    <mergeCell ref="Q20:W20"/>
    <mergeCell ref="X20:AD20"/>
    <mergeCell ref="AE20:AH20"/>
    <mergeCell ref="A21:I21"/>
    <mergeCell ref="J21:P21"/>
    <mergeCell ref="Q21:W21"/>
    <mergeCell ref="X21:AD21"/>
    <mergeCell ref="AE21:AH21"/>
    <mergeCell ref="A22:I22"/>
    <mergeCell ref="J22:P22"/>
    <mergeCell ref="Q22:W22"/>
    <mergeCell ref="X22:AD22"/>
    <mergeCell ref="AE22:AH22"/>
    <mergeCell ref="A23:I23"/>
    <mergeCell ref="J23:P23"/>
    <mergeCell ref="Q23:W23"/>
    <mergeCell ref="X23:AD23"/>
    <mergeCell ref="AE23:AH23"/>
    <mergeCell ref="A24:I24"/>
    <mergeCell ref="J24:P24"/>
    <mergeCell ref="Q24:W24"/>
    <mergeCell ref="X24:AD24"/>
    <mergeCell ref="AE24:AH24"/>
    <mergeCell ref="A25:I25"/>
    <mergeCell ref="J25:P25"/>
    <mergeCell ref="Q25:W25"/>
    <mergeCell ref="X25:AD25"/>
    <mergeCell ref="AE25:AH25"/>
    <mergeCell ref="A28:I28"/>
    <mergeCell ref="J28:P28"/>
    <mergeCell ref="Q28:W28"/>
    <mergeCell ref="X28:AD28"/>
    <mergeCell ref="AE28:AH28"/>
    <mergeCell ref="A29:I29"/>
    <mergeCell ref="J29:P29"/>
    <mergeCell ref="Q29:W29"/>
    <mergeCell ref="A26:I26"/>
    <mergeCell ref="J26:P26"/>
    <mergeCell ref="Q26:W26"/>
    <mergeCell ref="X26:AD26"/>
    <mergeCell ref="AE26:AH26"/>
    <mergeCell ref="A27:I27"/>
    <mergeCell ref="J27:P27"/>
    <mergeCell ref="Q27:W27"/>
    <mergeCell ref="X27:AD27"/>
    <mergeCell ref="AE27:AH27"/>
    <mergeCell ref="X29:AD29"/>
    <mergeCell ref="AE29:AH29"/>
    <mergeCell ref="A36:E36"/>
    <mergeCell ref="F36:G36"/>
    <mergeCell ref="H36:L36"/>
    <mergeCell ref="M36:O36"/>
    <mergeCell ref="P36:S36"/>
    <mergeCell ref="T36:X36"/>
    <mergeCell ref="A35:E35"/>
    <mergeCell ref="F35:G35"/>
    <mergeCell ref="A34:E34"/>
    <mergeCell ref="F34:G34"/>
    <mergeCell ref="H34:L34"/>
    <mergeCell ref="M34:O34"/>
    <mergeCell ref="P34:S34"/>
    <mergeCell ref="T34:X34"/>
    <mergeCell ref="A39:E39"/>
    <mergeCell ref="F39:G39"/>
    <mergeCell ref="A38:E38"/>
    <mergeCell ref="F38:G38"/>
    <mergeCell ref="H38:L38"/>
    <mergeCell ref="M38:O38"/>
    <mergeCell ref="P38:S38"/>
    <mergeCell ref="T38:X38"/>
    <mergeCell ref="A37:E37"/>
    <mergeCell ref="F37:G37"/>
    <mergeCell ref="A58:E58"/>
    <mergeCell ref="F58:G58"/>
    <mergeCell ref="A61:E61"/>
    <mergeCell ref="F61:G61"/>
    <mergeCell ref="H62:L62"/>
    <mergeCell ref="M62:O62"/>
    <mergeCell ref="P62:S62"/>
    <mergeCell ref="T62:X62"/>
    <mergeCell ref="A60:E60"/>
    <mergeCell ref="F60:G60"/>
    <mergeCell ref="A59:E59"/>
    <mergeCell ref="F59:G59"/>
    <mergeCell ref="H60:L60"/>
    <mergeCell ref="M60:O60"/>
    <mergeCell ref="P60:S60"/>
    <mergeCell ref="T60:X60"/>
    <mergeCell ref="H58:L58"/>
    <mergeCell ref="M58:O58"/>
    <mergeCell ref="P58:S58"/>
    <mergeCell ref="T58:X58"/>
    <mergeCell ref="A64:E64"/>
    <mergeCell ref="F64:G64"/>
    <mergeCell ref="A63:E63"/>
    <mergeCell ref="F63:G63"/>
    <mergeCell ref="H64:L64"/>
    <mergeCell ref="M64:O64"/>
    <mergeCell ref="P64:S64"/>
    <mergeCell ref="T64:X64"/>
    <mergeCell ref="A62:E62"/>
    <mergeCell ref="F62:G62"/>
    <mergeCell ref="A67:E67"/>
    <mergeCell ref="F67:G67"/>
    <mergeCell ref="A68:AH68"/>
    <mergeCell ref="A66:E66"/>
    <mergeCell ref="F66:G66"/>
    <mergeCell ref="A65:E65"/>
    <mergeCell ref="F65:G65"/>
    <mergeCell ref="H66:L66"/>
    <mergeCell ref="M66:O66"/>
    <mergeCell ref="P66:S66"/>
    <mergeCell ref="T66:X66"/>
    <mergeCell ref="Y66:AB66"/>
    <mergeCell ref="AC66:AF66"/>
    <mergeCell ref="AG66:AH66"/>
    <mergeCell ref="H67:L67"/>
    <mergeCell ref="M67:O67"/>
    <mergeCell ref="P67:S67"/>
    <mergeCell ref="T67:X67"/>
    <mergeCell ref="Y67:AB67"/>
    <mergeCell ref="AC67:AF67"/>
    <mergeCell ref="AG67:AH67"/>
    <mergeCell ref="A78:N78"/>
    <mergeCell ref="O78:T78"/>
    <mergeCell ref="U78:AC78"/>
    <mergeCell ref="AD78:AH78"/>
    <mergeCell ref="A79:N79"/>
    <mergeCell ref="O79:T79"/>
    <mergeCell ref="U79:AC79"/>
    <mergeCell ref="AD79:AH79"/>
    <mergeCell ref="A72:N72"/>
    <mergeCell ref="O72:T72"/>
    <mergeCell ref="U72:AC72"/>
    <mergeCell ref="AD72:AH72"/>
    <mergeCell ref="A73:N73"/>
    <mergeCell ref="O73:T73"/>
    <mergeCell ref="U73:AC73"/>
    <mergeCell ref="AD73:AH73"/>
    <mergeCell ref="A74:N74"/>
    <mergeCell ref="O74:T74"/>
    <mergeCell ref="U74:AC74"/>
    <mergeCell ref="AD74:AH74"/>
    <mergeCell ref="A75:N75"/>
    <mergeCell ref="O75:AH75"/>
    <mergeCell ref="A76:N76"/>
    <mergeCell ref="O76:AH76"/>
    <mergeCell ref="E101:F101"/>
    <mergeCell ref="G101:H101"/>
    <mergeCell ref="I101:M101"/>
    <mergeCell ref="N101:Q101"/>
    <mergeCell ref="R101:U101"/>
    <mergeCell ref="V101:AA101"/>
    <mergeCell ref="AB101:AE101"/>
    <mergeCell ref="AF101:AH101"/>
    <mergeCell ref="A105:B105"/>
    <mergeCell ref="E105:F105"/>
    <mergeCell ref="A104:B104"/>
    <mergeCell ref="E104:F104"/>
    <mergeCell ref="A103:B103"/>
    <mergeCell ref="E103:F103"/>
    <mergeCell ref="G103:H103"/>
    <mergeCell ref="I103:M103"/>
    <mergeCell ref="N103:Q103"/>
    <mergeCell ref="G105:H105"/>
    <mergeCell ref="I105:M105"/>
    <mergeCell ref="N105:Q105"/>
    <mergeCell ref="R105:U105"/>
    <mergeCell ref="V105:AA105"/>
    <mergeCell ref="AB105:AE105"/>
    <mergeCell ref="AF105:AH105"/>
    <mergeCell ref="R107:U107"/>
    <mergeCell ref="V107:AA107"/>
    <mergeCell ref="AB107:AE107"/>
    <mergeCell ref="AF107:AH107"/>
    <mergeCell ref="A106:B106"/>
    <mergeCell ref="E106:F106"/>
    <mergeCell ref="G106:H106"/>
    <mergeCell ref="I106:M106"/>
    <mergeCell ref="N106:Q106"/>
    <mergeCell ref="R106:U106"/>
    <mergeCell ref="V106:AA106"/>
    <mergeCell ref="AB106:AE106"/>
    <mergeCell ref="AF106:AH106"/>
    <mergeCell ref="A108:B108"/>
    <mergeCell ref="E108:F108"/>
    <mergeCell ref="A109:B109"/>
    <mergeCell ref="E109:F109"/>
    <mergeCell ref="A107:B107"/>
    <mergeCell ref="E107:F107"/>
    <mergeCell ref="G107:H107"/>
    <mergeCell ref="I107:M107"/>
    <mergeCell ref="N107:Q107"/>
    <mergeCell ref="A138:G138"/>
    <mergeCell ref="A139:G139"/>
    <mergeCell ref="A141:G141"/>
    <mergeCell ref="A144:I144"/>
    <mergeCell ref="J144:P144"/>
    <mergeCell ref="Q144:W144"/>
    <mergeCell ref="X144:AD144"/>
    <mergeCell ref="AE144:AH144"/>
    <mergeCell ref="A155:E155"/>
    <mergeCell ref="F155:G155"/>
    <mergeCell ref="A154:E154"/>
    <mergeCell ref="F154:G154"/>
    <mergeCell ref="H154:L154"/>
    <mergeCell ref="M154:O154"/>
    <mergeCell ref="P154:S154"/>
    <mergeCell ref="T154:X154"/>
    <mergeCell ref="A153:E153"/>
    <mergeCell ref="F153:G153"/>
    <mergeCell ref="M152:O152"/>
    <mergeCell ref="P152:S152"/>
    <mergeCell ref="T152:X152"/>
    <mergeCell ref="Y152:AB152"/>
    <mergeCell ref="AC152:AF152"/>
    <mergeCell ref="AG152:AH152"/>
    <mergeCell ref="A167:E167"/>
    <mergeCell ref="F167:G167"/>
    <mergeCell ref="A156:E156"/>
    <mergeCell ref="F156:G156"/>
    <mergeCell ref="H156:L156"/>
    <mergeCell ref="M156:O156"/>
    <mergeCell ref="P156:S156"/>
    <mergeCell ref="T156:X156"/>
    <mergeCell ref="A158:E158"/>
    <mergeCell ref="F158:G158"/>
    <mergeCell ref="H158:L158"/>
    <mergeCell ref="M158:O158"/>
    <mergeCell ref="P158:S158"/>
    <mergeCell ref="T158:X158"/>
    <mergeCell ref="A159:E159"/>
    <mergeCell ref="F159:G159"/>
    <mergeCell ref="H159:L159"/>
    <mergeCell ref="M159:O159"/>
    <mergeCell ref="A160:E160"/>
    <mergeCell ref="F160:G160"/>
    <mergeCell ref="H160:L160"/>
    <mergeCell ref="M160:O160"/>
    <mergeCell ref="P160:S160"/>
    <mergeCell ref="T160:X160"/>
    <mergeCell ref="A30:I30"/>
    <mergeCell ref="J30:P30"/>
    <mergeCell ref="Q30:W30"/>
    <mergeCell ref="X30:AD30"/>
    <mergeCell ref="AE30:AH30"/>
    <mergeCell ref="A31:AH31"/>
    <mergeCell ref="H32:L33"/>
    <mergeCell ref="M32:S32"/>
    <mergeCell ref="T32:AB32"/>
    <mergeCell ref="AC32:AH32"/>
    <mergeCell ref="M33:O33"/>
    <mergeCell ref="P33:S33"/>
    <mergeCell ref="T33:X33"/>
    <mergeCell ref="Y33:AB33"/>
    <mergeCell ref="AC33:AF33"/>
    <mergeCell ref="AG33:AH33"/>
    <mergeCell ref="A32:E33"/>
    <mergeCell ref="F32:G33"/>
    <mergeCell ref="Y34:AB34"/>
    <mergeCell ref="AC34:AF34"/>
    <mergeCell ref="AG34:AH34"/>
    <mergeCell ref="H35:L35"/>
    <mergeCell ref="M35:O35"/>
    <mergeCell ref="P35:S35"/>
    <mergeCell ref="T35:X35"/>
    <mergeCell ref="Y35:AB35"/>
    <mergeCell ref="AC35:AF35"/>
    <mergeCell ref="AG35:AH35"/>
    <mergeCell ref="Y36:AB36"/>
    <mergeCell ref="AC36:AF36"/>
    <mergeCell ref="AG36:AH36"/>
    <mergeCell ref="H37:L37"/>
    <mergeCell ref="M37:O37"/>
    <mergeCell ref="P37:S37"/>
    <mergeCell ref="T37:X37"/>
    <mergeCell ref="Y37:AB37"/>
    <mergeCell ref="AC37:AF37"/>
    <mergeCell ref="AG37:AH37"/>
    <mergeCell ref="Y38:AB38"/>
    <mergeCell ref="AC38:AF38"/>
    <mergeCell ref="AG38:AH38"/>
    <mergeCell ref="H39:L39"/>
    <mergeCell ref="M39:O39"/>
    <mergeCell ref="P39:S39"/>
    <mergeCell ref="T39:X39"/>
    <mergeCell ref="Y39:AB39"/>
    <mergeCell ref="AC39:AF39"/>
    <mergeCell ref="AG39:AH39"/>
    <mergeCell ref="Y40:AB40"/>
    <mergeCell ref="AC40:AF40"/>
    <mergeCell ref="AG40:AH40"/>
    <mergeCell ref="A50:G50"/>
    <mergeCell ref="A40:E40"/>
    <mergeCell ref="F40:G40"/>
    <mergeCell ref="H40:L40"/>
    <mergeCell ref="M40:O40"/>
    <mergeCell ref="P40:S40"/>
    <mergeCell ref="T40:X40"/>
    <mergeCell ref="A41:E41"/>
    <mergeCell ref="F41:G41"/>
    <mergeCell ref="H41:L41"/>
    <mergeCell ref="M41:O41"/>
    <mergeCell ref="P41:S41"/>
    <mergeCell ref="T41:X41"/>
    <mergeCell ref="Y41:AB41"/>
    <mergeCell ref="AC41:AF41"/>
    <mergeCell ref="AG41:AH41"/>
    <mergeCell ref="A42:E42"/>
    <mergeCell ref="F42:G42"/>
    <mergeCell ref="H42:L42"/>
    <mergeCell ref="M42:O42"/>
    <mergeCell ref="P42:S42"/>
    <mergeCell ref="Y58:AB58"/>
    <mergeCell ref="AC58:AF58"/>
    <mergeCell ref="AG58:AH58"/>
    <mergeCell ref="H59:L59"/>
    <mergeCell ref="M59:O59"/>
    <mergeCell ref="P59:S59"/>
    <mergeCell ref="T59:X59"/>
    <mergeCell ref="Y59:AB59"/>
    <mergeCell ref="AC59:AF59"/>
    <mergeCell ref="AG59:AH59"/>
    <mergeCell ref="Y60:AB60"/>
    <mergeCell ref="AC60:AF60"/>
    <mergeCell ref="AG60:AH60"/>
    <mergeCell ref="H61:L61"/>
    <mergeCell ref="M61:O61"/>
    <mergeCell ref="P61:S61"/>
    <mergeCell ref="T61:X61"/>
    <mergeCell ref="Y61:AB61"/>
    <mergeCell ref="AC61:AF61"/>
    <mergeCell ref="AG61:AH61"/>
    <mergeCell ref="Y62:AB62"/>
    <mergeCell ref="AC62:AF62"/>
    <mergeCell ref="AG62:AH62"/>
    <mergeCell ref="H63:L63"/>
    <mergeCell ref="M63:O63"/>
    <mergeCell ref="P63:S63"/>
    <mergeCell ref="T63:X63"/>
    <mergeCell ref="Y63:AB63"/>
    <mergeCell ref="AC63:AF63"/>
    <mergeCell ref="AG63:AH63"/>
    <mergeCell ref="Y64:AB64"/>
    <mergeCell ref="AC64:AF64"/>
    <mergeCell ref="AG64:AH64"/>
    <mergeCell ref="H65:L65"/>
    <mergeCell ref="M65:O65"/>
    <mergeCell ref="P65:S65"/>
    <mergeCell ref="T65:X65"/>
    <mergeCell ref="Y65:AB65"/>
    <mergeCell ref="AC65:AF65"/>
    <mergeCell ref="AG65:AH65"/>
    <mergeCell ref="A69:N69"/>
    <mergeCell ref="O69:T69"/>
    <mergeCell ref="U69:AC69"/>
    <mergeCell ref="AD69:AH69"/>
    <mergeCell ref="A70:N70"/>
    <mergeCell ref="O70:T70"/>
    <mergeCell ref="U70:AC70"/>
    <mergeCell ref="AD70:AH70"/>
    <mergeCell ref="A71:N71"/>
    <mergeCell ref="O71:T71"/>
    <mergeCell ref="U71:AC71"/>
    <mergeCell ref="AD71:AH71"/>
    <mergeCell ref="A77:N77"/>
    <mergeCell ref="O77:T77"/>
    <mergeCell ref="U77:AC77"/>
    <mergeCell ref="AD77:AH77"/>
    <mergeCell ref="A80:AH80"/>
    <mergeCell ref="AF103:AH103"/>
    <mergeCell ref="G104:H104"/>
    <mergeCell ref="I104:M104"/>
    <mergeCell ref="N104:Q104"/>
    <mergeCell ref="R104:U104"/>
    <mergeCell ref="V104:AA104"/>
    <mergeCell ref="AB104:AE104"/>
    <mergeCell ref="AF104:AH104"/>
    <mergeCell ref="A102:B102"/>
    <mergeCell ref="E102:F102"/>
    <mergeCell ref="G102:H102"/>
    <mergeCell ref="I102:M102"/>
    <mergeCell ref="N102:Q102"/>
    <mergeCell ref="R102:U102"/>
    <mergeCell ref="V102:AA102"/>
    <mergeCell ref="AB102:AE102"/>
    <mergeCell ref="AF102:AH102"/>
    <mergeCell ref="R103:U103"/>
    <mergeCell ref="V103:AA103"/>
    <mergeCell ref="AB103:AE103"/>
    <mergeCell ref="I109:M109"/>
    <mergeCell ref="N109:Q109"/>
    <mergeCell ref="R109:U109"/>
    <mergeCell ref="V109:AA109"/>
    <mergeCell ref="AB109:AE109"/>
    <mergeCell ref="AF109:AH109"/>
    <mergeCell ref="A110:B110"/>
    <mergeCell ref="E110:F110"/>
    <mergeCell ref="G110:H110"/>
    <mergeCell ref="I110:M110"/>
    <mergeCell ref="N110:Q110"/>
    <mergeCell ref="R110:U110"/>
    <mergeCell ref="V110:AA110"/>
    <mergeCell ref="AB110:AE110"/>
    <mergeCell ref="AF110:AH110"/>
    <mergeCell ref="G108:H108"/>
    <mergeCell ref="I108:M108"/>
    <mergeCell ref="N108:Q108"/>
    <mergeCell ref="R108:U108"/>
    <mergeCell ref="V108:AA108"/>
    <mergeCell ref="AB108:AE108"/>
    <mergeCell ref="AF108:AH108"/>
    <mergeCell ref="G109:H109"/>
    <mergeCell ref="A111:AH111"/>
    <mergeCell ref="A112:AE112"/>
    <mergeCell ref="AF112:AH112"/>
    <mergeCell ref="A113:AE113"/>
    <mergeCell ref="AF113:AH113"/>
    <mergeCell ref="A114:AE114"/>
    <mergeCell ref="AF114:AH114"/>
    <mergeCell ref="A115:AH115"/>
    <mergeCell ref="A119:J119"/>
    <mergeCell ref="K119:R119"/>
    <mergeCell ref="S119:U119"/>
    <mergeCell ref="V119:Y119"/>
    <mergeCell ref="Z119:AC119"/>
    <mergeCell ref="AD119:AH119"/>
    <mergeCell ref="Y153:AB153"/>
    <mergeCell ref="AC153:AF153"/>
    <mergeCell ref="AG153:AH153"/>
    <mergeCell ref="X143:AD143"/>
    <mergeCell ref="AE143:AH143"/>
    <mergeCell ref="Y154:AB154"/>
    <mergeCell ref="AC154:AF154"/>
    <mergeCell ref="AG154:AH154"/>
    <mergeCell ref="H155:L155"/>
    <mergeCell ref="M155:O155"/>
    <mergeCell ref="P155:S155"/>
    <mergeCell ref="T155:X155"/>
    <mergeCell ref="Y155:AB155"/>
    <mergeCell ref="AC155:AF155"/>
    <mergeCell ref="AG155:AH155"/>
    <mergeCell ref="A146:AH146"/>
    <mergeCell ref="A147:E148"/>
    <mergeCell ref="F147:G148"/>
    <mergeCell ref="H147:L148"/>
    <mergeCell ref="M147:S147"/>
    <mergeCell ref="T147:AB147"/>
    <mergeCell ref="AC147:AH147"/>
    <mergeCell ref="M148:O148"/>
    <mergeCell ref="P148:S148"/>
    <mergeCell ref="Y156:AB156"/>
    <mergeCell ref="AC156:AF156"/>
    <mergeCell ref="AG156:AH156"/>
    <mergeCell ref="H167:L167"/>
    <mergeCell ref="M167:O167"/>
    <mergeCell ref="P167:S167"/>
    <mergeCell ref="T167:X167"/>
    <mergeCell ref="Y167:AB167"/>
    <mergeCell ref="AC167:AF167"/>
    <mergeCell ref="AG167:AH167"/>
    <mergeCell ref="Y157:AB157"/>
    <mergeCell ref="AC157:AF157"/>
    <mergeCell ref="AG157:AH157"/>
    <mergeCell ref="Y158:AB158"/>
    <mergeCell ref="AC158:AF158"/>
    <mergeCell ref="AG158:AH158"/>
    <mergeCell ref="P159:S159"/>
    <mergeCell ref="T159:X159"/>
    <mergeCell ref="Y159:AB159"/>
    <mergeCell ref="AC159:AF159"/>
    <mergeCell ref="AG159:AH159"/>
    <mergeCell ref="Y160:AB160"/>
    <mergeCell ref="AC160:AF160"/>
    <mergeCell ref="AG160:AH160"/>
    <mergeCell ref="Y168:AB168"/>
    <mergeCell ref="AC168:AF168"/>
    <mergeCell ref="AG168:AH168"/>
    <mergeCell ref="M181:O181"/>
    <mergeCell ref="P181:S181"/>
    <mergeCell ref="T181:X181"/>
    <mergeCell ref="Y181:AB181"/>
    <mergeCell ref="AC181:AF181"/>
    <mergeCell ref="AG181:AH181"/>
    <mergeCell ref="A170:AG170"/>
    <mergeCell ref="A172:G172"/>
    <mergeCell ref="A173:G173"/>
    <mergeCell ref="A174:G174"/>
    <mergeCell ref="A175:G175"/>
    <mergeCell ref="A176:G176"/>
    <mergeCell ref="A168:E168"/>
    <mergeCell ref="F168:G168"/>
    <mergeCell ref="H168:L168"/>
    <mergeCell ref="M168:O168"/>
    <mergeCell ref="P168:S168"/>
    <mergeCell ref="T168:X168"/>
    <mergeCell ref="A178:G178"/>
    <mergeCell ref="A179:AH179"/>
    <mergeCell ref="A180:E181"/>
    <mergeCell ref="AC182:AF182"/>
    <mergeCell ref="AG182:AH182"/>
    <mergeCell ref="M186:O186"/>
    <mergeCell ref="P186:S186"/>
    <mergeCell ref="T186:X186"/>
    <mergeCell ref="Y186:AB186"/>
    <mergeCell ref="AC186:AF186"/>
    <mergeCell ref="AG186:AH186"/>
    <mergeCell ref="Y187:AB187"/>
    <mergeCell ref="AC187:AF187"/>
    <mergeCell ref="AG187:AH187"/>
    <mergeCell ref="M187:O187"/>
    <mergeCell ref="P187:S187"/>
    <mergeCell ref="T187:X187"/>
    <mergeCell ref="A184:AH184"/>
    <mergeCell ref="A185:E186"/>
    <mergeCell ref="F185:G186"/>
    <mergeCell ref="H185:L186"/>
    <mergeCell ref="M185:S185"/>
    <mergeCell ref="T185:AB185"/>
    <mergeCell ref="AC185:AH185"/>
    <mergeCell ref="A187:E187"/>
    <mergeCell ref="F187:G187"/>
    <mergeCell ref="H187:L18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R193"/>
  <sheetViews>
    <sheetView workbookViewId="0">
      <selection sqref="A1:C1"/>
    </sheetView>
  </sheetViews>
  <sheetFormatPr defaultRowHeight="15"/>
  <cols>
    <col min="1" max="1" width="63.7109375" customWidth="1"/>
    <col min="2" max="2" width="12.5703125" customWidth="1"/>
    <col min="3" max="3" width="0.5703125" customWidth="1"/>
    <col min="4" max="4" width="4.140625" customWidth="1"/>
    <col min="5" max="5" width="1" customWidth="1"/>
    <col min="6" max="6" width="7" customWidth="1"/>
    <col min="7" max="7" width="5" customWidth="1"/>
    <col min="8" max="8" width="7.5703125" customWidth="1"/>
    <col min="9" max="9" width="5.7109375" customWidth="1"/>
    <col min="10" max="10" width="7.5703125" customWidth="1"/>
    <col min="11" max="11" width="0.5703125" customWidth="1"/>
    <col min="12" max="12" width="1" customWidth="1"/>
    <col min="13" max="13" width="4" customWidth="1"/>
    <col min="14" max="14" width="1" customWidth="1"/>
    <col min="15" max="15" width="6" customWidth="1"/>
    <col min="16" max="16" width="1" customWidth="1"/>
    <col min="17" max="17" width="11.140625" customWidth="1"/>
    <col min="18" max="18" width="0.5703125" customWidth="1"/>
  </cols>
  <sheetData>
    <row r="1" spans="1:18" ht="11.85" customHeight="1">
      <c r="A1" s="717" t="s">
        <v>661</v>
      </c>
      <c r="B1" s="717"/>
      <c r="C1" s="717"/>
      <c r="Q1" s="562" t="s">
        <v>887</v>
      </c>
    </row>
    <row r="2" spans="1:18" ht="11.1" customHeight="1">
      <c r="A2" s="717" t="s">
        <v>888</v>
      </c>
      <c r="B2" s="717"/>
      <c r="C2" s="717"/>
    </row>
    <row r="3" spans="1:18" ht="11.85" customHeight="1">
      <c r="A3" s="740" t="s">
        <v>1472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</row>
    <row r="4" spans="1:18" ht="11.85" customHeight="1">
      <c r="A4" s="717" t="s">
        <v>890</v>
      </c>
      <c r="B4" s="717"/>
      <c r="C4" s="717"/>
    </row>
    <row r="5" spans="1:18" ht="11.85" customHeight="1">
      <c r="A5" s="717" t="s">
        <v>1744</v>
      </c>
      <c r="B5" s="717"/>
      <c r="C5" s="717"/>
    </row>
    <row r="6" spans="1:18" ht="5.85" customHeight="1"/>
    <row r="7" spans="1:18" ht="11.1" customHeight="1">
      <c r="A7" s="741" t="s">
        <v>1473</v>
      </c>
      <c r="B7" s="741"/>
      <c r="C7" s="741"/>
      <c r="D7" s="466"/>
      <c r="E7" s="466"/>
      <c r="F7" s="466"/>
      <c r="G7" s="466"/>
      <c r="H7" s="466"/>
      <c r="I7" s="466"/>
      <c r="J7" s="466"/>
      <c r="K7" s="466"/>
      <c r="L7" s="745" t="s">
        <v>702</v>
      </c>
      <c r="M7" s="745"/>
      <c r="N7" s="745"/>
      <c r="O7" s="745"/>
      <c r="P7" s="745"/>
      <c r="Q7" s="745"/>
    </row>
    <row r="8" spans="1:18" ht="11.85" customHeight="1">
      <c r="A8" s="769" t="s">
        <v>1474</v>
      </c>
      <c r="B8" s="770"/>
      <c r="C8" s="770"/>
      <c r="D8" s="770"/>
      <c r="E8" s="770"/>
      <c r="F8" s="770"/>
      <c r="G8" s="770"/>
      <c r="H8" s="770"/>
      <c r="I8" s="770"/>
      <c r="J8" s="770"/>
      <c r="K8" s="770"/>
      <c r="L8" s="770"/>
      <c r="M8" s="770"/>
      <c r="N8" s="770"/>
      <c r="O8" s="770"/>
      <c r="P8" s="770"/>
      <c r="Q8" s="771"/>
      <c r="R8" s="467"/>
    </row>
    <row r="9" spans="1:18" ht="28.9" customHeight="1">
      <c r="A9" s="547" t="s">
        <v>1475</v>
      </c>
      <c r="B9" s="712" t="s">
        <v>895</v>
      </c>
      <c r="C9" s="737"/>
      <c r="D9" s="737"/>
      <c r="E9" s="737"/>
      <c r="F9" s="737"/>
      <c r="G9" s="738"/>
      <c r="H9" s="712" t="s">
        <v>896</v>
      </c>
      <c r="I9" s="737"/>
      <c r="J9" s="737"/>
      <c r="K9" s="737"/>
      <c r="L9" s="737"/>
      <c r="M9" s="737"/>
      <c r="N9" s="737"/>
      <c r="O9" s="737"/>
      <c r="P9" s="737"/>
      <c r="Q9" s="738"/>
      <c r="R9" s="467"/>
    </row>
    <row r="10" spans="1:18" ht="14.85" customHeight="1">
      <c r="A10" s="580" t="s">
        <v>1476</v>
      </c>
      <c r="B10" s="704" t="s">
        <v>1310</v>
      </c>
      <c r="C10" s="705"/>
      <c r="D10" s="705"/>
      <c r="E10" s="705"/>
      <c r="F10" s="705"/>
      <c r="G10" s="706"/>
      <c r="H10" s="704" t="s">
        <v>2163</v>
      </c>
      <c r="I10" s="705"/>
      <c r="J10" s="705"/>
      <c r="K10" s="705"/>
      <c r="L10" s="705"/>
      <c r="M10" s="705"/>
      <c r="N10" s="705"/>
      <c r="O10" s="705"/>
      <c r="P10" s="705"/>
      <c r="Q10" s="706"/>
      <c r="R10" s="467"/>
    </row>
    <row r="11" spans="1:18" ht="14.85" customHeight="1">
      <c r="A11" s="579" t="s">
        <v>1477</v>
      </c>
      <c r="B11" s="707" t="s">
        <v>1385</v>
      </c>
      <c r="C11" s="708"/>
      <c r="D11" s="708"/>
      <c r="E11" s="708"/>
      <c r="F11" s="708"/>
      <c r="G11" s="709"/>
      <c r="H11" s="707" t="s">
        <v>2446</v>
      </c>
      <c r="I11" s="708"/>
      <c r="J11" s="708"/>
      <c r="K11" s="708"/>
      <c r="L11" s="708"/>
      <c r="M11" s="708"/>
      <c r="N11" s="708"/>
      <c r="O11" s="708"/>
      <c r="P11" s="708"/>
      <c r="Q11" s="709"/>
      <c r="R11" s="467"/>
    </row>
    <row r="12" spans="1:18" ht="14.85" customHeight="1">
      <c r="A12" s="579" t="s">
        <v>1478</v>
      </c>
      <c r="B12" s="707" t="s">
        <v>1387</v>
      </c>
      <c r="C12" s="708"/>
      <c r="D12" s="708"/>
      <c r="E12" s="708"/>
      <c r="F12" s="708"/>
      <c r="G12" s="709"/>
      <c r="H12" s="707" t="s">
        <v>2452</v>
      </c>
      <c r="I12" s="708"/>
      <c r="J12" s="708"/>
      <c r="K12" s="708"/>
      <c r="L12" s="708"/>
      <c r="M12" s="708"/>
      <c r="N12" s="708"/>
      <c r="O12" s="708"/>
      <c r="P12" s="708"/>
      <c r="Q12" s="709"/>
      <c r="R12" s="467"/>
    </row>
    <row r="13" spans="1:18" ht="14.1" customHeight="1">
      <c r="A13" s="579" t="s">
        <v>1479</v>
      </c>
      <c r="B13" s="707" t="s">
        <v>1386</v>
      </c>
      <c r="C13" s="708"/>
      <c r="D13" s="708"/>
      <c r="E13" s="708"/>
      <c r="F13" s="708"/>
      <c r="G13" s="709"/>
      <c r="H13" s="707" t="s">
        <v>2455</v>
      </c>
      <c r="I13" s="708"/>
      <c r="J13" s="708"/>
      <c r="K13" s="708"/>
      <c r="L13" s="708"/>
      <c r="M13" s="708"/>
      <c r="N13" s="708"/>
      <c r="O13" s="708"/>
      <c r="P13" s="708"/>
      <c r="Q13" s="709"/>
      <c r="R13" s="467"/>
    </row>
    <row r="14" spans="1:18" ht="14.85" customHeight="1">
      <c r="A14" s="579" t="s">
        <v>1480</v>
      </c>
      <c r="B14" s="707" t="s">
        <v>1388</v>
      </c>
      <c r="C14" s="708"/>
      <c r="D14" s="708"/>
      <c r="E14" s="708"/>
      <c r="F14" s="708"/>
      <c r="G14" s="709"/>
      <c r="H14" s="707" t="s">
        <v>2461</v>
      </c>
      <c r="I14" s="708"/>
      <c r="J14" s="708"/>
      <c r="K14" s="708"/>
      <c r="L14" s="708"/>
      <c r="M14" s="708"/>
      <c r="N14" s="708"/>
      <c r="O14" s="708"/>
      <c r="P14" s="708"/>
      <c r="Q14" s="709"/>
      <c r="R14" s="467"/>
    </row>
    <row r="15" spans="1:18" ht="14.85" customHeight="1">
      <c r="A15" s="579" t="s">
        <v>1481</v>
      </c>
      <c r="B15" s="707" t="s">
        <v>2712</v>
      </c>
      <c r="C15" s="708"/>
      <c r="D15" s="708"/>
      <c r="E15" s="708"/>
      <c r="F15" s="708"/>
      <c r="G15" s="709"/>
      <c r="H15" s="707" t="s">
        <v>2464</v>
      </c>
      <c r="I15" s="708"/>
      <c r="J15" s="708"/>
      <c r="K15" s="708"/>
      <c r="L15" s="708"/>
      <c r="M15" s="708"/>
      <c r="N15" s="708"/>
      <c r="O15" s="708"/>
      <c r="P15" s="708"/>
      <c r="Q15" s="709"/>
      <c r="R15" s="467"/>
    </row>
    <row r="16" spans="1:18" ht="14.1" customHeight="1">
      <c r="A16" s="579" t="s">
        <v>1482</v>
      </c>
      <c r="B16" s="707" t="s">
        <v>2713</v>
      </c>
      <c r="C16" s="708"/>
      <c r="D16" s="708"/>
      <c r="E16" s="708"/>
      <c r="F16" s="708"/>
      <c r="G16" s="709"/>
      <c r="H16" s="707" t="s">
        <v>2467</v>
      </c>
      <c r="I16" s="708"/>
      <c r="J16" s="708"/>
      <c r="K16" s="708"/>
      <c r="L16" s="708"/>
      <c r="M16" s="708"/>
      <c r="N16" s="708"/>
      <c r="O16" s="708"/>
      <c r="P16" s="708"/>
      <c r="Q16" s="709"/>
      <c r="R16" s="467"/>
    </row>
    <row r="17" spans="1:18" ht="14.85" customHeight="1">
      <c r="A17" s="579" t="s">
        <v>1483</v>
      </c>
      <c r="B17" s="707" t="s">
        <v>2466</v>
      </c>
      <c r="C17" s="708"/>
      <c r="D17" s="708"/>
      <c r="E17" s="708"/>
      <c r="F17" s="708"/>
      <c r="G17" s="709"/>
      <c r="H17" s="707" t="s">
        <v>2467</v>
      </c>
      <c r="I17" s="708"/>
      <c r="J17" s="708"/>
      <c r="K17" s="708"/>
      <c r="L17" s="708"/>
      <c r="M17" s="708"/>
      <c r="N17" s="708"/>
      <c r="O17" s="708"/>
      <c r="P17" s="708"/>
      <c r="Q17" s="709"/>
      <c r="R17" s="467"/>
    </row>
    <row r="18" spans="1:18" ht="14.85" customHeight="1">
      <c r="A18" s="579" t="s">
        <v>1484</v>
      </c>
      <c r="B18" s="707" t="s">
        <v>1485</v>
      </c>
      <c r="C18" s="708"/>
      <c r="D18" s="708"/>
      <c r="E18" s="708"/>
      <c r="F18" s="708"/>
      <c r="G18" s="709"/>
      <c r="H18" s="707" t="s">
        <v>656</v>
      </c>
      <c r="I18" s="708"/>
      <c r="J18" s="708"/>
      <c r="K18" s="708"/>
      <c r="L18" s="708"/>
      <c r="M18" s="708"/>
      <c r="N18" s="708"/>
      <c r="O18" s="708"/>
      <c r="P18" s="708"/>
      <c r="Q18" s="709"/>
      <c r="R18" s="467"/>
    </row>
    <row r="19" spans="1:18" ht="14.1" customHeight="1">
      <c r="A19" s="579" t="s">
        <v>1486</v>
      </c>
      <c r="B19" s="707" t="s">
        <v>1418</v>
      </c>
      <c r="C19" s="708"/>
      <c r="D19" s="708"/>
      <c r="E19" s="708"/>
      <c r="F19" s="708"/>
      <c r="G19" s="709"/>
      <c r="H19" s="707" t="s">
        <v>2473</v>
      </c>
      <c r="I19" s="708"/>
      <c r="J19" s="708"/>
      <c r="K19" s="708"/>
      <c r="L19" s="708"/>
      <c r="M19" s="708"/>
      <c r="N19" s="708"/>
      <c r="O19" s="708"/>
      <c r="P19" s="708"/>
      <c r="Q19" s="709"/>
      <c r="R19" s="467"/>
    </row>
    <row r="20" spans="1:18" ht="14.85" customHeight="1">
      <c r="A20" s="579" t="s">
        <v>1487</v>
      </c>
      <c r="B20" s="707" t="s">
        <v>1419</v>
      </c>
      <c r="C20" s="708"/>
      <c r="D20" s="708"/>
      <c r="E20" s="708"/>
      <c r="F20" s="708"/>
      <c r="G20" s="709"/>
      <c r="H20" s="707" t="s">
        <v>2475</v>
      </c>
      <c r="I20" s="708"/>
      <c r="J20" s="708"/>
      <c r="K20" s="708"/>
      <c r="L20" s="708"/>
      <c r="M20" s="708"/>
      <c r="N20" s="708"/>
      <c r="O20" s="708"/>
      <c r="P20" s="708"/>
      <c r="Q20" s="709"/>
      <c r="R20" s="467"/>
    </row>
    <row r="21" spans="1:18" ht="14.85" customHeight="1">
      <c r="A21" s="579" t="s">
        <v>1488</v>
      </c>
      <c r="B21" s="707" t="s">
        <v>1416</v>
      </c>
      <c r="C21" s="708"/>
      <c r="D21" s="708"/>
      <c r="E21" s="708"/>
      <c r="F21" s="708"/>
      <c r="G21" s="709"/>
      <c r="H21" s="707" t="s">
        <v>2469</v>
      </c>
      <c r="I21" s="708"/>
      <c r="J21" s="708"/>
      <c r="K21" s="708"/>
      <c r="L21" s="708"/>
      <c r="M21" s="708"/>
      <c r="N21" s="708"/>
      <c r="O21" s="708"/>
      <c r="P21" s="708"/>
      <c r="Q21" s="709"/>
      <c r="R21" s="467"/>
    </row>
    <row r="22" spans="1:18" ht="14.1" customHeight="1">
      <c r="A22" s="579" t="s">
        <v>1489</v>
      </c>
      <c r="B22" s="707" t="s">
        <v>1417</v>
      </c>
      <c r="C22" s="708"/>
      <c r="D22" s="708"/>
      <c r="E22" s="708"/>
      <c r="F22" s="708"/>
      <c r="G22" s="709"/>
      <c r="H22" s="707" t="s">
        <v>2471</v>
      </c>
      <c r="I22" s="708"/>
      <c r="J22" s="708"/>
      <c r="K22" s="708"/>
      <c r="L22" s="708"/>
      <c r="M22" s="708"/>
      <c r="N22" s="708"/>
      <c r="O22" s="708"/>
      <c r="P22" s="708"/>
      <c r="Q22" s="709"/>
      <c r="R22" s="467"/>
    </row>
    <row r="23" spans="1:18" ht="14.85" customHeight="1">
      <c r="A23" s="579" t="s">
        <v>1490</v>
      </c>
      <c r="B23" s="707" t="s">
        <v>656</v>
      </c>
      <c r="C23" s="708"/>
      <c r="D23" s="708"/>
      <c r="E23" s="708"/>
      <c r="F23" s="708"/>
      <c r="G23" s="709"/>
      <c r="H23" s="707" t="s">
        <v>656</v>
      </c>
      <c r="I23" s="708"/>
      <c r="J23" s="708"/>
      <c r="K23" s="708"/>
      <c r="L23" s="708"/>
      <c r="M23" s="708"/>
      <c r="N23" s="708"/>
      <c r="O23" s="708"/>
      <c r="P23" s="708"/>
      <c r="Q23" s="709"/>
      <c r="R23" s="467"/>
    </row>
    <row r="24" spans="1:18" ht="14.85" customHeight="1">
      <c r="A24" s="579" t="s">
        <v>1491</v>
      </c>
      <c r="B24" s="707" t="s">
        <v>656</v>
      </c>
      <c r="C24" s="708"/>
      <c r="D24" s="708"/>
      <c r="E24" s="708"/>
      <c r="F24" s="708"/>
      <c r="G24" s="709"/>
      <c r="H24" s="707" t="s">
        <v>656</v>
      </c>
      <c r="I24" s="708"/>
      <c r="J24" s="708"/>
      <c r="K24" s="708"/>
      <c r="L24" s="708"/>
      <c r="M24" s="708"/>
      <c r="N24" s="708"/>
      <c r="O24" s="708"/>
      <c r="P24" s="708"/>
      <c r="Q24" s="709"/>
      <c r="R24" s="467"/>
    </row>
    <row r="25" spans="1:18" ht="14.1" customHeight="1">
      <c r="A25" s="599" t="s">
        <v>1492</v>
      </c>
      <c r="B25" s="784" t="s">
        <v>2714</v>
      </c>
      <c r="C25" s="785"/>
      <c r="D25" s="785"/>
      <c r="E25" s="785"/>
      <c r="F25" s="785"/>
      <c r="G25" s="786"/>
      <c r="H25" s="784" t="s">
        <v>2478</v>
      </c>
      <c r="I25" s="785"/>
      <c r="J25" s="785"/>
      <c r="K25" s="785"/>
      <c r="L25" s="785"/>
      <c r="M25" s="785"/>
      <c r="N25" s="785"/>
      <c r="O25" s="785"/>
      <c r="P25" s="785"/>
      <c r="Q25" s="786"/>
      <c r="R25" s="467"/>
    </row>
    <row r="26" spans="1:18" ht="14.85" customHeight="1">
      <c r="A26" s="599" t="s">
        <v>1493</v>
      </c>
      <c r="B26" s="784" t="s">
        <v>2715</v>
      </c>
      <c r="C26" s="785"/>
      <c r="D26" s="785"/>
      <c r="E26" s="785"/>
      <c r="F26" s="785"/>
      <c r="G26" s="786"/>
      <c r="H26" s="784" t="s">
        <v>2716</v>
      </c>
      <c r="I26" s="785"/>
      <c r="J26" s="785"/>
      <c r="K26" s="785"/>
      <c r="L26" s="785"/>
      <c r="M26" s="785"/>
      <c r="N26" s="785"/>
      <c r="O26" s="785"/>
      <c r="P26" s="785"/>
      <c r="Q26" s="786"/>
      <c r="R26" s="467"/>
    </row>
    <row r="27" spans="1:18" ht="14.85" customHeight="1">
      <c r="A27" s="600" t="s">
        <v>1494</v>
      </c>
      <c r="B27" s="964" t="s">
        <v>2717</v>
      </c>
      <c r="C27" s="965"/>
      <c r="D27" s="965"/>
      <c r="E27" s="965"/>
      <c r="F27" s="965"/>
      <c r="G27" s="966"/>
      <c r="H27" s="964" t="s">
        <v>2718</v>
      </c>
      <c r="I27" s="965"/>
      <c r="J27" s="965"/>
      <c r="K27" s="965"/>
      <c r="L27" s="965"/>
      <c r="M27" s="965"/>
      <c r="N27" s="965"/>
      <c r="O27" s="965"/>
      <c r="P27" s="965"/>
      <c r="Q27" s="966"/>
      <c r="R27" s="467"/>
    </row>
    <row r="28" spans="1:18" ht="11.85" customHeight="1">
      <c r="A28" s="468"/>
      <c r="B28" s="468"/>
      <c r="C28" s="468"/>
      <c r="D28" s="468"/>
      <c r="E28" s="468"/>
      <c r="F28" s="468"/>
      <c r="G28" s="468"/>
      <c r="H28" s="468"/>
      <c r="I28" s="468"/>
      <c r="J28" s="468"/>
      <c r="K28" s="468"/>
      <c r="L28" s="468"/>
      <c r="M28" s="468"/>
      <c r="N28" s="468"/>
      <c r="O28" s="468"/>
      <c r="P28" s="468"/>
      <c r="Q28" s="468"/>
    </row>
    <row r="29" spans="1:18" ht="11.1" customHeight="1">
      <c r="A29" s="769" t="s">
        <v>227</v>
      </c>
      <c r="B29" s="770"/>
      <c r="C29" s="770"/>
      <c r="D29" s="770"/>
      <c r="E29" s="770"/>
      <c r="F29" s="770"/>
      <c r="G29" s="770"/>
      <c r="H29" s="770"/>
      <c r="I29" s="770"/>
      <c r="J29" s="770"/>
      <c r="K29" s="770"/>
      <c r="L29" s="770"/>
      <c r="M29" s="770"/>
      <c r="N29" s="770"/>
      <c r="O29" s="770"/>
      <c r="P29" s="770"/>
      <c r="Q29" s="771"/>
      <c r="R29" s="467"/>
    </row>
    <row r="30" spans="1:18" ht="29.65" customHeight="1">
      <c r="A30" s="547" t="s">
        <v>1495</v>
      </c>
      <c r="B30" s="712" t="s">
        <v>895</v>
      </c>
      <c r="C30" s="737"/>
      <c r="D30" s="737"/>
      <c r="E30" s="737"/>
      <c r="F30" s="737"/>
      <c r="G30" s="738"/>
      <c r="H30" s="712" t="s">
        <v>896</v>
      </c>
      <c r="I30" s="737"/>
      <c r="J30" s="737"/>
      <c r="K30" s="737"/>
      <c r="L30" s="737"/>
      <c r="M30" s="737"/>
      <c r="N30" s="737"/>
      <c r="O30" s="737"/>
      <c r="P30" s="737"/>
      <c r="Q30" s="738"/>
      <c r="R30" s="467"/>
    </row>
    <row r="31" spans="1:18" ht="11.1" customHeight="1">
      <c r="A31" s="580" t="s">
        <v>1496</v>
      </c>
      <c r="B31" s="704" t="s">
        <v>1497</v>
      </c>
      <c r="C31" s="705"/>
      <c r="D31" s="705"/>
      <c r="E31" s="705"/>
      <c r="F31" s="705"/>
      <c r="G31" s="706"/>
      <c r="H31" s="704" t="s">
        <v>1789</v>
      </c>
      <c r="I31" s="705"/>
      <c r="J31" s="705"/>
      <c r="K31" s="705"/>
      <c r="L31" s="705"/>
      <c r="M31" s="705"/>
      <c r="N31" s="705"/>
      <c r="O31" s="705"/>
      <c r="P31" s="705"/>
      <c r="Q31" s="706"/>
      <c r="R31" s="467"/>
    </row>
    <row r="32" spans="1:18" ht="11.85" customHeight="1">
      <c r="A32" s="579" t="s">
        <v>1498</v>
      </c>
      <c r="B32" s="707" t="s">
        <v>1497</v>
      </c>
      <c r="C32" s="708"/>
      <c r="D32" s="708"/>
      <c r="E32" s="708"/>
      <c r="F32" s="708"/>
      <c r="G32" s="709"/>
      <c r="H32" s="707" t="s">
        <v>1789</v>
      </c>
      <c r="I32" s="708"/>
      <c r="J32" s="708"/>
      <c r="K32" s="708"/>
      <c r="L32" s="708"/>
      <c r="M32" s="708"/>
      <c r="N32" s="708"/>
      <c r="O32" s="708"/>
      <c r="P32" s="708"/>
      <c r="Q32" s="709"/>
      <c r="R32" s="467"/>
    </row>
    <row r="33" spans="1:18" ht="11.85" customHeight="1">
      <c r="A33" s="579" t="s">
        <v>1499</v>
      </c>
      <c r="B33" s="707" t="s">
        <v>1328</v>
      </c>
      <c r="C33" s="708"/>
      <c r="D33" s="708"/>
      <c r="E33" s="708"/>
      <c r="F33" s="708"/>
      <c r="G33" s="709"/>
      <c r="H33" s="707" t="s">
        <v>2250</v>
      </c>
      <c r="I33" s="708"/>
      <c r="J33" s="708"/>
      <c r="K33" s="708"/>
      <c r="L33" s="708"/>
      <c r="M33" s="708"/>
      <c r="N33" s="708"/>
      <c r="O33" s="708"/>
      <c r="P33" s="708"/>
      <c r="Q33" s="709"/>
      <c r="R33" s="467"/>
    </row>
    <row r="34" spans="1:18" ht="11.85" customHeight="1">
      <c r="A34" s="579" t="s">
        <v>1500</v>
      </c>
      <c r="B34" s="707" t="s">
        <v>1501</v>
      </c>
      <c r="C34" s="708"/>
      <c r="D34" s="708"/>
      <c r="E34" s="708"/>
      <c r="F34" s="708"/>
      <c r="G34" s="709"/>
      <c r="H34" s="707" t="s">
        <v>2719</v>
      </c>
      <c r="I34" s="708"/>
      <c r="J34" s="708"/>
      <c r="K34" s="708"/>
      <c r="L34" s="708"/>
      <c r="M34" s="708"/>
      <c r="N34" s="708"/>
      <c r="O34" s="708"/>
      <c r="P34" s="708"/>
      <c r="Q34" s="709"/>
      <c r="R34" s="467"/>
    </row>
    <row r="35" spans="1:18" ht="11.1" customHeight="1">
      <c r="A35" s="579" t="s">
        <v>1502</v>
      </c>
      <c r="B35" s="707" t="s">
        <v>656</v>
      </c>
      <c r="C35" s="708"/>
      <c r="D35" s="708"/>
      <c r="E35" s="708"/>
      <c r="F35" s="708"/>
      <c r="G35" s="709"/>
      <c r="H35" s="707" t="s">
        <v>656</v>
      </c>
      <c r="I35" s="708"/>
      <c r="J35" s="708"/>
      <c r="K35" s="708"/>
      <c r="L35" s="708"/>
      <c r="M35" s="708"/>
      <c r="N35" s="708"/>
      <c r="O35" s="708"/>
      <c r="P35" s="708"/>
      <c r="Q35" s="709"/>
      <c r="R35" s="467"/>
    </row>
    <row r="36" spans="1:18" ht="11.85" customHeight="1">
      <c r="A36" s="579" t="s">
        <v>1503</v>
      </c>
      <c r="B36" s="707" t="s">
        <v>656</v>
      </c>
      <c r="C36" s="708"/>
      <c r="D36" s="708"/>
      <c r="E36" s="708"/>
      <c r="F36" s="708"/>
      <c r="G36" s="709"/>
      <c r="H36" s="707" t="s">
        <v>656</v>
      </c>
      <c r="I36" s="708"/>
      <c r="J36" s="708"/>
      <c r="K36" s="708"/>
      <c r="L36" s="708"/>
      <c r="M36" s="708"/>
      <c r="N36" s="708"/>
      <c r="O36" s="708"/>
      <c r="P36" s="708"/>
      <c r="Q36" s="709"/>
      <c r="R36" s="467"/>
    </row>
    <row r="37" spans="1:18" ht="11.85" customHeight="1">
      <c r="A37" s="579" t="s">
        <v>1504</v>
      </c>
      <c r="B37" s="707" t="s">
        <v>656</v>
      </c>
      <c r="C37" s="708"/>
      <c r="D37" s="708"/>
      <c r="E37" s="708"/>
      <c r="F37" s="708"/>
      <c r="G37" s="709"/>
      <c r="H37" s="707" t="s">
        <v>656</v>
      </c>
      <c r="I37" s="708"/>
      <c r="J37" s="708"/>
      <c r="K37" s="708"/>
      <c r="L37" s="708"/>
      <c r="M37" s="708"/>
      <c r="N37" s="708"/>
      <c r="O37" s="708"/>
      <c r="P37" s="708"/>
      <c r="Q37" s="709"/>
      <c r="R37" s="467"/>
    </row>
    <row r="38" spans="1:18" ht="11.85" customHeight="1">
      <c r="A38" s="579" t="s">
        <v>1505</v>
      </c>
      <c r="B38" s="707" t="s">
        <v>656</v>
      </c>
      <c r="C38" s="708"/>
      <c r="D38" s="708"/>
      <c r="E38" s="708"/>
      <c r="F38" s="708"/>
      <c r="G38" s="709"/>
      <c r="H38" s="707" t="s">
        <v>656</v>
      </c>
      <c r="I38" s="708"/>
      <c r="J38" s="708"/>
      <c r="K38" s="708"/>
      <c r="L38" s="708"/>
      <c r="M38" s="708"/>
      <c r="N38" s="708"/>
      <c r="O38" s="708"/>
      <c r="P38" s="708"/>
      <c r="Q38" s="709"/>
      <c r="R38" s="467"/>
    </row>
    <row r="39" spans="1:18" ht="11.1" customHeight="1">
      <c r="A39" s="579" t="s">
        <v>1506</v>
      </c>
      <c r="B39" s="707" t="s">
        <v>656</v>
      </c>
      <c r="C39" s="708"/>
      <c r="D39" s="708"/>
      <c r="E39" s="708"/>
      <c r="F39" s="708"/>
      <c r="G39" s="709"/>
      <c r="H39" s="707" t="s">
        <v>656</v>
      </c>
      <c r="I39" s="708"/>
      <c r="J39" s="708"/>
      <c r="K39" s="708"/>
      <c r="L39" s="708"/>
      <c r="M39" s="708"/>
      <c r="N39" s="708"/>
      <c r="O39" s="708"/>
      <c r="P39" s="708"/>
      <c r="Q39" s="709"/>
      <c r="R39" s="467"/>
    </row>
    <row r="40" spans="1:18" ht="5.85" customHeight="1"/>
    <row r="41" spans="1:18" ht="11.85" customHeight="1">
      <c r="A41" s="963" t="s">
        <v>2720</v>
      </c>
      <c r="B41" s="963"/>
      <c r="C41" s="963"/>
      <c r="D41" s="963"/>
      <c r="E41" s="963"/>
      <c r="F41" s="963"/>
      <c r="G41" s="963"/>
      <c r="H41" s="963"/>
      <c r="I41" s="963"/>
      <c r="J41" s="963"/>
      <c r="K41" s="963"/>
      <c r="L41" s="963"/>
      <c r="M41" s="963"/>
      <c r="N41" s="963"/>
      <c r="O41" s="963"/>
      <c r="P41" s="963"/>
      <c r="Q41" s="963"/>
    </row>
    <row r="42" spans="1:18" ht="11.85" customHeight="1">
      <c r="A42" s="717" t="s">
        <v>661</v>
      </c>
      <c r="B42" s="717"/>
      <c r="C42" s="717"/>
      <c r="Q42" s="562" t="s">
        <v>922</v>
      </c>
    </row>
    <row r="43" spans="1:18" ht="11.1" customHeight="1">
      <c r="A43" s="717" t="s">
        <v>888</v>
      </c>
      <c r="B43" s="717"/>
      <c r="C43" s="717"/>
    </row>
    <row r="44" spans="1:18" ht="11.85" customHeight="1">
      <c r="A44" s="740" t="s">
        <v>1472</v>
      </c>
      <c r="B44" s="740"/>
      <c r="C44" s="740"/>
      <c r="D44" s="740"/>
      <c r="E44" s="740"/>
      <c r="F44" s="740"/>
      <c r="G44" s="740"/>
      <c r="H44" s="740"/>
      <c r="I44" s="740"/>
      <c r="J44" s="740"/>
      <c r="K44" s="740"/>
      <c r="L44" s="740"/>
    </row>
    <row r="45" spans="1:18" ht="11.85" customHeight="1">
      <c r="A45" s="717" t="s">
        <v>890</v>
      </c>
      <c r="B45" s="717"/>
      <c r="C45" s="717"/>
    </row>
    <row r="46" spans="1:18" ht="11.85" customHeight="1">
      <c r="A46" s="717" t="s">
        <v>1744</v>
      </c>
      <c r="B46" s="717"/>
      <c r="C46" s="717"/>
    </row>
    <row r="47" spans="1:18" ht="5.85" customHeight="1"/>
    <row r="48" spans="1:18" ht="11.1" customHeight="1">
      <c r="A48" s="741" t="s">
        <v>1473</v>
      </c>
      <c r="B48" s="741"/>
      <c r="C48" s="741"/>
      <c r="D48" s="466"/>
      <c r="E48" s="466"/>
      <c r="F48" s="466"/>
      <c r="G48" s="466"/>
      <c r="H48" s="466"/>
      <c r="I48" s="466"/>
      <c r="J48" s="466"/>
      <c r="K48" s="466"/>
      <c r="L48" s="745" t="s">
        <v>702</v>
      </c>
      <c r="M48" s="745"/>
      <c r="N48" s="745"/>
      <c r="O48" s="745"/>
      <c r="P48" s="745"/>
      <c r="Q48" s="745"/>
    </row>
    <row r="49" spans="1:18" ht="11.85" customHeight="1">
      <c r="A49" s="769" t="s">
        <v>227</v>
      </c>
      <c r="B49" s="770"/>
      <c r="C49" s="770"/>
      <c r="D49" s="770"/>
      <c r="E49" s="770"/>
      <c r="F49" s="770"/>
      <c r="G49" s="770"/>
      <c r="H49" s="770"/>
      <c r="I49" s="770"/>
      <c r="J49" s="770"/>
      <c r="K49" s="770"/>
      <c r="L49" s="770"/>
      <c r="M49" s="770"/>
      <c r="N49" s="770"/>
      <c r="O49" s="770"/>
      <c r="P49" s="770"/>
      <c r="Q49" s="771"/>
      <c r="R49" s="467"/>
    </row>
    <row r="50" spans="1:18" ht="28.9" customHeight="1">
      <c r="A50" s="547" t="s">
        <v>1495</v>
      </c>
      <c r="B50" s="712" t="s">
        <v>895</v>
      </c>
      <c r="C50" s="737"/>
      <c r="D50" s="737"/>
      <c r="E50" s="737"/>
      <c r="F50" s="737"/>
      <c r="G50" s="738"/>
      <c r="H50" s="712" t="s">
        <v>896</v>
      </c>
      <c r="I50" s="737"/>
      <c r="J50" s="737"/>
      <c r="K50" s="737"/>
      <c r="L50" s="737"/>
      <c r="M50" s="737"/>
      <c r="N50" s="737"/>
      <c r="O50" s="737"/>
      <c r="P50" s="737"/>
      <c r="Q50" s="738"/>
      <c r="R50" s="467"/>
    </row>
    <row r="51" spans="1:18" ht="11.85" customHeight="1">
      <c r="A51" s="580" t="s">
        <v>1507</v>
      </c>
      <c r="B51" s="704" t="s">
        <v>656</v>
      </c>
      <c r="C51" s="705"/>
      <c r="D51" s="705"/>
      <c r="E51" s="705"/>
      <c r="F51" s="705"/>
      <c r="G51" s="706"/>
      <c r="H51" s="704" t="s">
        <v>656</v>
      </c>
      <c r="I51" s="705"/>
      <c r="J51" s="705"/>
      <c r="K51" s="705"/>
      <c r="L51" s="705"/>
      <c r="M51" s="705"/>
      <c r="N51" s="705"/>
      <c r="O51" s="705"/>
      <c r="P51" s="705"/>
      <c r="Q51" s="706"/>
      <c r="R51" s="467"/>
    </row>
    <row r="52" spans="1:18" ht="11.85" customHeight="1">
      <c r="A52" s="578" t="s">
        <v>1508</v>
      </c>
      <c r="B52" s="722" t="s">
        <v>2721</v>
      </c>
      <c r="C52" s="724"/>
      <c r="D52" s="724"/>
      <c r="E52" s="724"/>
      <c r="F52" s="724"/>
      <c r="G52" s="723"/>
      <c r="H52" s="722" t="s">
        <v>2722</v>
      </c>
      <c r="I52" s="724"/>
      <c r="J52" s="724"/>
      <c r="K52" s="724"/>
      <c r="L52" s="724"/>
      <c r="M52" s="724"/>
      <c r="N52" s="724"/>
      <c r="O52" s="724"/>
      <c r="P52" s="724"/>
      <c r="Q52" s="723"/>
      <c r="R52" s="467"/>
    </row>
    <row r="53" spans="1:18" ht="11.85" customHeight="1">
      <c r="A53" s="468"/>
      <c r="B53" s="468"/>
      <c r="C53" s="468"/>
      <c r="D53" s="468"/>
      <c r="E53" s="468"/>
      <c r="F53" s="468"/>
      <c r="G53" s="468"/>
      <c r="H53" s="468"/>
      <c r="I53" s="468"/>
      <c r="J53" s="468"/>
      <c r="K53" s="468"/>
      <c r="L53" s="468"/>
      <c r="M53" s="468"/>
      <c r="N53" s="468"/>
      <c r="O53" s="468"/>
      <c r="P53" s="468"/>
      <c r="Q53" s="468"/>
    </row>
    <row r="54" spans="1:18" ht="17.100000000000001" customHeight="1">
      <c r="A54" s="547" t="s">
        <v>1509</v>
      </c>
      <c r="B54" s="712" t="s">
        <v>797</v>
      </c>
      <c r="C54" s="737"/>
      <c r="D54" s="737"/>
      <c r="E54" s="737"/>
      <c r="F54" s="737"/>
      <c r="G54" s="737"/>
      <c r="H54" s="737"/>
      <c r="I54" s="737"/>
      <c r="J54" s="737"/>
      <c r="K54" s="737"/>
      <c r="L54" s="737"/>
      <c r="M54" s="737"/>
      <c r="N54" s="737"/>
      <c r="O54" s="737"/>
      <c r="P54" s="737"/>
      <c r="Q54" s="738"/>
      <c r="R54" s="467"/>
    </row>
    <row r="55" spans="1:18" ht="11.85" customHeight="1">
      <c r="A55" s="580" t="s">
        <v>1510</v>
      </c>
      <c r="B55" s="704" t="s">
        <v>656</v>
      </c>
      <c r="C55" s="705"/>
      <c r="D55" s="705"/>
      <c r="E55" s="705"/>
      <c r="F55" s="705"/>
      <c r="G55" s="705"/>
      <c r="H55" s="705"/>
      <c r="I55" s="705"/>
      <c r="J55" s="705"/>
      <c r="K55" s="705"/>
      <c r="L55" s="705"/>
      <c r="M55" s="705"/>
      <c r="N55" s="705"/>
      <c r="O55" s="705"/>
      <c r="P55" s="705"/>
      <c r="Q55" s="706"/>
      <c r="R55" s="467"/>
    </row>
    <row r="56" spans="1:18" ht="11.85" customHeight="1">
      <c r="A56" s="579" t="s">
        <v>1511</v>
      </c>
      <c r="B56" s="707" t="s">
        <v>656</v>
      </c>
      <c r="C56" s="708"/>
      <c r="D56" s="708"/>
      <c r="E56" s="708"/>
      <c r="F56" s="708"/>
      <c r="G56" s="708"/>
      <c r="H56" s="708"/>
      <c r="I56" s="708"/>
      <c r="J56" s="708"/>
      <c r="K56" s="708"/>
      <c r="L56" s="708"/>
      <c r="M56" s="708"/>
      <c r="N56" s="708"/>
      <c r="O56" s="708"/>
      <c r="P56" s="708"/>
      <c r="Q56" s="709"/>
      <c r="R56" s="467"/>
    </row>
    <row r="57" spans="1:18" ht="11.85" customHeight="1">
      <c r="A57" s="578" t="s">
        <v>1512</v>
      </c>
      <c r="B57" s="722" t="s">
        <v>656</v>
      </c>
      <c r="C57" s="724"/>
      <c r="D57" s="724"/>
      <c r="E57" s="724"/>
      <c r="F57" s="724"/>
      <c r="G57" s="724"/>
      <c r="H57" s="724"/>
      <c r="I57" s="724"/>
      <c r="J57" s="724"/>
      <c r="K57" s="724"/>
      <c r="L57" s="724"/>
      <c r="M57" s="724"/>
      <c r="N57" s="724"/>
      <c r="O57" s="724"/>
      <c r="P57" s="724"/>
      <c r="Q57" s="723"/>
      <c r="R57" s="467"/>
    </row>
    <row r="58" spans="1:18" ht="11.1" customHeight="1">
      <c r="A58" s="601" t="s">
        <v>1513</v>
      </c>
      <c r="B58" s="781" t="s">
        <v>1789</v>
      </c>
      <c r="C58" s="782"/>
      <c r="D58" s="782"/>
      <c r="E58" s="782"/>
      <c r="F58" s="782"/>
      <c r="G58" s="782"/>
      <c r="H58" s="782"/>
      <c r="I58" s="782"/>
      <c r="J58" s="782"/>
      <c r="K58" s="782"/>
      <c r="L58" s="782"/>
      <c r="M58" s="782"/>
      <c r="N58" s="782"/>
      <c r="O58" s="782"/>
      <c r="P58" s="782"/>
      <c r="Q58" s="783"/>
      <c r="R58" s="467"/>
    </row>
    <row r="59" spans="1:18" ht="11.85" customHeight="1">
      <c r="A59" s="468"/>
      <c r="B59" s="468"/>
      <c r="C59" s="468"/>
      <c r="D59" s="468"/>
      <c r="E59" s="468"/>
      <c r="F59" s="468"/>
      <c r="G59" s="468"/>
      <c r="H59" s="468"/>
      <c r="I59" s="468"/>
      <c r="J59" s="468"/>
      <c r="K59" s="468"/>
      <c r="L59" s="468"/>
      <c r="M59" s="468"/>
      <c r="N59" s="468"/>
      <c r="O59" s="468"/>
      <c r="P59" s="468"/>
      <c r="Q59" s="468"/>
    </row>
    <row r="60" spans="1:18" ht="34.700000000000003" customHeight="1">
      <c r="A60" s="548" t="s">
        <v>1514</v>
      </c>
      <c r="B60" s="712" t="s">
        <v>910</v>
      </c>
      <c r="C60" s="737"/>
      <c r="D60" s="738"/>
      <c r="E60" s="712" t="s">
        <v>911</v>
      </c>
      <c r="F60" s="737"/>
      <c r="G60" s="738"/>
      <c r="H60" s="712" t="s">
        <v>912</v>
      </c>
      <c r="I60" s="738"/>
      <c r="J60" s="712" t="s">
        <v>913</v>
      </c>
      <c r="K60" s="737"/>
      <c r="L60" s="737"/>
      <c r="M60" s="738"/>
      <c r="N60" s="712" t="s">
        <v>1515</v>
      </c>
      <c r="O60" s="737"/>
      <c r="P60" s="737"/>
      <c r="Q60" s="738"/>
      <c r="R60" s="467"/>
    </row>
    <row r="61" spans="1:18" ht="11.85" customHeight="1">
      <c r="A61" s="577" t="s">
        <v>1516</v>
      </c>
      <c r="B61" s="702" t="s">
        <v>2723</v>
      </c>
      <c r="C61" s="731"/>
      <c r="D61" s="703"/>
      <c r="E61" s="702" t="s">
        <v>2724</v>
      </c>
      <c r="F61" s="731"/>
      <c r="G61" s="703"/>
      <c r="H61" s="702" t="s">
        <v>2724</v>
      </c>
      <c r="I61" s="703"/>
      <c r="J61" s="702" t="s">
        <v>2725</v>
      </c>
      <c r="K61" s="731"/>
      <c r="L61" s="731"/>
      <c r="M61" s="703"/>
      <c r="N61" s="702" t="s">
        <v>656</v>
      </c>
      <c r="O61" s="731"/>
      <c r="P61" s="731"/>
      <c r="Q61" s="703"/>
      <c r="R61" s="561"/>
    </row>
    <row r="62" spans="1:18" ht="11.85" customHeight="1">
      <c r="A62" s="574" t="s">
        <v>1517</v>
      </c>
      <c r="B62" s="710" t="s">
        <v>2726</v>
      </c>
      <c r="C62" s="718"/>
      <c r="D62" s="711"/>
      <c r="E62" s="710" t="s">
        <v>2727</v>
      </c>
      <c r="F62" s="718"/>
      <c r="G62" s="711"/>
      <c r="H62" s="710" t="s">
        <v>2727</v>
      </c>
      <c r="I62" s="711"/>
      <c r="J62" s="710" t="s">
        <v>2728</v>
      </c>
      <c r="K62" s="718"/>
      <c r="L62" s="718"/>
      <c r="M62" s="711"/>
      <c r="N62" s="710" t="s">
        <v>656</v>
      </c>
      <c r="O62" s="718"/>
      <c r="P62" s="718"/>
      <c r="Q62" s="711"/>
      <c r="R62" s="561"/>
    </row>
    <row r="63" spans="1:18" ht="11.85" customHeight="1">
      <c r="A63" s="574" t="s">
        <v>1518</v>
      </c>
      <c r="B63" s="710" t="s">
        <v>2729</v>
      </c>
      <c r="C63" s="718"/>
      <c r="D63" s="711"/>
      <c r="E63" s="710" t="s">
        <v>2730</v>
      </c>
      <c r="F63" s="718"/>
      <c r="G63" s="711"/>
      <c r="H63" s="710" t="s">
        <v>2730</v>
      </c>
      <c r="I63" s="711"/>
      <c r="J63" s="710" t="s">
        <v>2731</v>
      </c>
      <c r="K63" s="718"/>
      <c r="L63" s="718"/>
      <c r="M63" s="711"/>
      <c r="N63" s="710" t="s">
        <v>656</v>
      </c>
      <c r="O63" s="718"/>
      <c r="P63" s="718"/>
      <c r="Q63" s="711"/>
      <c r="R63" s="561"/>
    </row>
    <row r="64" spans="1:18" ht="11.1" customHeight="1">
      <c r="A64" s="574" t="s">
        <v>1519</v>
      </c>
      <c r="B64" s="710" t="s">
        <v>2732</v>
      </c>
      <c r="C64" s="718"/>
      <c r="D64" s="711"/>
      <c r="E64" s="710" t="s">
        <v>2733</v>
      </c>
      <c r="F64" s="718"/>
      <c r="G64" s="711"/>
      <c r="H64" s="710" t="s">
        <v>2733</v>
      </c>
      <c r="I64" s="711"/>
      <c r="J64" s="710" t="s">
        <v>2734</v>
      </c>
      <c r="K64" s="718"/>
      <c r="L64" s="718"/>
      <c r="M64" s="711"/>
      <c r="N64" s="710" t="s">
        <v>656</v>
      </c>
      <c r="O64" s="718"/>
      <c r="P64" s="718"/>
      <c r="Q64" s="711"/>
      <c r="R64" s="561"/>
    </row>
    <row r="65" spans="1:18" ht="11.85" customHeight="1">
      <c r="A65" s="574" t="s">
        <v>1520</v>
      </c>
      <c r="B65" s="710" t="s">
        <v>2735</v>
      </c>
      <c r="C65" s="718"/>
      <c r="D65" s="711"/>
      <c r="E65" s="710" t="s">
        <v>2736</v>
      </c>
      <c r="F65" s="718"/>
      <c r="G65" s="711"/>
      <c r="H65" s="710" t="s">
        <v>2736</v>
      </c>
      <c r="I65" s="711"/>
      <c r="J65" s="710" t="s">
        <v>2737</v>
      </c>
      <c r="K65" s="718"/>
      <c r="L65" s="718"/>
      <c r="M65" s="711"/>
      <c r="N65" s="710" t="s">
        <v>656</v>
      </c>
      <c r="O65" s="718"/>
      <c r="P65" s="718"/>
      <c r="Q65" s="711"/>
      <c r="R65" s="561"/>
    </row>
    <row r="66" spans="1:18" ht="11.85" customHeight="1">
      <c r="A66" s="574" t="s">
        <v>1521</v>
      </c>
      <c r="B66" s="710" t="s">
        <v>2738</v>
      </c>
      <c r="C66" s="718"/>
      <c r="D66" s="711"/>
      <c r="E66" s="710" t="s">
        <v>2739</v>
      </c>
      <c r="F66" s="718"/>
      <c r="G66" s="711"/>
      <c r="H66" s="710" t="s">
        <v>2739</v>
      </c>
      <c r="I66" s="711"/>
      <c r="J66" s="710" t="s">
        <v>2740</v>
      </c>
      <c r="K66" s="718"/>
      <c r="L66" s="718"/>
      <c r="M66" s="711"/>
      <c r="N66" s="710" t="s">
        <v>656</v>
      </c>
      <c r="O66" s="718"/>
      <c r="P66" s="718"/>
      <c r="Q66" s="711"/>
      <c r="R66" s="561"/>
    </row>
    <row r="67" spans="1:18" ht="11.85" customHeight="1">
      <c r="A67" s="574" t="s">
        <v>1522</v>
      </c>
      <c r="B67" s="710" t="s">
        <v>2741</v>
      </c>
      <c r="C67" s="718"/>
      <c r="D67" s="711"/>
      <c r="E67" s="710" t="s">
        <v>2742</v>
      </c>
      <c r="F67" s="718"/>
      <c r="G67" s="711"/>
      <c r="H67" s="710" t="s">
        <v>2742</v>
      </c>
      <c r="I67" s="711"/>
      <c r="J67" s="710" t="s">
        <v>2743</v>
      </c>
      <c r="K67" s="718"/>
      <c r="L67" s="718"/>
      <c r="M67" s="711"/>
      <c r="N67" s="710" t="s">
        <v>656</v>
      </c>
      <c r="O67" s="718"/>
      <c r="P67" s="718"/>
      <c r="Q67" s="711"/>
      <c r="R67" s="561"/>
    </row>
    <row r="68" spans="1:18" ht="11.1" customHeight="1">
      <c r="A68" s="574" t="s">
        <v>1523</v>
      </c>
      <c r="B68" s="710" t="s">
        <v>2744</v>
      </c>
      <c r="C68" s="718"/>
      <c r="D68" s="711"/>
      <c r="E68" s="710" t="s">
        <v>2745</v>
      </c>
      <c r="F68" s="718"/>
      <c r="G68" s="711"/>
      <c r="H68" s="710" t="s">
        <v>2745</v>
      </c>
      <c r="I68" s="711"/>
      <c r="J68" s="710" t="s">
        <v>2746</v>
      </c>
      <c r="K68" s="718"/>
      <c r="L68" s="718"/>
      <c r="M68" s="711"/>
      <c r="N68" s="710" t="s">
        <v>656</v>
      </c>
      <c r="O68" s="718"/>
      <c r="P68" s="718"/>
      <c r="Q68" s="711"/>
      <c r="R68" s="561"/>
    </row>
    <row r="69" spans="1:18" ht="11.85" customHeight="1">
      <c r="A69" s="574" t="s">
        <v>1524</v>
      </c>
      <c r="B69" s="710" t="s">
        <v>2747</v>
      </c>
      <c r="C69" s="718"/>
      <c r="D69" s="711"/>
      <c r="E69" s="710" t="s">
        <v>2748</v>
      </c>
      <c r="F69" s="718"/>
      <c r="G69" s="711"/>
      <c r="H69" s="710" t="s">
        <v>2748</v>
      </c>
      <c r="I69" s="711"/>
      <c r="J69" s="710" t="s">
        <v>2749</v>
      </c>
      <c r="K69" s="718"/>
      <c r="L69" s="718"/>
      <c r="M69" s="711"/>
      <c r="N69" s="710" t="s">
        <v>656</v>
      </c>
      <c r="O69" s="718"/>
      <c r="P69" s="718"/>
      <c r="Q69" s="711"/>
      <c r="R69" s="561"/>
    </row>
    <row r="70" spans="1:18" ht="11.85" customHeight="1">
      <c r="A70" s="575" t="s">
        <v>1525</v>
      </c>
      <c r="B70" s="728" t="s">
        <v>2750</v>
      </c>
      <c r="C70" s="730"/>
      <c r="D70" s="729"/>
      <c r="E70" s="728" t="s">
        <v>2751</v>
      </c>
      <c r="F70" s="730"/>
      <c r="G70" s="729"/>
      <c r="H70" s="728" t="s">
        <v>2751</v>
      </c>
      <c r="I70" s="729"/>
      <c r="J70" s="728" t="s">
        <v>2752</v>
      </c>
      <c r="K70" s="730"/>
      <c r="L70" s="730"/>
      <c r="M70" s="729"/>
      <c r="N70" s="728" t="s">
        <v>656</v>
      </c>
      <c r="O70" s="730"/>
      <c r="P70" s="730"/>
      <c r="Q70" s="729"/>
      <c r="R70" s="561"/>
    </row>
    <row r="71" spans="1:18" ht="11.85" customHeight="1">
      <c r="A71" s="500" t="s">
        <v>1526</v>
      </c>
      <c r="B71" s="761" t="s">
        <v>2753</v>
      </c>
      <c r="C71" s="763"/>
      <c r="D71" s="762"/>
      <c r="E71" s="761" t="s">
        <v>2754</v>
      </c>
      <c r="F71" s="763"/>
      <c r="G71" s="762"/>
      <c r="H71" s="761" t="s">
        <v>2754</v>
      </c>
      <c r="I71" s="762"/>
      <c r="J71" s="761" t="s">
        <v>2755</v>
      </c>
      <c r="K71" s="763"/>
      <c r="L71" s="763"/>
      <c r="M71" s="762"/>
      <c r="N71" s="761" t="s">
        <v>656</v>
      </c>
      <c r="O71" s="763"/>
      <c r="P71" s="763"/>
      <c r="Q71" s="762"/>
      <c r="R71" s="561"/>
    </row>
    <row r="72" spans="1:18" ht="11.1" customHeight="1">
      <c r="A72" s="468"/>
      <c r="B72" s="468"/>
      <c r="C72" s="468"/>
      <c r="D72" s="468"/>
      <c r="E72" s="468"/>
      <c r="F72" s="468"/>
      <c r="G72" s="468"/>
      <c r="H72" s="468"/>
      <c r="I72" s="468"/>
      <c r="J72" s="468"/>
      <c r="K72" s="468"/>
      <c r="L72" s="468"/>
      <c r="M72" s="468"/>
      <c r="N72" s="468"/>
      <c r="O72" s="468"/>
      <c r="P72" s="468"/>
      <c r="Q72" s="468"/>
    </row>
    <row r="73" spans="1:18" ht="11.85" customHeight="1">
      <c r="A73" s="769" t="s">
        <v>1527</v>
      </c>
      <c r="B73" s="770"/>
      <c r="C73" s="770"/>
      <c r="D73" s="770"/>
      <c r="E73" s="770"/>
      <c r="F73" s="770"/>
      <c r="G73" s="770"/>
      <c r="H73" s="770"/>
      <c r="I73" s="770"/>
      <c r="J73" s="770"/>
      <c r="K73" s="770"/>
      <c r="L73" s="770"/>
      <c r="M73" s="770"/>
      <c r="N73" s="770"/>
      <c r="O73" s="770"/>
      <c r="P73" s="770"/>
      <c r="Q73" s="771"/>
      <c r="R73" s="467"/>
    </row>
    <row r="74" spans="1:18" ht="34.700000000000003" customHeight="1">
      <c r="A74" s="547" t="s">
        <v>1528</v>
      </c>
      <c r="B74" s="712" t="s">
        <v>911</v>
      </c>
      <c r="C74" s="737"/>
      <c r="D74" s="738"/>
      <c r="E74" s="712" t="s">
        <v>912</v>
      </c>
      <c r="F74" s="737"/>
      <c r="G74" s="738"/>
      <c r="H74" s="712" t="s">
        <v>913</v>
      </c>
      <c r="I74" s="738"/>
      <c r="J74" s="712" t="s">
        <v>1529</v>
      </c>
      <c r="K74" s="737"/>
      <c r="L74" s="737"/>
      <c r="M74" s="738"/>
      <c r="N74" s="712" t="s">
        <v>1530</v>
      </c>
      <c r="O74" s="737"/>
      <c r="P74" s="737"/>
      <c r="Q74" s="738"/>
      <c r="R74" s="467"/>
    </row>
    <row r="75" spans="1:18" ht="11.85" customHeight="1">
      <c r="A75" s="577" t="s">
        <v>1531</v>
      </c>
      <c r="B75" s="702" t="s">
        <v>2724</v>
      </c>
      <c r="C75" s="731"/>
      <c r="D75" s="703"/>
      <c r="E75" s="702" t="s">
        <v>2724</v>
      </c>
      <c r="F75" s="731"/>
      <c r="G75" s="703"/>
      <c r="H75" s="702" t="s">
        <v>2725</v>
      </c>
      <c r="I75" s="703"/>
      <c r="J75" s="702" t="s">
        <v>656</v>
      </c>
      <c r="K75" s="731"/>
      <c r="L75" s="731"/>
      <c r="M75" s="703"/>
      <c r="N75" s="702" t="s">
        <v>656</v>
      </c>
      <c r="O75" s="731"/>
      <c r="P75" s="731"/>
      <c r="Q75" s="703"/>
      <c r="R75" s="561"/>
    </row>
    <row r="76" spans="1:18" ht="11.85" customHeight="1">
      <c r="A76" s="574" t="s">
        <v>1532</v>
      </c>
      <c r="B76" s="710" t="s">
        <v>1791</v>
      </c>
      <c r="C76" s="718"/>
      <c r="D76" s="711"/>
      <c r="E76" s="710" t="s">
        <v>1791</v>
      </c>
      <c r="F76" s="718"/>
      <c r="G76" s="711"/>
      <c r="H76" s="710" t="s">
        <v>2071</v>
      </c>
      <c r="I76" s="711"/>
      <c r="J76" s="710" t="s">
        <v>656</v>
      </c>
      <c r="K76" s="718"/>
      <c r="L76" s="718"/>
      <c r="M76" s="711"/>
      <c r="N76" s="710" t="s">
        <v>656</v>
      </c>
      <c r="O76" s="718"/>
      <c r="P76" s="718"/>
      <c r="Q76" s="711"/>
      <c r="R76" s="561"/>
    </row>
    <row r="77" spans="1:18" ht="11.85" customHeight="1">
      <c r="A77" s="574" t="s">
        <v>1533</v>
      </c>
      <c r="B77" s="710" t="s">
        <v>656</v>
      </c>
      <c r="C77" s="718"/>
      <c r="D77" s="711"/>
      <c r="E77" s="710" t="s">
        <v>656</v>
      </c>
      <c r="F77" s="718"/>
      <c r="G77" s="711"/>
      <c r="H77" s="710" t="s">
        <v>656</v>
      </c>
      <c r="I77" s="711"/>
      <c r="J77" s="710" t="s">
        <v>656</v>
      </c>
      <c r="K77" s="718"/>
      <c r="L77" s="718"/>
      <c r="M77" s="711"/>
      <c r="N77" s="710" t="s">
        <v>656</v>
      </c>
      <c r="O77" s="718"/>
      <c r="P77" s="718"/>
      <c r="Q77" s="711"/>
      <c r="R77" s="561"/>
    </row>
    <row r="78" spans="1:18" ht="11.1" customHeight="1">
      <c r="A78" s="574" t="s">
        <v>1534</v>
      </c>
      <c r="B78" s="710" t="s">
        <v>656</v>
      </c>
      <c r="C78" s="718"/>
      <c r="D78" s="711"/>
      <c r="E78" s="710" t="s">
        <v>656</v>
      </c>
      <c r="F78" s="718"/>
      <c r="G78" s="711"/>
      <c r="H78" s="710" t="s">
        <v>656</v>
      </c>
      <c r="I78" s="711"/>
      <c r="J78" s="710" t="s">
        <v>656</v>
      </c>
      <c r="K78" s="718"/>
      <c r="L78" s="718"/>
      <c r="M78" s="711"/>
      <c r="N78" s="710" t="s">
        <v>656</v>
      </c>
      <c r="O78" s="718"/>
      <c r="P78" s="718"/>
      <c r="Q78" s="711"/>
      <c r="R78" s="561"/>
    </row>
    <row r="79" spans="1:18" ht="11.85" customHeight="1">
      <c r="A79" s="574" t="s">
        <v>1535</v>
      </c>
      <c r="B79" s="710" t="s">
        <v>656</v>
      </c>
      <c r="C79" s="718"/>
      <c r="D79" s="711"/>
      <c r="E79" s="710" t="s">
        <v>656</v>
      </c>
      <c r="F79" s="718"/>
      <c r="G79" s="711"/>
      <c r="H79" s="710" t="s">
        <v>656</v>
      </c>
      <c r="I79" s="711"/>
      <c r="J79" s="710" t="s">
        <v>656</v>
      </c>
      <c r="K79" s="718"/>
      <c r="L79" s="718"/>
      <c r="M79" s="711"/>
      <c r="N79" s="710" t="s">
        <v>656</v>
      </c>
      <c r="O79" s="718"/>
      <c r="P79" s="718"/>
      <c r="Q79" s="711"/>
      <c r="R79" s="561"/>
    </row>
    <row r="80" spans="1:18" ht="11.85" customHeight="1">
      <c r="A80" s="567" t="s">
        <v>1536</v>
      </c>
      <c r="B80" s="728" t="s">
        <v>656</v>
      </c>
      <c r="C80" s="730"/>
      <c r="D80" s="729"/>
      <c r="E80" s="728" t="s">
        <v>656</v>
      </c>
      <c r="F80" s="730"/>
      <c r="G80" s="729"/>
      <c r="H80" s="728" t="s">
        <v>656</v>
      </c>
      <c r="I80" s="729"/>
      <c r="J80" s="728" t="s">
        <v>656</v>
      </c>
      <c r="K80" s="730"/>
      <c r="L80" s="730"/>
      <c r="M80" s="729"/>
      <c r="N80" s="728" t="s">
        <v>656</v>
      </c>
      <c r="O80" s="730"/>
      <c r="P80" s="730"/>
      <c r="Q80" s="729"/>
      <c r="R80" s="561"/>
    </row>
    <row r="81" spans="1:18" ht="11.85" customHeight="1">
      <c r="A81" s="469"/>
      <c r="B81" s="469"/>
      <c r="C81" s="469"/>
      <c r="D81" s="469"/>
      <c r="E81" s="469"/>
      <c r="F81" s="469"/>
      <c r="G81" s="469"/>
      <c r="H81" s="469"/>
      <c r="I81" s="469"/>
      <c r="J81" s="469"/>
      <c r="K81" s="469"/>
      <c r="L81" s="469"/>
      <c r="M81" s="469"/>
      <c r="N81" s="469"/>
      <c r="O81" s="469"/>
      <c r="P81" s="469"/>
      <c r="Q81" s="469"/>
    </row>
    <row r="82" spans="1:18" ht="11.1" customHeight="1"/>
    <row r="83" spans="1:18" ht="11.85" customHeight="1">
      <c r="A83" s="963" t="s">
        <v>2720</v>
      </c>
      <c r="B83" s="963"/>
      <c r="C83" s="963"/>
      <c r="D83" s="963"/>
      <c r="E83" s="963"/>
      <c r="F83" s="963"/>
      <c r="G83" s="963"/>
      <c r="H83" s="963"/>
      <c r="I83" s="963"/>
      <c r="J83" s="963"/>
      <c r="K83" s="963"/>
      <c r="L83" s="963"/>
      <c r="M83" s="963"/>
      <c r="N83" s="963"/>
      <c r="O83" s="963"/>
      <c r="P83" s="963"/>
      <c r="Q83" s="963"/>
    </row>
    <row r="84" spans="1:18" ht="11.85" customHeight="1">
      <c r="A84" s="717" t="s">
        <v>661</v>
      </c>
      <c r="B84" s="717"/>
      <c r="C84" s="717"/>
      <c r="Q84" s="562" t="s">
        <v>937</v>
      </c>
    </row>
    <row r="85" spans="1:18" ht="11.1" customHeight="1">
      <c r="A85" s="717" t="s">
        <v>888</v>
      </c>
      <c r="B85" s="717"/>
      <c r="C85" s="717"/>
    </row>
    <row r="86" spans="1:18" ht="11.85" customHeight="1">
      <c r="A86" s="740" t="s">
        <v>1472</v>
      </c>
      <c r="B86" s="740"/>
      <c r="C86" s="740"/>
      <c r="D86" s="740"/>
      <c r="E86" s="740"/>
      <c r="F86" s="740"/>
      <c r="G86" s="740"/>
      <c r="H86" s="740"/>
      <c r="I86" s="740"/>
      <c r="J86" s="740"/>
      <c r="K86" s="740"/>
      <c r="L86" s="740"/>
    </row>
    <row r="87" spans="1:18" ht="11.85" customHeight="1">
      <c r="A87" s="717" t="s">
        <v>890</v>
      </c>
      <c r="B87" s="717"/>
      <c r="C87" s="717"/>
    </row>
    <row r="88" spans="1:18" ht="11.85" customHeight="1">
      <c r="A88" s="717" t="s">
        <v>1744</v>
      </c>
      <c r="B88" s="717"/>
      <c r="C88" s="717"/>
    </row>
    <row r="89" spans="1:18" ht="5.85" customHeight="1"/>
    <row r="90" spans="1:18" ht="11.1" customHeight="1">
      <c r="A90" s="741" t="s">
        <v>1473</v>
      </c>
      <c r="B90" s="741"/>
      <c r="C90" s="741"/>
      <c r="D90" s="466"/>
      <c r="E90" s="466"/>
      <c r="F90" s="466"/>
      <c r="G90" s="466"/>
      <c r="H90" s="466"/>
      <c r="I90" s="466"/>
      <c r="J90" s="466"/>
      <c r="K90" s="466"/>
      <c r="L90" s="745" t="s">
        <v>702</v>
      </c>
      <c r="M90" s="745"/>
      <c r="N90" s="745"/>
      <c r="O90" s="745"/>
      <c r="P90" s="745"/>
      <c r="Q90" s="745"/>
    </row>
    <row r="91" spans="1:18" ht="29.65" customHeight="1">
      <c r="A91" s="547" t="s">
        <v>1537</v>
      </c>
      <c r="B91" s="712" t="s">
        <v>1538</v>
      </c>
      <c r="C91" s="737"/>
      <c r="D91" s="737"/>
      <c r="E91" s="738"/>
      <c r="F91" s="712" t="s">
        <v>1539</v>
      </c>
      <c r="G91" s="737"/>
      <c r="H91" s="738"/>
      <c r="I91" s="712" t="s">
        <v>1540</v>
      </c>
      <c r="J91" s="737"/>
      <c r="K91" s="737"/>
      <c r="L91" s="737"/>
      <c r="M91" s="737"/>
      <c r="N91" s="738"/>
      <c r="O91" s="712" t="s">
        <v>1541</v>
      </c>
      <c r="P91" s="737"/>
      <c r="Q91" s="738"/>
      <c r="R91" s="467"/>
    </row>
    <row r="92" spans="1:18" ht="11.1" customHeight="1">
      <c r="A92" s="577" t="s">
        <v>1542</v>
      </c>
      <c r="B92" s="702" t="s">
        <v>2756</v>
      </c>
      <c r="C92" s="731"/>
      <c r="D92" s="731"/>
      <c r="E92" s="703"/>
      <c r="F92" s="702" t="s">
        <v>2724</v>
      </c>
      <c r="G92" s="731"/>
      <c r="H92" s="703"/>
      <c r="I92" s="702" t="s">
        <v>2724</v>
      </c>
      <c r="J92" s="731"/>
      <c r="K92" s="731"/>
      <c r="L92" s="731"/>
      <c r="M92" s="731"/>
      <c r="N92" s="703"/>
      <c r="O92" s="702">
        <v>81.97</v>
      </c>
      <c r="P92" s="731"/>
      <c r="Q92" s="703"/>
      <c r="R92" s="561"/>
    </row>
    <row r="93" spans="1:18" ht="11.85" customHeight="1">
      <c r="A93" s="574" t="s">
        <v>1543</v>
      </c>
      <c r="B93" s="710" t="s">
        <v>656</v>
      </c>
      <c r="C93" s="718"/>
      <c r="D93" s="718"/>
      <c r="E93" s="711"/>
      <c r="F93" s="710" t="s">
        <v>656</v>
      </c>
      <c r="G93" s="718"/>
      <c r="H93" s="711"/>
      <c r="I93" s="710" t="s">
        <v>656</v>
      </c>
      <c r="J93" s="718"/>
      <c r="K93" s="718"/>
      <c r="L93" s="718"/>
      <c r="M93" s="718"/>
      <c r="N93" s="711"/>
      <c r="O93" s="710" t="s">
        <v>656</v>
      </c>
      <c r="P93" s="718"/>
      <c r="Q93" s="711"/>
      <c r="R93" s="561"/>
    </row>
    <row r="94" spans="1:18" ht="11.85" customHeight="1">
      <c r="A94" s="567" t="s">
        <v>1544</v>
      </c>
      <c r="B94" s="728" t="s">
        <v>656</v>
      </c>
      <c r="C94" s="730"/>
      <c r="D94" s="730"/>
      <c r="E94" s="729"/>
      <c r="F94" s="728" t="s">
        <v>656</v>
      </c>
      <c r="G94" s="730"/>
      <c r="H94" s="729"/>
      <c r="I94" s="728" t="s">
        <v>656</v>
      </c>
      <c r="J94" s="730"/>
      <c r="K94" s="730"/>
      <c r="L94" s="730"/>
      <c r="M94" s="730"/>
      <c r="N94" s="729"/>
      <c r="O94" s="728" t="s">
        <v>656</v>
      </c>
      <c r="P94" s="730"/>
      <c r="Q94" s="729"/>
      <c r="R94" s="561"/>
    </row>
    <row r="95" spans="1:18" ht="11.85" customHeight="1">
      <c r="A95" s="468"/>
      <c r="B95" s="468"/>
      <c r="C95" s="468"/>
      <c r="D95" s="468"/>
      <c r="E95" s="468"/>
      <c r="F95" s="468"/>
      <c r="G95" s="468"/>
      <c r="H95" s="468"/>
      <c r="I95" s="468"/>
      <c r="J95" s="468"/>
      <c r="K95" s="468"/>
      <c r="L95" s="468"/>
      <c r="M95" s="468"/>
      <c r="N95" s="468"/>
      <c r="O95" s="468"/>
      <c r="P95" s="468"/>
      <c r="Q95" s="468"/>
    </row>
    <row r="96" spans="1:18" ht="28.9" customHeight="1">
      <c r="A96" s="547" t="s">
        <v>1545</v>
      </c>
      <c r="B96" s="712" t="s">
        <v>1546</v>
      </c>
      <c r="C96" s="737"/>
      <c r="D96" s="737"/>
      <c r="E96" s="738"/>
      <c r="F96" s="712" t="s">
        <v>1547</v>
      </c>
      <c r="G96" s="737"/>
      <c r="H96" s="738"/>
      <c r="I96" s="712" t="s">
        <v>1548</v>
      </c>
      <c r="J96" s="737"/>
      <c r="K96" s="737"/>
      <c r="L96" s="737"/>
      <c r="M96" s="737"/>
      <c r="N96" s="738"/>
      <c r="O96" s="712" t="s">
        <v>1549</v>
      </c>
      <c r="P96" s="737"/>
      <c r="Q96" s="738"/>
      <c r="R96" s="467"/>
    </row>
    <row r="97" spans="1:18" ht="11.85" customHeight="1">
      <c r="A97" s="597" t="s">
        <v>1550</v>
      </c>
      <c r="B97" s="719" t="s">
        <v>2757</v>
      </c>
      <c r="C97" s="721"/>
      <c r="D97" s="721"/>
      <c r="E97" s="720"/>
      <c r="F97" s="719" t="s">
        <v>2758</v>
      </c>
      <c r="G97" s="721"/>
      <c r="H97" s="720"/>
      <c r="I97" s="719" t="s">
        <v>2758</v>
      </c>
      <c r="J97" s="721"/>
      <c r="K97" s="721"/>
      <c r="L97" s="721"/>
      <c r="M97" s="721"/>
      <c r="N97" s="720"/>
      <c r="O97" s="719">
        <v>-17.600000000000001</v>
      </c>
      <c r="P97" s="721"/>
      <c r="Q97" s="720"/>
      <c r="R97" s="561"/>
    </row>
    <row r="98" spans="1:18" ht="11.85" customHeight="1">
      <c r="A98" s="468"/>
      <c r="B98" s="468"/>
      <c r="C98" s="468"/>
      <c r="D98" s="468"/>
      <c r="E98" s="468"/>
      <c r="F98" s="468"/>
      <c r="G98" s="468"/>
      <c r="H98" s="468"/>
      <c r="I98" s="468"/>
      <c r="J98" s="468"/>
      <c r="K98" s="468"/>
      <c r="L98" s="468"/>
      <c r="M98" s="468"/>
      <c r="N98" s="468"/>
      <c r="O98" s="468"/>
      <c r="P98" s="468"/>
      <c r="Q98" s="468"/>
    </row>
    <row r="99" spans="1:18" ht="46.7" customHeight="1">
      <c r="A99" s="547" t="s">
        <v>1551</v>
      </c>
      <c r="B99" s="548" t="s">
        <v>1552</v>
      </c>
      <c r="C99" s="712" t="s">
        <v>1553</v>
      </c>
      <c r="D99" s="737"/>
      <c r="E99" s="737"/>
      <c r="F99" s="738"/>
      <c r="G99" s="712" t="s">
        <v>1554</v>
      </c>
      <c r="H99" s="738"/>
      <c r="I99" s="712" t="s">
        <v>1555</v>
      </c>
      <c r="J99" s="738"/>
      <c r="K99" s="712" t="s">
        <v>1556</v>
      </c>
      <c r="L99" s="737"/>
      <c r="M99" s="737"/>
      <c r="N99" s="737"/>
      <c r="O99" s="738"/>
      <c r="P99" s="712" t="s">
        <v>1557</v>
      </c>
      <c r="Q99" s="738"/>
      <c r="R99" s="467"/>
    </row>
    <row r="100" spans="1:18" ht="11.1" customHeight="1">
      <c r="A100" s="577" t="s">
        <v>1558</v>
      </c>
      <c r="B100" s="556" t="s">
        <v>656</v>
      </c>
      <c r="C100" s="702" t="s">
        <v>656</v>
      </c>
      <c r="D100" s="731"/>
      <c r="E100" s="731"/>
      <c r="F100" s="703"/>
      <c r="G100" s="702" t="s">
        <v>656</v>
      </c>
      <c r="H100" s="703"/>
      <c r="I100" s="702" t="s">
        <v>656</v>
      </c>
      <c r="J100" s="703"/>
      <c r="K100" s="702" t="s">
        <v>656</v>
      </c>
      <c r="L100" s="731"/>
      <c r="M100" s="731"/>
      <c r="N100" s="731"/>
      <c r="O100" s="703"/>
      <c r="P100" s="702" t="s">
        <v>656</v>
      </c>
      <c r="Q100" s="703"/>
      <c r="R100" s="561"/>
    </row>
    <row r="101" spans="1:18" ht="11.85" customHeight="1">
      <c r="A101" s="574" t="s">
        <v>1559</v>
      </c>
      <c r="B101" s="555" t="s">
        <v>656</v>
      </c>
      <c r="C101" s="710" t="s">
        <v>656</v>
      </c>
      <c r="D101" s="718"/>
      <c r="E101" s="718"/>
      <c r="F101" s="711"/>
      <c r="G101" s="710" t="s">
        <v>656</v>
      </c>
      <c r="H101" s="711"/>
      <c r="I101" s="710" t="s">
        <v>656</v>
      </c>
      <c r="J101" s="711"/>
      <c r="K101" s="710" t="s">
        <v>656</v>
      </c>
      <c r="L101" s="718"/>
      <c r="M101" s="718"/>
      <c r="N101" s="718"/>
      <c r="O101" s="711"/>
      <c r="P101" s="710" t="s">
        <v>656</v>
      </c>
      <c r="Q101" s="711"/>
      <c r="R101" s="561"/>
    </row>
    <row r="102" spans="1:18" ht="11.85" customHeight="1">
      <c r="A102" s="567" t="s">
        <v>1560</v>
      </c>
      <c r="B102" s="557" t="s">
        <v>656</v>
      </c>
      <c r="C102" s="728" t="s">
        <v>656</v>
      </c>
      <c r="D102" s="730"/>
      <c r="E102" s="730"/>
      <c r="F102" s="729"/>
      <c r="G102" s="728" t="s">
        <v>656</v>
      </c>
      <c r="H102" s="729"/>
      <c r="I102" s="728" t="s">
        <v>656</v>
      </c>
      <c r="J102" s="729"/>
      <c r="K102" s="728" t="s">
        <v>656</v>
      </c>
      <c r="L102" s="730"/>
      <c r="M102" s="730"/>
      <c r="N102" s="730"/>
      <c r="O102" s="729"/>
      <c r="P102" s="728" t="s">
        <v>656</v>
      </c>
      <c r="Q102" s="729"/>
      <c r="R102" s="561"/>
    </row>
    <row r="103" spans="1:18" ht="11.85" customHeight="1">
      <c r="A103" s="468"/>
      <c r="B103" s="468"/>
      <c r="C103" s="468"/>
      <c r="D103" s="468"/>
      <c r="E103" s="468"/>
      <c r="F103" s="468"/>
      <c r="G103" s="468"/>
      <c r="H103" s="468"/>
      <c r="I103" s="468"/>
      <c r="J103" s="468"/>
      <c r="K103" s="468"/>
      <c r="L103" s="468"/>
      <c r="M103" s="468"/>
      <c r="N103" s="468"/>
      <c r="O103" s="468"/>
      <c r="P103" s="468"/>
      <c r="Q103" s="468"/>
    </row>
    <row r="104" spans="1:18" ht="11.1" customHeight="1">
      <c r="A104" s="769" t="s">
        <v>1561</v>
      </c>
      <c r="B104" s="770"/>
      <c r="C104" s="770"/>
      <c r="D104" s="770"/>
      <c r="E104" s="770"/>
      <c r="F104" s="770"/>
      <c r="G104" s="770"/>
      <c r="H104" s="770"/>
      <c r="I104" s="770"/>
      <c r="J104" s="770"/>
      <c r="K104" s="770"/>
      <c r="L104" s="770"/>
      <c r="M104" s="770"/>
      <c r="N104" s="770"/>
      <c r="O104" s="770"/>
      <c r="P104" s="770"/>
      <c r="Q104" s="771"/>
      <c r="R104" s="467"/>
    </row>
    <row r="105" spans="1:18" ht="35.450000000000003" customHeight="1">
      <c r="A105" s="548" t="s">
        <v>1562</v>
      </c>
      <c r="B105" s="712" t="s">
        <v>910</v>
      </c>
      <c r="C105" s="737"/>
      <c r="D105" s="738"/>
      <c r="E105" s="712" t="s">
        <v>911</v>
      </c>
      <c r="F105" s="737"/>
      <c r="G105" s="738"/>
      <c r="H105" s="712" t="s">
        <v>912</v>
      </c>
      <c r="I105" s="738"/>
      <c r="J105" s="712" t="s">
        <v>913</v>
      </c>
      <c r="K105" s="737"/>
      <c r="L105" s="737"/>
      <c r="M105" s="738"/>
      <c r="N105" s="712" t="s">
        <v>1515</v>
      </c>
      <c r="O105" s="737"/>
      <c r="P105" s="737"/>
      <c r="Q105" s="738"/>
      <c r="R105" s="467"/>
    </row>
    <row r="106" spans="1:18" ht="11.1" customHeight="1">
      <c r="A106" s="577" t="s">
        <v>1563</v>
      </c>
      <c r="B106" s="702" t="s">
        <v>2759</v>
      </c>
      <c r="C106" s="731"/>
      <c r="D106" s="703"/>
      <c r="E106" s="702" t="s">
        <v>2760</v>
      </c>
      <c r="F106" s="731"/>
      <c r="G106" s="703"/>
      <c r="H106" s="702" t="s">
        <v>2761</v>
      </c>
      <c r="I106" s="703"/>
      <c r="J106" s="702" t="s">
        <v>2762</v>
      </c>
      <c r="K106" s="731"/>
      <c r="L106" s="731"/>
      <c r="M106" s="703"/>
      <c r="N106" s="702" t="s">
        <v>656</v>
      </c>
      <c r="O106" s="731"/>
      <c r="P106" s="731"/>
      <c r="Q106" s="703"/>
      <c r="R106" s="561"/>
    </row>
    <row r="107" spans="1:18" ht="11.85" customHeight="1">
      <c r="A107" s="574" t="s">
        <v>1564</v>
      </c>
      <c r="B107" s="710" t="s">
        <v>2763</v>
      </c>
      <c r="C107" s="718"/>
      <c r="D107" s="711"/>
      <c r="E107" s="710" t="s">
        <v>2764</v>
      </c>
      <c r="F107" s="718"/>
      <c r="G107" s="711"/>
      <c r="H107" s="710" t="s">
        <v>2765</v>
      </c>
      <c r="I107" s="711"/>
      <c r="J107" s="710" t="s">
        <v>2766</v>
      </c>
      <c r="K107" s="718"/>
      <c r="L107" s="718"/>
      <c r="M107" s="711"/>
      <c r="N107" s="710" t="s">
        <v>656</v>
      </c>
      <c r="O107" s="718"/>
      <c r="P107" s="718"/>
      <c r="Q107" s="711"/>
      <c r="R107" s="561"/>
    </row>
    <row r="108" spans="1:18" ht="11.85" customHeight="1">
      <c r="A108" s="574" t="s">
        <v>1565</v>
      </c>
      <c r="B108" s="710" t="s">
        <v>1566</v>
      </c>
      <c r="C108" s="718"/>
      <c r="D108" s="711"/>
      <c r="E108" s="710" t="s">
        <v>2767</v>
      </c>
      <c r="F108" s="718"/>
      <c r="G108" s="711"/>
      <c r="H108" s="710" t="s">
        <v>2767</v>
      </c>
      <c r="I108" s="711"/>
      <c r="J108" s="710" t="s">
        <v>2768</v>
      </c>
      <c r="K108" s="718"/>
      <c r="L108" s="718"/>
      <c r="M108" s="711"/>
      <c r="N108" s="710" t="s">
        <v>656</v>
      </c>
      <c r="O108" s="718"/>
      <c r="P108" s="718"/>
      <c r="Q108" s="711"/>
      <c r="R108" s="561"/>
    </row>
    <row r="109" spans="1:18" ht="11.85" customHeight="1">
      <c r="A109" s="575" t="s">
        <v>1567</v>
      </c>
      <c r="B109" s="728" t="s">
        <v>2769</v>
      </c>
      <c r="C109" s="730"/>
      <c r="D109" s="729"/>
      <c r="E109" s="728" t="s">
        <v>2770</v>
      </c>
      <c r="F109" s="730"/>
      <c r="G109" s="729"/>
      <c r="H109" s="728" t="s">
        <v>2771</v>
      </c>
      <c r="I109" s="729"/>
      <c r="J109" s="728" t="s">
        <v>2772</v>
      </c>
      <c r="K109" s="730"/>
      <c r="L109" s="730"/>
      <c r="M109" s="729"/>
      <c r="N109" s="728" t="s">
        <v>656</v>
      </c>
      <c r="O109" s="730"/>
      <c r="P109" s="730"/>
      <c r="Q109" s="729"/>
      <c r="R109" s="561"/>
    </row>
    <row r="110" spans="1:18" ht="11.1" customHeight="1">
      <c r="A110" s="500" t="s">
        <v>1568</v>
      </c>
      <c r="B110" s="761" t="s">
        <v>2773</v>
      </c>
      <c r="C110" s="763"/>
      <c r="D110" s="762"/>
      <c r="E110" s="761" t="s">
        <v>1786</v>
      </c>
      <c r="F110" s="763"/>
      <c r="G110" s="762"/>
      <c r="H110" s="761" t="s">
        <v>2000</v>
      </c>
      <c r="I110" s="762"/>
      <c r="J110" s="761" t="s">
        <v>2067</v>
      </c>
      <c r="K110" s="763"/>
      <c r="L110" s="763"/>
      <c r="M110" s="762"/>
      <c r="N110" s="761" t="s">
        <v>656</v>
      </c>
      <c r="O110" s="763"/>
      <c r="P110" s="763"/>
      <c r="Q110" s="762"/>
      <c r="R110" s="561"/>
    </row>
    <row r="111" spans="1:18" ht="17.850000000000001" customHeight="1">
      <c r="A111" s="769" t="s">
        <v>1569</v>
      </c>
      <c r="B111" s="770"/>
      <c r="C111" s="770"/>
      <c r="D111" s="770"/>
      <c r="E111" s="770"/>
      <c r="F111" s="770"/>
      <c r="G111" s="770"/>
      <c r="H111" s="770"/>
      <c r="I111" s="770"/>
      <c r="J111" s="770"/>
      <c r="K111" s="770"/>
      <c r="L111" s="770"/>
      <c r="M111" s="771"/>
      <c r="N111" s="769" t="s">
        <v>797</v>
      </c>
      <c r="O111" s="770"/>
      <c r="P111" s="770"/>
      <c r="Q111" s="771"/>
      <c r="R111" s="467"/>
    </row>
    <row r="112" spans="1:18" ht="11.85" customHeight="1">
      <c r="A112" s="880" t="s">
        <v>1570</v>
      </c>
      <c r="B112" s="881"/>
      <c r="C112" s="881"/>
      <c r="D112" s="881"/>
      <c r="E112" s="881"/>
      <c r="F112" s="881"/>
      <c r="G112" s="881"/>
      <c r="H112" s="881"/>
      <c r="I112" s="881"/>
      <c r="J112" s="881"/>
      <c r="K112" s="881"/>
      <c r="L112" s="881"/>
      <c r="M112" s="882"/>
      <c r="N112" s="702" t="s">
        <v>2774</v>
      </c>
      <c r="O112" s="731"/>
      <c r="P112" s="731"/>
      <c r="Q112" s="703"/>
      <c r="R112" s="561"/>
    </row>
    <row r="113" spans="1:18" ht="11.1" customHeight="1">
      <c r="A113" s="894" t="s">
        <v>1571</v>
      </c>
      <c r="B113" s="901"/>
      <c r="C113" s="901"/>
      <c r="D113" s="901"/>
      <c r="E113" s="901"/>
      <c r="F113" s="901"/>
      <c r="G113" s="901"/>
      <c r="H113" s="901"/>
      <c r="I113" s="901"/>
      <c r="J113" s="901"/>
      <c r="K113" s="901"/>
      <c r="L113" s="901"/>
      <c r="M113" s="895"/>
      <c r="N113" s="710" t="s">
        <v>2722</v>
      </c>
      <c r="O113" s="718"/>
      <c r="P113" s="718"/>
      <c r="Q113" s="711"/>
      <c r="R113" s="561"/>
    </row>
    <row r="114" spans="1:18" ht="11.85" customHeight="1">
      <c r="A114" s="894" t="s">
        <v>1572</v>
      </c>
      <c r="B114" s="901"/>
      <c r="C114" s="901"/>
      <c r="D114" s="901"/>
      <c r="E114" s="901"/>
      <c r="F114" s="901"/>
      <c r="G114" s="901"/>
      <c r="H114" s="901"/>
      <c r="I114" s="901"/>
      <c r="J114" s="901"/>
      <c r="K114" s="901"/>
      <c r="L114" s="901"/>
      <c r="M114" s="895"/>
      <c r="N114" s="710" t="s">
        <v>656</v>
      </c>
      <c r="O114" s="718"/>
      <c r="P114" s="718"/>
      <c r="Q114" s="711"/>
      <c r="R114" s="561"/>
    </row>
    <row r="115" spans="1:18" ht="11.85" customHeight="1">
      <c r="A115" s="894" t="s">
        <v>1573</v>
      </c>
      <c r="B115" s="901"/>
      <c r="C115" s="901"/>
      <c r="D115" s="901"/>
      <c r="E115" s="901"/>
      <c r="F115" s="901"/>
      <c r="G115" s="901"/>
      <c r="H115" s="901"/>
      <c r="I115" s="901"/>
      <c r="J115" s="901"/>
      <c r="K115" s="901"/>
      <c r="L115" s="901"/>
      <c r="M115" s="895"/>
      <c r="N115" s="710" t="s">
        <v>656</v>
      </c>
      <c r="O115" s="718"/>
      <c r="P115" s="718"/>
      <c r="Q115" s="711"/>
      <c r="R115" s="561"/>
    </row>
    <row r="116" spans="1:18" ht="11.85" customHeight="1">
      <c r="A116" s="886" t="s">
        <v>1574</v>
      </c>
      <c r="B116" s="932"/>
      <c r="C116" s="932"/>
      <c r="D116" s="932"/>
      <c r="E116" s="932"/>
      <c r="F116" s="932"/>
      <c r="G116" s="932"/>
      <c r="H116" s="932"/>
      <c r="I116" s="932"/>
      <c r="J116" s="932"/>
      <c r="K116" s="932"/>
      <c r="L116" s="932"/>
      <c r="M116" s="887"/>
      <c r="N116" s="728" t="s">
        <v>2775</v>
      </c>
      <c r="O116" s="730"/>
      <c r="P116" s="730"/>
      <c r="Q116" s="729"/>
      <c r="R116" s="561"/>
    </row>
    <row r="117" spans="1:18" ht="11.1" customHeight="1">
      <c r="A117" s="967" t="s">
        <v>1575</v>
      </c>
      <c r="B117" s="968"/>
      <c r="C117" s="968"/>
      <c r="D117" s="968"/>
      <c r="E117" s="968"/>
      <c r="F117" s="968"/>
      <c r="G117" s="968"/>
      <c r="H117" s="968"/>
      <c r="I117" s="968"/>
      <c r="J117" s="968"/>
      <c r="K117" s="968"/>
      <c r="L117" s="968"/>
      <c r="M117" s="969"/>
      <c r="N117" s="761" t="s">
        <v>2776</v>
      </c>
      <c r="O117" s="763"/>
      <c r="P117" s="763"/>
      <c r="Q117" s="762"/>
      <c r="R117" s="561"/>
    </row>
    <row r="118" spans="1:18" ht="11.85" customHeight="1">
      <c r="A118" s="468"/>
      <c r="B118" s="468"/>
      <c r="C118" s="468"/>
      <c r="D118" s="468"/>
      <c r="E118" s="468"/>
      <c r="F118" s="468"/>
      <c r="G118" s="468"/>
      <c r="H118" s="468"/>
      <c r="I118" s="468"/>
      <c r="J118" s="468"/>
      <c r="K118" s="468"/>
      <c r="L118" s="468"/>
      <c r="M118" s="468"/>
      <c r="N118" s="468"/>
      <c r="O118" s="468"/>
      <c r="P118" s="468"/>
      <c r="Q118" s="468"/>
    </row>
    <row r="119" spans="1:18" ht="17.850000000000001" customHeight="1">
      <c r="A119" s="547" t="s">
        <v>1576</v>
      </c>
      <c r="B119" s="712" t="s">
        <v>1577</v>
      </c>
      <c r="C119" s="737"/>
      <c r="D119" s="737"/>
      <c r="E119" s="737"/>
      <c r="F119" s="737"/>
      <c r="G119" s="738"/>
      <c r="H119" s="712" t="s">
        <v>1578</v>
      </c>
      <c r="I119" s="737"/>
      <c r="J119" s="737"/>
      <c r="K119" s="737"/>
      <c r="L119" s="737"/>
      <c r="M119" s="738"/>
      <c r="N119" s="712" t="s">
        <v>1579</v>
      </c>
      <c r="O119" s="737"/>
      <c r="P119" s="737"/>
      <c r="Q119" s="738"/>
      <c r="R119" s="467"/>
    </row>
    <row r="120" spans="1:18" ht="11.85" customHeight="1">
      <c r="A120" s="597" t="s">
        <v>1580</v>
      </c>
      <c r="B120" s="719" t="s">
        <v>2777</v>
      </c>
      <c r="C120" s="721"/>
      <c r="D120" s="721"/>
      <c r="E120" s="721"/>
      <c r="F120" s="721"/>
      <c r="G120" s="720"/>
      <c r="H120" s="719" t="s">
        <v>2776</v>
      </c>
      <c r="I120" s="721"/>
      <c r="J120" s="721"/>
      <c r="K120" s="721"/>
      <c r="L120" s="721"/>
      <c r="M120" s="720"/>
      <c r="N120" s="719">
        <v>26.01</v>
      </c>
      <c r="O120" s="721"/>
      <c r="P120" s="721"/>
      <c r="Q120" s="720"/>
      <c r="R120" s="561"/>
    </row>
    <row r="121" spans="1:18" ht="11.1" customHeight="1">
      <c r="A121" s="469"/>
      <c r="B121" s="469"/>
      <c r="C121" s="469"/>
      <c r="D121" s="469"/>
      <c r="E121" s="469"/>
      <c r="F121" s="469"/>
      <c r="G121" s="469"/>
      <c r="H121" s="469"/>
      <c r="I121" s="469"/>
      <c r="J121" s="469"/>
      <c r="K121" s="469"/>
      <c r="L121" s="469"/>
      <c r="M121" s="469"/>
      <c r="N121" s="469"/>
      <c r="O121" s="469"/>
      <c r="P121" s="469"/>
      <c r="Q121" s="469"/>
    </row>
    <row r="122" spans="1:18" ht="11.85" customHeight="1">
      <c r="A122" s="963" t="s">
        <v>2720</v>
      </c>
      <c r="B122" s="963"/>
      <c r="C122" s="963"/>
      <c r="D122" s="963"/>
      <c r="E122" s="963"/>
      <c r="F122" s="963"/>
      <c r="G122" s="963"/>
      <c r="H122" s="963"/>
      <c r="I122" s="963"/>
      <c r="J122" s="963"/>
      <c r="K122" s="963"/>
      <c r="L122" s="963"/>
      <c r="M122" s="963"/>
      <c r="N122" s="963"/>
      <c r="O122" s="963"/>
      <c r="P122" s="963"/>
      <c r="Q122" s="963"/>
    </row>
    <row r="123" spans="1:18" ht="11.85" customHeight="1">
      <c r="A123" s="717" t="s">
        <v>661</v>
      </c>
      <c r="B123" s="717"/>
      <c r="C123" s="717"/>
      <c r="Q123" s="562" t="s">
        <v>947</v>
      </c>
    </row>
    <row r="124" spans="1:18" ht="11.1" customHeight="1">
      <c r="A124" s="717" t="s">
        <v>888</v>
      </c>
      <c r="B124" s="717"/>
      <c r="C124" s="717"/>
    </row>
    <row r="125" spans="1:18" ht="11.85" customHeight="1">
      <c r="A125" s="740" t="s">
        <v>1472</v>
      </c>
      <c r="B125" s="740"/>
      <c r="C125" s="740"/>
      <c r="D125" s="740"/>
      <c r="E125" s="740"/>
      <c r="F125" s="740"/>
      <c r="G125" s="740"/>
      <c r="H125" s="740"/>
      <c r="I125" s="740"/>
      <c r="J125" s="740"/>
      <c r="K125" s="740"/>
      <c r="L125" s="740"/>
    </row>
    <row r="126" spans="1:18" ht="11.85" customHeight="1">
      <c r="A126" s="717" t="s">
        <v>890</v>
      </c>
      <c r="B126" s="717"/>
      <c r="C126" s="717"/>
    </row>
    <row r="127" spans="1:18" ht="11.85" customHeight="1">
      <c r="A127" s="717" t="s">
        <v>1744</v>
      </c>
      <c r="B127" s="717"/>
      <c r="C127" s="717"/>
    </row>
    <row r="128" spans="1:18" ht="5.85" customHeight="1"/>
    <row r="129" spans="1:18" ht="11.1" customHeight="1">
      <c r="A129" s="741" t="s">
        <v>1473</v>
      </c>
      <c r="B129" s="741"/>
      <c r="C129" s="741"/>
      <c r="D129" s="466"/>
      <c r="E129" s="466"/>
      <c r="F129" s="466"/>
      <c r="G129" s="466"/>
      <c r="H129" s="466"/>
      <c r="I129" s="466"/>
      <c r="J129" s="466"/>
      <c r="K129" s="466"/>
      <c r="L129" s="745" t="s">
        <v>702</v>
      </c>
      <c r="M129" s="745"/>
      <c r="N129" s="745"/>
      <c r="O129" s="745"/>
      <c r="P129" s="745"/>
      <c r="Q129" s="745"/>
    </row>
    <row r="130" spans="1:18" ht="29.65" customHeight="1">
      <c r="A130" s="548" t="s">
        <v>1581</v>
      </c>
      <c r="B130" s="712" t="s">
        <v>1582</v>
      </c>
      <c r="C130" s="737"/>
      <c r="D130" s="738"/>
      <c r="E130" s="712" t="s">
        <v>1583</v>
      </c>
      <c r="F130" s="737"/>
      <c r="G130" s="738"/>
      <c r="H130" s="712" t="s">
        <v>1584</v>
      </c>
      <c r="I130" s="738"/>
      <c r="J130" s="712" t="s">
        <v>1585</v>
      </c>
      <c r="K130" s="737"/>
      <c r="L130" s="737"/>
      <c r="M130" s="738"/>
      <c r="N130" s="712" t="s">
        <v>1586</v>
      </c>
      <c r="O130" s="737"/>
      <c r="P130" s="737"/>
      <c r="Q130" s="738"/>
      <c r="R130" s="467"/>
    </row>
    <row r="131" spans="1:18" ht="11.1" customHeight="1">
      <c r="A131" s="577" t="s">
        <v>1587</v>
      </c>
      <c r="B131" s="702" t="s">
        <v>1588</v>
      </c>
      <c r="C131" s="731"/>
      <c r="D131" s="703"/>
      <c r="E131" s="702" t="s">
        <v>2778</v>
      </c>
      <c r="F131" s="731"/>
      <c r="G131" s="703"/>
      <c r="H131" s="702" t="s">
        <v>2779</v>
      </c>
      <c r="I131" s="703"/>
      <c r="J131" s="702" t="s">
        <v>2775</v>
      </c>
      <c r="K131" s="731"/>
      <c r="L131" s="731"/>
      <c r="M131" s="703"/>
      <c r="N131" s="702" t="s">
        <v>2780</v>
      </c>
      <c r="O131" s="731"/>
      <c r="P131" s="731"/>
      <c r="Q131" s="703"/>
      <c r="R131" s="561"/>
    </row>
    <row r="132" spans="1:18" ht="11.85" customHeight="1">
      <c r="A132" s="574" t="s">
        <v>1589</v>
      </c>
      <c r="B132" s="710" t="s">
        <v>1228</v>
      </c>
      <c r="C132" s="718"/>
      <c r="D132" s="711"/>
      <c r="E132" s="710" t="s">
        <v>2781</v>
      </c>
      <c r="F132" s="718"/>
      <c r="G132" s="711"/>
      <c r="H132" s="710" t="s">
        <v>2782</v>
      </c>
      <c r="I132" s="711"/>
      <c r="J132" s="710" t="s">
        <v>2775</v>
      </c>
      <c r="K132" s="718"/>
      <c r="L132" s="718"/>
      <c r="M132" s="711"/>
      <c r="N132" s="710" t="s">
        <v>2783</v>
      </c>
      <c r="O132" s="718"/>
      <c r="P132" s="718"/>
      <c r="Q132" s="711"/>
      <c r="R132" s="561"/>
    </row>
    <row r="133" spans="1:18" ht="11.85" customHeight="1">
      <c r="A133" s="574" t="s">
        <v>1590</v>
      </c>
      <c r="B133" s="710" t="s">
        <v>1591</v>
      </c>
      <c r="C133" s="718"/>
      <c r="D133" s="711"/>
      <c r="E133" s="710" t="s">
        <v>1592</v>
      </c>
      <c r="F133" s="718"/>
      <c r="G133" s="711"/>
      <c r="H133" s="710" t="s">
        <v>1296</v>
      </c>
      <c r="I133" s="711"/>
      <c r="J133" s="710" t="s">
        <v>656</v>
      </c>
      <c r="K133" s="718"/>
      <c r="L133" s="718"/>
      <c r="M133" s="711"/>
      <c r="N133" s="710" t="s">
        <v>1593</v>
      </c>
      <c r="O133" s="718"/>
      <c r="P133" s="718"/>
      <c r="Q133" s="711"/>
      <c r="R133" s="561"/>
    </row>
    <row r="134" spans="1:18" ht="11.85" customHeight="1">
      <c r="A134" s="567" t="s">
        <v>1594</v>
      </c>
      <c r="B134" s="728" t="s">
        <v>656</v>
      </c>
      <c r="C134" s="730"/>
      <c r="D134" s="729"/>
      <c r="E134" s="728" t="s">
        <v>656</v>
      </c>
      <c r="F134" s="730"/>
      <c r="G134" s="729"/>
      <c r="H134" s="728" t="s">
        <v>656</v>
      </c>
      <c r="I134" s="729"/>
      <c r="J134" s="728" t="s">
        <v>656</v>
      </c>
      <c r="K134" s="730"/>
      <c r="L134" s="730"/>
      <c r="M134" s="729"/>
      <c r="N134" s="728" t="s">
        <v>656</v>
      </c>
      <c r="O134" s="730"/>
      <c r="P134" s="730"/>
      <c r="Q134" s="729"/>
      <c r="R134" s="561"/>
    </row>
    <row r="135" spans="1:18" ht="11.1" customHeight="1">
      <c r="A135" s="468"/>
      <c r="B135" s="468"/>
      <c r="C135" s="468"/>
      <c r="D135" s="468"/>
      <c r="E135" s="468"/>
      <c r="F135" s="468"/>
      <c r="G135" s="468"/>
      <c r="H135" s="468"/>
      <c r="I135" s="468"/>
      <c r="J135" s="468"/>
      <c r="K135" s="468"/>
      <c r="L135" s="468"/>
      <c r="M135" s="468"/>
      <c r="N135" s="468"/>
      <c r="O135" s="468"/>
      <c r="P135" s="468"/>
      <c r="Q135" s="468"/>
    </row>
    <row r="136" spans="1:18" ht="11.85" customHeight="1">
      <c r="A136" s="769" t="s">
        <v>1595</v>
      </c>
      <c r="B136" s="770"/>
      <c r="C136" s="770"/>
      <c r="D136" s="770"/>
      <c r="E136" s="770"/>
      <c r="F136" s="770"/>
      <c r="G136" s="770"/>
      <c r="H136" s="770"/>
      <c r="I136" s="770"/>
      <c r="J136" s="770"/>
      <c r="K136" s="770"/>
      <c r="L136" s="770"/>
      <c r="M136" s="770"/>
      <c r="N136" s="770"/>
      <c r="O136" s="770"/>
      <c r="P136" s="770"/>
      <c r="Q136" s="771"/>
      <c r="R136" s="467"/>
    </row>
    <row r="137" spans="1:18" ht="29.65" customHeight="1">
      <c r="A137" s="547" t="s">
        <v>1596</v>
      </c>
      <c r="B137" s="712" t="s">
        <v>895</v>
      </c>
      <c r="C137" s="737"/>
      <c r="D137" s="737"/>
      <c r="E137" s="737"/>
      <c r="F137" s="737"/>
      <c r="G137" s="738"/>
      <c r="H137" s="712" t="s">
        <v>896</v>
      </c>
      <c r="I137" s="737"/>
      <c r="J137" s="737"/>
      <c r="K137" s="737"/>
      <c r="L137" s="737"/>
      <c r="M137" s="737"/>
      <c r="N137" s="737"/>
      <c r="O137" s="737"/>
      <c r="P137" s="737"/>
      <c r="Q137" s="738"/>
      <c r="R137" s="467"/>
    </row>
    <row r="138" spans="1:18" ht="14.1" customHeight="1">
      <c r="A138" s="580" t="s">
        <v>1597</v>
      </c>
      <c r="B138" s="704" t="s">
        <v>1598</v>
      </c>
      <c r="C138" s="705"/>
      <c r="D138" s="705"/>
      <c r="E138" s="705"/>
      <c r="F138" s="705"/>
      <c r="G138" s="706"/>
      <c r="H138" s="704" t="s">
        <v>2784</v>
      </c>
      <c r="I138" s="705"/>
      <c r="J138" s="705"/>
      <c r="K138" s="705"/>
      <c r="L138" s="705"/>
      <c r="M138" s="705"/>
      <c r="N138" s="705"/>
      <c r="O138" s="705"/>
      <c r="P138" s="705"/>
      <c r="Q138" s="706"/>
      <c r="R138" s="467"/>
    </row>
    <row r="139" spans="1:18" ht="14.85" customHeight="1">
      <c r="A139" s="579" t="s">
        <v>1599</v>
      </c>
      <c r="B139" s="707" t="s">
        <v>1600</v>
      </c>
      <c r="C139" s="708"/>
      <c r="D139" s="708"/>
      <c r="E139" s="708"/>
      <c r="F139" s="708"/>
      <c r="G139" s="709"/>
      <c r="H139" s="707" t="s">
        <v>1808</v>
      </c>
      <c r="I139" s="708"/>
      <c r="J139" s="708"/>
      <c r="K139" s="708"/>
      <c r="L139" s="708"/>
      <c r="M139" s="708"/>
      <c r="N139" s="708"/>
      <c r="O139" s="708"/>
      <c r="P139" s="708"/>
      <c r="Q139" s="709"/>
      <c r="R139" s="467"/>
    </row>
    <row r="140" spans="1:18" ht="14.85" customHeight="1">
      <c r="A140" s="579" t="s">
        <v>1601</v>
      </c>
      <c r="B140" s="707" t="s">
        <v>656</v>
      </c>
      <c r="C140" s="708"/>
      <c r="D140" s="708"/>
      <c r="E140" s="708"/>
      <c r="F140" s="708"/>
      <c r="G140" s="709"/>
      <c r="H140" s="707" t="s">
        <v>656</v>
      </c>
      <c r="I140" s="708"/>
      <c r="J140" s="708"/>
      <c r="K140" s="708"/>
      <c r="L140" s="708"/>
      <c r="M140" s="708"/>
      <c r="N140" s="708"/>
      <c r="O140" s="708"/>
      <c r="P140" s="708"/>
      <c r="Q140" s="709"/>
      <c r="R140" s="467"/>
    </row>
    <row r="141" spans="1:18" ht="14.1" customHeight="1">
      <c r="A141" s="579" t="s">
        <v>1602</v>
      </c>
      <c r="B141" s="707" t="s">
        <v>1603</v>
      </c>
      <c r="C141" s="708"/>
      <c r="D141" s="708"/>
      <c r="E141" s="708"/>
      <c r="F141" s="708"/>
      <c r="G141" s="709"/>
      <c r="H141" s="707" t="s">
        <v>1804</v>
      </c>
      <c r="I141" s="708"/>
      <c r="J141" s="708"/>
      <c r="K141" s="708"/>
      <c r="L141" s="708"/>
      <c r="M141" s="708"/>
      <c r="N141" s="708"/>
      <c r="O141" s="708"/>
      <c r="P141" s="708"/>
      <c r="Q141" s="709"/>
      <c r="R141" s="467"/>
    </row>
    <row r="142" spans="1:18" ht="14.85" customHeight="1">
      <c r="A142" s="579" t="s">
        <v>1604</v>
      </c>
      <c r="B142" s="707" t="s">
        <v>1605</v>
      </c>
      <c r="C142" s="708"/>
      <c r="D142" s="708"/>
      <c r="E142" s="708"/>
      <c r="F142" s="708"/>
      <c r="G142" s="709"/>
      <c r="H142" s="707" t="s">
        <v>1813</v>
      </c>
      <c r="I142" s="708"/>
      <c r="J142" s="708"/>
      <c r="K142" s="708"/>
      <c r="L142" s="708"/>
      <c r="M142" s="708"/>
      <c r="N142" s="708"/>
      <c r="O142" s="708"/>
      <c r="P142" s="708"/>
      <c r="Q142" s="709"/>
      <c r="R142" s="467"/>
    </row>
    <row r="143" spans="1:18" ht="14.85" customHeight="1">
      <c r="A143" s="579" t="s">
        <v>1606</v>
      </c>
      <c r="B143" s="707" t="s">
        <v>1607</v>
      </c>
      <c r="C143" s="708"/>
      <c r="D143" s="708"/>
      <c r="E143" s="708"/>
      <c r="F143" s="708"/>
      <c r="G143" s="709"/>
      <c r="H143" s="707" t="s">
        <v>1818</v>
      </c>
      <c r="I143" s="708"/>
      <c r="J143" s="708"/>
      <c r="K143" s="708"/>
      <c r="L143" s="708"/>
      <c r="M143" s="708"/>
      <c r="N143" s="708"/>
      <c r="O143" s="708"/>
      <c r="P143" s="708"/>
      <c r="Q143" s="709"/>
      <c r="R143" s="467"/>
    </row>
    <row r="144" spans="1:18" ht="14.1" customHeight="1">
      <c r="A144" s="579" t="s">
        <v>1608</v>
      </c>
      <c r="B144" s="707" t="s">
        <v>1609</v>
      </c>
      <c r="C144" s="708"/>
      <c r="D144" s="708"/>
      <c r="E144" s="708"/>
      <c r="F144" s="708"/>
      <c r="G144" s="709"/>
      <c r="H144" s="707" t="s">
        <v>1822</v>
      </c>
      <c r="I144" s="708"/>
      <c r="J144" s="708"/>
      <c r="K144" s="708"/>
      <c r="L144" s="708"/>
      <c r="M144" s="708"/>
      <c r="N144" s="708"/>
      <c r="O144" s="708"/>
      <c r="P144" s="708"/>
      <c r="Q144" s="709"/>
      <c r="R144" s="467"/>
    </row>
    <row r="145" spans="1:18" ht="14.85" customHeight="1">
      <c r="A145" s="579" t="s">
        <v>1610</v>
      </c>
      <c r="B145" s="707" t="s">
        <v>656</v>
      </c>
      <c r="C145" s="708"/>
      <c r="D145" s="708"/>
      <c r="E145" s="708"/>
      <c r="F145" s="708"/>
      <c r="G145" s="709"/>
      <c r="H145" s="707" t="s">
        <v>656</v>
      </c>
      <c r="I145" s="708"/>
      <c r="J145" s="708"/>
      <c r="K145" s="708"/>
      <c r="L145" s="708"/>
      <c r="M145" s="708"/>
      <c r="N145" s="708"/>
      <c r="O145" s="708"/>
      <c r="P145" s="708"/>
      <c r="Q145" s="709"/>
      <c r="R145" s="467"/>
    </row>
    <row r="146" spans="1:18" ht="14.85" customHeight="1">
      <c r="A146" s="579" t="s">
        <v>1611</v>
      </c>
      <c r="B146" s="707" t="s">
        <v>656</v>
      </c>
      <c r="C146" s="708"/>
      <c r="D146" s="708"/>
      <c r="E146" s="708"/>
      <c r="F146" s="708"/>
      <c r="G146" s="709"/>
      <c r="H146" s="707" t="s">
        <v>656</v>
      </c>
      <c r="I146" s="708"/>
      <c r="J146" s="708"/>
      <c r="K146" s="708"/>
      <c r="L146" s="708"/>
      <c r="M146" s="708"/>
      <c r="N146" s="708"/>
      <c r="O146" s="708"/>
      <c r="P146" s="708"/>
      <c r="Q146" s="709"/>
      <c r="R146" s="467"/>
    </row>
    <row r="147" spans="1:18" ht="14.1" customHeight="1">
      <c r="A147" s="578" t="s">
        <v>1612</v>
      </c>
      <c r="B147" s="722" t="s">
        <v>1613</v>
      </c>
      <c r="C147" s="724"/>
      <c r="D147" s="724"/>
      <c r="E147" s="724"/>
      <c r="F147" s="724"/>
      <c r="G147" s="723"/>
      <c r="H147" s="722" t="s">
        <v>1827</v>
      </c>
      <c r="I147" s="724"/>
      <c r="J147" s="724"/>
      <c r="K147" s="724"/>
      <c r="L147" s="724"/>
      <c r="M147" s="724"/>
      <c r="N147" s="724"/>
      <c r="O147" s="724"/>
      <c r="P147" s="724"/>
      <c r="Q147" s="723"/>
      <c r="R147" s="467"/>
    </row>
    <row r="148" spans="1:18" ht="14.85" customHeight="1">
      <c r="A148" s="601" t="s">
        <v>1614</v>
      </c>
      <c r="B148" s="781" t="s">
        <v>1615</v>
      </c>
      <c r="C148" s="782"/>
      <c r="D148" s="782"/>
      <c r="E148" s="782"/>
      <c r="F148" s="782"/>
      <c r="G148" s="783"/>
      <c r="H148" s="781" t="s">
        <v>2785</v>
      </c>
      <c r="I148" s="782"/>
      <c r="J148" s="782"/>
      <c r="K148" s="782"/>
      <c r="L148" s="782"/>
      <c r="M148" s="782"/>
      <c r="N148" s="782"/>
      <c r="O148" s="782"/>
      <c r="P148" s="782"/>
      <c r="Q148" s="783"/>
      <c r="R148" s="467"/>
    </row>
    <row r="149" spans="1:18" ht="11.85" customHeight="1">
      <c r="A149" s="468"/>
      <c r="B149" s="468"/>
      <c r="C149" s="468"/>
      <c r="D149" s="468"/>
      <c r="E149" s="468"/>
      <c r="F149" s="468"/>
      <c r="G149" s="468"/>
      <c r="H149" s="468"/>
      <c r="I149" s="468"/>
      <c r="J149" s="468"/>
      <c r="K149" s="468"/>
      <c r="L149" s="468"/>
      <c r="M149" s="468"/>
      <c r="N149" s="468"/>
      <c r="O149" s="468"/>
      <c r="P149" s="468"/>
      <c r="Q149" s="468"/>
    </row>
    <row r="150" spans="1:18" ht="34.700000000000003" customHeight="1">
      <c r="A150" s="548" t="s">
        <v>1616</v>
      </c>
      <c r="B150" s="712" t="s">
        <v>910</v>
      </c>
      <c r="C150" s="737"/>
      <c r="D150" s="738"/>
      <c r="E150" s="712" t="s">
        <v>911</v>
      </c>
      <c r="F150" s="737"/>
      <c r="G150" s="738"/>
      <c r="H150" s="712" t="s">
        <v>912</v>
      </c>
      <c r="I150" s="738"/>
      <c r="J150" s="712" t="s">
        <v>913</v>
      </c>
      <c r="K150" s="737"/>
      <c r="L150" s="737"/>
      <c r="M150" s="738"/>
      <c r="N150" s="712" t="s">
        <v>1515</v>
      </c>
      <c r="O150" s="737"/>
      <c r="P150" s="737"/>
      <c r="Q150" s="738"/>
      <c r="R150" s="467"/>
    </row>
    <row r="151" spans="1:18" ht="11.85" customHeight="1">
      <c r="A151" s="577" t="s">
        <v>1617</v>
      </c>
      <c r="B151" s="702" t="s">
        <v>2786</v>
      </c>
      <c r="C151" s="731"/>
      <c r="D151" s="703"/>
      <c r="E151" s="702" t="s">
        <v>2787</v>
      </c>
      <c r="F151" s="731"/>
      <c r="G151" s="703"/>
      <c r="H151" s="702" t="s">
        <v>2788</v>
      </c>
      <c r="I151" s="703"/>
      <c r="J151" s="702" t="s">
        <v>2788</v>
      </c>
      <c r="K151" s="731"/>
      <c r="L151" s="731"/>
      <c r="M151" s="703"/>
      <c r="N151" s="702" t="s">
        <v>656</v>
      </c>
      <c r="O151" s="731"/>
      <c r="P151" s="731"/>
      <c r="Q151" s="703"/>
      <c r="R151" s="561"/>
    </row>
    <row r="152" spans="1:18" ht="11.85" customHeight="1">
      <c r="A152" s="574" t="s">
        <v>1618</v>
      </c>
      <c r="B152" s="710" t="s">
        <v>2789</v>
      </c>
      <c r="C152" s="718"/>
      <c r="D152" s="711"/>
      <c r="E152" s="710" t="s">
        <v>2790</v>
      </c>
      <c r="F152" s="718"/>
      <c r="G152" s="711"/>
      <c r="H152" s="710" t="s">
        <v>2791</v>
      </c>
      <c r="I152" s="711"/>
      <c r="J152" s="710" t="s">
        <v>2791</v>
      </c>
      <c r="K152" s="718"/>
      <c r="L152" s="718"/>
      <c r="M152" s="711"/>
      <c r="N152" s="710" t="s">
        <v>656</v>
      </c>
      <c r="O152" s="718"/>
      <c r="P152" s="718"/>
      <c r="Q152" s="711"/>
      <c r="R152" s="561"/>
    </row>
    <row r="153" spans="1:18" ht="11.1" customHeight="1">
      <c r="A153" s="574" t="s">
        <v>1619</v>
      </c>
      <c r="B153" s="710" t="s">
        <v>2792</v>
      </c>
      <c r="C153" s="718"/>
      <c r="D153" s="711"/>
      <c r="E153" s="710" t="s">
        <v>2793</v>
      </c>
      <c r="F153" s="718"/>
      <c r="G153" s="711"/>
      <c r="H153" s="710" t="s">
        <v>1620</v>
      </c>
      <c r="I153" s="711"/>
      <c r="J153" s="710" t="s">
        <v>1620</v>
      </c>
      <c r="K153" s="718"/>
      <c r="L153" s="718"/>
      <c r="M153" s="711"/>
      <c r="N153" s="710" t="s">
        <v>656</v>
      </c>
      <c r="O153" s="718"/>
      <c r="P153" s="718"/>
      <c r="Q153" s="711"/>
      <c r="R153" s="561"/>
    </row>
    <row r="154" spans="1:18" ht="11.85" customHeight="1">
      <c r="A154" s="574" t="s">
        <v>1621</v>
      </c>
      <c r="B154" s="710" t="s">
        <v>2794</v>
      </c>
      <c r="C154" s="718"/>
      <c r="D154" s="711"/>
      <c r="E154" s="710" t="s">
        <v>2795</v>
      </c>
      <c r="F154" s="718"/>
      <c r="G154" s="711"/>
      <c r="H154" s="710" t="s">
        <v>2796</v>
      </c>
      <c r="I154" s="711"/>
      <c r="J154" s="710" t="s">
        <v>2797</v>
      </c>
      <c r="K154" s="718"/>
      <c r="L154" s="718"/>
      <c r="M154" s="711"/>
      <c r="N154" s="710" t="s">
        <v>656</v>
      </c>
      <c r="O154" s="718"/>
      <c r="P154" s="718"/>
      <c r="Q154" s="711"/>
      <c r="R154" s="561"/>
    </row>
    <row r="155" spans="1:18" ht="11.85" customHeight="1">
      <c r="A155" s="574" t="s">
        <v>1622</v>
      </c>
      <c r="B155" s="710" t="s">
        <v>1623</v>
      </c>
      <c r="C155" s="718"/>
      <c r="D155" s="711"/>
      <c r="E155" s="710" t="s">
        <v>1824</v>
      </c>
      <c r="F155" s="718"/>
      <c r="G155" s="711"/>
      <c r="H155" s="710" t="s">
        <v>2016</v>
      </c>
      <c r="I155" s="711"/>
      <c r="J155" s="710" t="s">
        <v>2016</v>
      </c>
      <c r="K155" s="718"/>
      <c r="L155" s="718"/>
      <c r="M155" s="711"/>
      <c r="N155" s="710" t="s">
        <v>656</v>
      </c>
      <c r="O155" s="718"/>
      <c r="P155" s="718"/>
      <c r="Q155" s="711"/>
      <c r="R155" s="561"/>
    </row>
    <row r="156" spans="1:18" ht="11.85" customHeight="1">
      <c r="A156" s="574" t="s">
        <v>1624</v>
      </c>
      <c r="B156" s="710" t="s">
        <v>656</v>
      </c>
      <c r="C156" s="718"/>
      <c r="D156" s="711"/>
      <c r="E156" s="710" t="s">
        <v>656</v>
      </c>
      <c r="F156" s="718"/>
      <c r="G156" s="711"/>
      <c r="H156" s="710" t="s">
        <v>656</v>
      </c>
      <c r="I156" s="711"/>
      <c r="J156" s="710" t="s">
        <v>656</v>
      </c>
      <c r="K156" s="718"/>
      <c r="L156" s="718"/>
      <c r="M156" s="711"/>
      <c r="N156" s="710" t="s">
        <v>656</v>
      </c>
      <c r="O156" s="718"/>
      <c r="P156" s="718"/>
      <c r="Q156" s="711"/>
      <c r="R156" s="561"/>
    </row>
    <row r="157" spans="1:18" ht="11.1" customHeight="1">
      <c r="A157" s="575" t="s">
        <v>1625</v>
      </c>
      <c r="B157" s="728" t="s">
        <v>656</v>
      </c>
      <c r="C157" s="730"/>
      <c r="D157" s="729"/>
      <c r="E157" s="728" t="s">
        <v>656</v>
      </c>
      <c r="F157" s="730"/>
      <c r="G157" s="729"/>
      <c r="H157" s="728" t="s">
        <v>656</v>
      </c>
      <c r="I157" s="729"/>
      <c r="J157" s="728" t="s">
        <v>656</v>
      </c>
      <c r="K157" s="730"/>
      <c r="L157" s="730"/>
      <c r="M157" s="729"/>
      <c r="N157" s="728" t="s">
        <v>656</v>
      </c>
      <c r="O157" s="730"/>
      <c r="P157" s="730"/>
      <c r="Q157" s="729"/>
      <c r="R157" s="561"/>
    </row>
    <row r="158" spans="1:18" ht="11.85" customHeight="1">
      <c r="A158" s="500" t="s">
        <v>1626</v>
      </c>
      <c r="B158" s="761" t="s">
        <v>2798</v>
      </c>
      <c r="C158" s="763"/>
      <c r="D158" s="762"/>
      <c r="E158" s="761" t="s">
        <v>2799</v>
      </c>
      <c r="F158" s="763"/>
      <c r="G158" s="762"/>
      <c r="H158" s="761" t="s">
        <v>2800</v>
      </c>
      <c r="I158" s="762"/>
      <c r="J158" s="761" t="s">
        <v>2801</v>
      </c>
      <c r="K158" s="763"/>
      <c r="L158" s="763"/>
      <c r="M158" s="762"/>
      <c r="N158" s="761" t="s">
        <v>656</v>
      </c>
      <c r="O158" s="763"/>
      <c r="P158" s="763"/>
      <c r="Q158" s="762"/>
      <c r="R158" s="561"/>
    </row>
    <row r="159" spans="1:18" ht="11.85" customHeight="1">
      <c r="A159" s="469"/>
      <c r="B159" s="469"/>
      <c r="C159" s="469"/>
      <c r="D159" s="469"/>
      <c r="E159" s="469"/>
      <c r="F159" s="469"/>
      <c r="G159" s="469"/>
      <c r="H159" s="469"/>
      <c r="I159" s="469"/>
      <c r="J159" s="469"/>
      <c r="K159" s="469"/>
      <c r="L159" s="469"/>
      <c r="M159" s="469"/>
      <c r="N159" s="469"/>
      <c r="O159" s="469"/>
      <c r="P159" s="469"/>
      <c r="Q159" s="469"/>
    </row>
    <row r="160" spans="1:18" ht="25.9" customHeight="1"/>
    <row r="161" spans="1:18" ht="11.85" customHeight="1">
      <c r="A161" s="963" t="s">
        <v>2720</v>
      </c>
      <c r="B161" s="963"/>
      <c r="C161" s="963"/>
      <c r="D161" s="963"/>
      <c r="E161" s="963"/>
      <c r="F161" s="963"/>
      <c r="G161" s="963"/>
      <c r="H161" s="963"/>
      <c r="I161" s="963"/>
      <c r="J161" s="963"/>
      <c r="K161" s="963"/>
      <c r="L161" s="963"/>
      <c r="M161" s="963"/>
      <c r="N161" s="963"/>
      <c r="O161" s="963"/>
      <c r="P161" s="963"/>
      <c r="Q161" s="963"/>
    </row>
    <row r="162" spans="1:18" ht="11.85" customHeight="1">
      <c r="A162" s="717" t="s">
        <v>661</v>
      </c>
      <c r="B162" s="717"/>
      <c r="C162" s="717"/>
      <c r="Q162" s="562" t="s">
        <v>962</v>
      </c>
    </row>
    <row r="163" spans="1:18" ht="11.1" customHeight="1">
      <c r="A163" s="717" t="s">
        <v>888</v>
      </c>
      <c r="B163" s="717"/>
      <c r="C163" s="717"/>
    </row>
    <row r="164" spans="1:18" ht="11.85" customHeight="1">
      <c r="A164" s="740" t="s">
        <v>1472</v>
      </c>
      <c r="B164" s="740"/>
      <c r="C164" s="740"/>
      <c r="D164" s="740"/>
      <c r="E164" s="740"/>
      <c r="F164" s="740"/>
      <c r="G164" s="740"/>
      <c r="H164" s="740"/>
      <c r="I164" s="740"/>
      <c r="J164" s="740"/>
      <c r="K164" s="740"/>
      <c r="L164" s="740"/>
    </row>
    <row r="165" spans="1:18" ht="11.85" customHeight="1">
      <c r="A165" s="717" t="s">
        <v>890</v>
      </c>
      <c r="B165" s="717"/>
      <c r="C165" s="717"/>
    </row>
    <row r="166" spans="1:18" ht="11.85" customHeight="1">
      <c r="A166" s="717" t="s">
        <v>1744</v>
      </c>
      <c r="B166" s="717"/>
      <c r="C166" s="717"/>
    </row>
    <row r="167" spans="1:18" ht="5.85" customHeight="1"/>
    <row r="168" spans="1:18" ht="11.1" customHeight="1">
      <c r="A168" s="741" t="s">
        <v>1473</v>
      </c>
      <c r="B168" s="741"/>
      <c r="C168" s="741"/>
      <c r="D168" s="466"/>
      <c r="E168" s="466"/>
      <c r="F168" s="466"/>
      <c r="G168" s="466"/>
      <c r="H168" s="466"/>
      <c r="I168" s="466"/>
      <c r="J168" s="466"/>
      <c r="K168" s="466"/>
      <c r="L168" s="745" t="s">
        <v>702</v>
      </c>
      <c r="M168" s="745"/>
      <c r="N168" s="745"/>
      <c r="O168" s="745"/>
      <c r="P168" s="745"/>
      <c r="Q168" s="745"/>
    </row>
    <row r="169" spans="1:18" ht="35.450000000000003" customHeight="1">
      <c r="A169" s="547" t="s">
        <v>1627</v>
      </c>
      <c r="B169" s="712" t="s">
        <v>910</v>
      </c>
      <c r="C169" s="737"/>
      <c r="D169" s="738"/>
      <c r="E169" s="712" t="s">
        <v>911</v>
      </c>
      <c r="F169" s="737"/>
      <c r="G169" s="738"/>
      <c r="H169" s="712" t="s">
        <v>912</v>
      </c>
      <c r="I169" s="738"/>
      <c r="J169" s="712" t="s">
        <v>913</v>
      </c>
      <c r="K169" s="737"/>
      <c r="L169" s="737"/>
      <c r="M169" s="738"/>
      <c r="N169" s="712" t="s">
        <v>1515</v>
      </c>
      <c r="O169" s="737"/>
      <c r="P169" s="737"/>
      <c r="Q169" s="738"/>
      <c r="R169" s="467"/>
    </row>
    <row r="170" spans="1:18" ht="11.1" customHeight="1">
      <c r="A170" s="577" t="s">
        <v>1628</v>
      </c>
      <c r="B170" s="702" t="s">
        <v>2802</v>
      </c>
      <c r="C170" s="731"/>
      <c r="D170" s="703"/>
      <c r="E170" s="702" t="s">
        <v>2803</v>
      </c>
      <c r="F170" s="731"/>
      <c r="G170" s="703"/>
      <c r="H170" s="702" t="s">
        <v>2804</v>
      </c>
      <c r="I170" s="703"/>
      <c r="J170" s="702" t="s">
        <v>2805</v>
      </c>
      <c r="K170" s="731"/>
      <c r="L170" s="731"/>
      <c r="M170" s="703"/>
      <c r="N170" s="702" t="s">
        <v>656</v>
      </c>
      <c r="O170" s="731"/>
      <c r="P170" s="731"/>
      <c r="Q170" s="703"/>
      <c r="R170" s="561"/>
    </row>
    <row r="171" spans="1:18" ht="11.85" customHeight="1">
      <c r="A171" s="574" t="s">
        <v>1629</v>
      </c>
      <c r="B171" s="710" t="s">
        <v>2806</v>
      </c>
      <c r="C171" s="718"/>
      <c r="D171" s="711"/>
      <c r="E171" s="710" t="s">
        <v>2807</v>
      </c>
      <c r="F171" s="718"/>
      <c r="G171" s="711"/>
      <c r="H171" s="710" t="s">
        <v>2808</v>
      </c>
      <c r="I171" s="711"/>
      <c r="J171" s="710" t="s">
        <v>2809</v>
      </c>
      <c r="K171" s="718"/>
      <c r="L171" s="718"/>
      <c r="M171" s="711"/>
      <c r="N171" s="710" t="s">
        <v>656</v>
      </c>
      <c r="O171" s="718"/>
      <c r="P171" s="718"/>
      <c r="Q171" s="711"/>
      <c r="R171" s="561"/>
    </row>
    <row r="172" spans="1:18" ht="11.85" customHeight="1">
      <c r="A172" s="574" t="s">
        <v>1630</v>
      </c>
      <c r="B172" s="710" t="s">
        <v>2810</v>
      </c>
      <c r="C172" s="718"/>
      <c r="D172" s="711"/>
      <c r="E172" s="710" t="s">
        <v>2811</v>
      </c>
      <c r="F172" s="718"/>
      <c r="G172" s="711"/>
      <c r="H172" s="710" t="s">
        <v>2811</v>
      </c>
      <c r="I172" s="711"/>
      <c r="J172" s="710" t="s">
        <v>2812</v>
      </c>
      <c r="K172" s="718"/>
      <c r="L172" s="718"/>
      <c r="M172" s="711"/>
      <c r="N172" s="710" t="s">
        <v>656</v>
      </c>
      <c r="O172" s="718"/>
      <c r="P172" s="718"/>
      <c r="Q172" s="711"/>
      <c r="R172" s="561"/>
    </row>
    <row r="173" spans="1:18" ht="11.85" customHeight="1">
      <c r="A173" s="574" t="s">
        <v>1631</v>
      </c>
      <c r="B173" s="710" t="s">
        <v>656</v>
      </c>
      <c r="C173" s="718"/>
      <c r="D173" s="711"/>
      <c r="E173" s="710" t="s">
        <v>656</v>
      </c>
      <c r="F173" s="718"/>
      <c r="G173" s="711"/>
      <c r="H173" s="710" t="s">
        <v>656</v>
      </c>
      <c r="I173" s="711"/>
      <c r="J173" s="710" t="s">
        <v>656</v>
      </c>
      <c r="K173" s="718"/>
      <c r="L173" s="718"/>
      <c r="M173" s="711"/>
      <c r="N173" s="710" t="s">
        <v>656</v>
      </c>
      <c r="O173" s="718"/>
      <c r="P173" s="718"/>
      <c r="Q173" s="711"/>
      <c r="R173" s="561"/>
    </row>
    <row r="174" spans="1:18" ht="11.1" customHeight="1">
      <c r="A174" s="574" t="s">
        <v>1632</v>
      </c>
      <c r="B174" s="710" t="s">
        <v>852</v>
      </c>
      <c r="C174" s="718"/>
      <c r="D174" s="711"/>
      <c r="E174" s="710" t="s">
        <v>656</v>
      </c>
      <c r="F174" s="718"/>
      <c r="G174" s="711"/>
      <c r="H174" s="710" t="s">
        <v>656</v>
      </c>
      <c r="I174" s="711"/>
      <c r="J174" s="710" t="s">
        <v>656</v>
      </c>
      <c r="K174" s="718"/>
      <c r="L174" s="718"/>
      <c r="M174" s="711"/>
      <c r="N174" s="710" t="s">
        <v>656</v>
      </c>
      <c r="O174" s="718"/>
      <c r="P174" s="718"/>
      <c r="Q174" s="711"/>
      <c r="R174" s="561"/>
    </row>
    <row r="175" spans="1:18" ht="11.85" customHeight="1">
      <c r="A175" s="574" t="s">
        <v>1633</v>
      </c>
      <c r="B175" s="710" t="s">
        <v>2813</v>
      </c>
      <c r="C175" s="718"/>
      <c r="D175" s="711"/>
      <c r="E175" s="710" t="s">
        <v>2814</v>
      </c>
      <c r="F175" s="718"/>
      <c r="G175" s="711"/>
      <c r="H175" s="710" t="s">
        <v>2815</v>
      </c>
      <c r="I175" s="711"/>
      <c r="J175" s="710" t="s">
        <v>2816</v>
      </c>
      <c r="K175" s="718"/>
      <c r="L175" s="718"/>
      <c r="M175" s="711"/>
      <c r="N175" s="710" t="s">
        <v>656</v>
      </c>
      <c r="O175" s="718"/>
      <c r="P175" s="718"/>
      <c r="Q175" s="711"/>
      <c r="R175" s="561"/>
    </row>
    <row r="176" spans="1:18" ht="11.85" customHeight="1">
      <c r="A176" s="574" t="s">
        <v>1634</v>
      </c>
      <c r="B176" s="710" t="s">
        <v>2817</v>
      </c>
      <c r="C176" s="718"/>
      <c r="D176" s="711"/>
      <c r="E176" s="710" t="s">
        <v>2818</v>
      </c>
      <c r="F176" s="718"/>
      <c r="G176" s="711"/>
      <c r="H176" s="710" t="s">
        <v>2819</v>
      </c>
      <c r="I176" s="711"/>
      <c r="J176" s="710" t="s">
        <v>2820</v>
      </c>
      <c r="K176" s="718"/>
      <c r="L176" s="718"/>
      <c r="M176" s="711"/>
      <c r="N176" s="710" t="s">
        <v>656</v>
      </c>
      <c r="O176" s="718"/>
      <c r="P176" s="718"/>
      <c r="Q176" s="711"/>
      <c r="R176" s="561"/>
    </row>
    <row r="177" spans="1:18" ht="11.85" customHeight="1">
      <c r="A177" s="574" t="s">
        <v>1635</v>
      </c>
      <c r="B177" s="710" t="s">
        <v>656</v>
      </c>
      <c r="C177" s="718"/>
      <c r="D177" s="711"/>
      <c r="E177" s="710" t="s">
        <v>656</v>
      </c>
      <c r="F177" s="718"/>
      <c r="G177" s="711"/>
      <c r="H177" s="710" t="s">
        <v>656</v>
      </c>
      <c r="I177" s="711"/>
      <c r="J177" s="710" t="s">
        <v>656</v>
      </c>
      <c r="K177" s="718"/>
      <c r="L177" s="718"/>
      <c r="M177" s="711"/>
      <c r="N177" s="710" t="s">
        <v>656</v>
      </c>
      <c r="O177" s="718"/>
      <c r="P177" s="718"/>
      <c r="Q177" s="711"/>
      <c r="R177" s="561"/>
    </row>
    <row r="178" spans="1:18" ht="11.1" customHeight="1">
      <c r="A178" s="567" t="s">
        <v>1636</v>
      </c>
      <c r="B178" s="728" t="s">
        <v>2817</v>
      </c>
      <c r="C178" s="730"/>
      <c r="D178" s="729"/>
      <c r="E178" s="728" t="s">
        <v>2818</v>
      </c>
      <c r="F178" s="730"/>
      <c r="G178" s="729"/>
      <c r="H178" s="728" t="s">
        <v>2819</v>
      </c>
      <c r="I178" s="729"/>
      <c r="J178" s="728" t="s">
        <v>2820</v>
      </c>
      <c r="K178" s="730"/>
      <c r="L178" s="730"/>
      <c r="M178" s="729"/>
      <c r="N178" s="728" t="s">
        <v>656</v>
      </c>
      <c r="O178" s="730"/>
      <c r="P178" s="730"/>
      <c r="Q178" s="729"/>
      <c r="R178" s="561"/>
    </row>
    <row r="179" spans="1:18" ht="35.450000000000003" customHeight="1">
      <c r="A179" s="547" t="s">
        <v>1637</v>
      </c>
      <c r="B179" s="712" t="s">
        <v>1638</v>
      </c>
      <c r="C179" s="737"/>
      <c r="D179" s="737"/>
      <c r="E179" s="737"/>
      <c r="F179" s="737"/>
      <c r="G179" s="738"/>
      <c r="H179" s="712" t="s">
        <v>1639</v>
      </c>
      <c r="I179" s="737"/>
      <c r="J179" s="737"/>
      <c r="K179" s="737"/>
      <c r="L179" s="737"/>
      <c r="M179" s="737"/>
      <c r="N179" s="737"/>
      <c r="O179" s="737"/>
      <c r="P179" s="737"/>
      <c r="Q179" s="738"/>
      <c r="R179" s="467"/>
    </row>
    <row r="180" spans="1:18" ht="11.1" customHeight="1">
      <c r="A180" s="577" t="s">
        <v>1640</v>
      </c>
      <c r="B180" s="702" t="s">
        <v>1229</v>
      </c>
      <c r="C180" s="731"/>
      <c r="D180" s="731"/>
      <c r="E180" s="731"/>
      <c r="F180" s="731"/>
      <c r="G180" s="703"/>
      <c r="H180" s="702" t="s">
        <v>1235</v>
      </c>
      <c r="I180" s="731"/>
      <c r="J180" s="731"/>
      <c r="K180" s="731"/>
      <c r="L180" s="731"/>
      <c r="M180" s="731"/>
      <c r="N180" s="731"/>
      <c r="O180" s="731"/>
      <c r="P180" s="731"/>
      <c r="Q180" s="703"/>
      <c r="R180" s="561"/>
    </row>
    <row r="181" spans="1:18" ht="11.85" customHeight="1">
      <c r="A181" s="574" t="s">
        <v>1641</v>
      </c>
      <c r="B181" s="710" t="s">
        <v>1789</v>
      </c>
      <c r="C181" s="718"/>
      <c r="D181" s="718"/>
      <c r="E181" s="718"/>
      <c r="F181" s="718"/>
      <c r="G181" s="711"/>
      <c r="H181" s="710" t="s">
        <v>1808</v>
      </c>
      <c r="I181" s="718"/>
      <c r="J181" s="718"/>
      <c r="K181" s="718"/>
      <c r="L181" s="718"/>
      <c r="M181" s="718"/>
      <c r="N181" s="718"/>
      <c r="O181" s="718"/>
      <c r="P181" s="718"/>
      <c r="Q181" s="711"/>
      <c r="R181" s="561"/>
    </row>
    <row r="182" spans="1:18" ht="11.85" customHeight="1">
      <c r="A182" s="574" t="s">
        <v>1642</v>
      </c>
      <c r="B182" s="710" t="s">
        <v>2072</v>
      </c>
      <c r="C182" s="718"/>
      <c r="D182" s="718"/>
      <c r="E182" s="718"/>
      <c r="F182" s="718"/>
      <c r="G182" s="711"/>
      <c r="H182" s="710" t="s">
        <v>2082</v>
      </c>
      <c r="I182" s="718"/>
      <c r="J182" s="718"/>
      <c r="K182" s="718"/>
      <c r="L182" s="718"/>
      <c r="M182" s="718"/>
      <c r="N182" s="718"/>
      <c r="O182" s="718"/>
      <c r="P182" s="718"/>
      <c r="Q182" s="711"/>
      <c r="R182" s="561"/>
    </row>
    <row r="183" spans="1:18" ht="11.85" customHeight="1">
      <c r="A183" s="574" t="s">
        <v>1643</v>
      </c>
      <c r="B183" s="710" t="s">
        <v>2073</v>
      </c>
      <c r="C183" s="718"/>
      <c r="D183" s="718"/>
      <c r="E183" s="718"/>
      <c r="F183" s="718"/>
      <c r="G183" s="711"/>
      <c r="H183" s="710" t="s">
        <v>2083</v>
      </c>
      <c r="I183" s="718"/>
      <c r="J183" s="718"/>
      <c r="K183" s="718"/>
      <c r="L183" s="718"/>
      <c r="M183" s="718"/>
      <c r="N183" s="718"/>
      <c r="O183" s="718"/>
      <c r="P183" s="718"/>
      <c r="Q183" s="711"/>
      <c r="R183" s="561"/>
    </row>
    <row r="184" spans="1:18" ht="11.1" customHeight="1">
      <c r="A184" s="574" t="s">
        <v>1644</v>
      </c>
      <c r="B184" s="710" t="s">
        <v>656</v>
      </c>
      <c r="C184" s="718"/>
      <c r="D184" s="718"/>
      <c r="E184" s="718"/>
      <c r="F184" s="718"/>
      <c r="G184" s="711"/>
      <c r="H184" s="710" t="s">
        <v>656</v>
      </c>
      <c r="I184" s="718"/>
      <c r="J184" s="718"/>
      <c r="K184" s="718"/>
      <c r="L184" s="718"/>
      <c r="M184" s="718"/>
      <c r="N184" s="718"/>
      <c r="O184" s="718"/>
      <c r="P184" s="718"/>
      <c r="Q184" s="711"/>
      <c r="R184" s="561"/>
    </row>
    <row r="185" spans="1:18" ht="11.85" customHeight="1">
      <c r="A185" s="574" t="s">
        <v>1645</v>
      </c>
      <c r="B185" s="710" t="s">
        <v>656</v>
      </c>
      <c r="C185" s="718"/>
      <c r="D185" s="718"/>
      <c r="E185" s="718"/>
      <c r="F185" s="718"/>
      <c r="G185" s="711"/>
      <c r="H185" s="710" t="s">
        <v>656</v>
      </c>
      <c r="I185" s="718"/>
      <c r="J185" s="718"/>
      <c r="K185" s="718"/>
      <c r="L185" s="718"/>
      <c r="M185" s="718"/>
      <c r="N185" s="718"/>
      <c r="O185" s="718"/>
      <c r="P185" s="718"/>
      <c r="Q185" s="711"/>
      <c r="R185" s="561"/>
    </row>
    <row r="186" spans="1:18" ht="11.85" customHeight="1">
      <c r="A186" s="567" t="s">
        <v>1646</v>
      </c>
      <c r="B186" s="728" t="s">
        <v>2073</v>
      </c>
      <c r="C186" s="730"/>
      <c r="D186" s="730"/>
      <c r="E186" s="730"/>
      <c r="F186" s="730"/>
      <c r="G186" s="729"/>
      <c r="H186" s="728" t="s">
        <v>2083</v>
      </c>
      <c r="I186" s="730"/>
      <c r="J186" s="730"/>
      <c r="K186" s="730"/>
      <c r="L186" s="730"/>
      <c r="M186" s="730"/>
      <c r="N186" s="730"/>
      <c r="O186" s="730"/>
      <c r="P186" s="730"/>
      <c r="Q186" s="729"/>
      <c r="R186" s="561"/>
    </row>
    <row r="187" spans="1:18" ht="5.85" customHeight="1">
      <c r="A187" s="469"/>
      <c r="B187" s="469"/>
      <c r="C187" s="469"/>
      <c r="D187" s="469"/>
      <c r="E187" s="469"/>
      <c r="F187" s="469"/>
      <c r="G187" s="469"/>
      <c r="H187" s="469"/>
      <c r="I187" s="469"/>
      <c r="J187" s="469"/>
      <c r="K187" s="469"/>
      <c r="L187" s="469"/>
      <c r="M187" s="469"/>
      <c r="N187" s="469"/>
      <c r="O187" s="469"/>
      <c r="P187" s="469"/>
      <c r="Q187" s="469"/>
    </row>
    <row r="188" spans="1:18" ht="52.5" customHeight="1">
      <c r="A188" s="764" t="s">
        <v>1647</v>
      </c>
      <c r="B188" s="764"/>
      <c r="C188" s="764"/>
      <c r="D188" s="764"/>
      <c r="E188" s="764"/>
      <c r="F188" s="764"/>
      <c r="G188" s="764"/>
      <c r="H188" s="764"/>
      <c r="I188" s="764"/>
      <c r="J188" s="764"/>
      <c r="K188" s="764"/>
      <c r="L188" s="764"/>
      <c r="M188" s="764"/>
      <c r="N188" s="764"/>
      <c r="O188" s="764"/>
      <c r="P188" s="764"/>
      <c r="Q188" s="764"/>
    </row>
    <row r="189" spans="1:18" ht="11.1" customHeight="1">
      <c r="A189" s="764"/>
      <c r="B189" s="764"/>
      <c r="C189" s="764"/>
      <c r="D189" s="764"/>
      <c r="E189" s="764"/>
      <c r="F189" s="764"/>
      <c r="G189" s="764"/>
      <c r="H189" s="764"/>
      <c r="I189" s="764"/>
      <c r="J189" s="764"/>
      <c r="K189" s="764"/>
      <c r="L189" s="764"/>
      <c r="M189" s="764"/>
      <c r="N189" s="764"/>
      <c r="O189" s="764"/>
      <c r="P189" s="764"/>
      <c r="Q189" s="764"/>
    </row>
    <row r="190" spans="1:18" ht="11.85" customHeight="1"/>
    <row r="191" spans="1:18" ht="63.6" customHeight="1"/>
    <row r="192" spans="1:18" ht="64.349999999999994" customHeight="1"/>
    <row r="193" spans="1:17" ht="11.85" customHeight="1">
      <c r="A193" s="963" t="s">
        <v>2720</v>
      </c>
      <c r="B193" s="963"/>
      <c r="C193" s="963"/>
      <c r="D193" s="963"/>
      <c r="E193" s="963"/>
      <c r="F193" s="963"/>
      <c r="G193" s="963"/>
      <c r="H193" s="963"/>
      <c r="I193" s="963"/>
      <c r="J193" s="963"/>
      <c r="K193" s="963"/>
      <c r="L193" s="963"/>
      <c r="M193" s="963"/>
      <c r="N193" s="963"/>
      <c r="O193" s="963"/>
      <c r="P193" s="963"/>
      <c r="Q193" s="963"/>
    </row>
  </sheetData>
  <mergeCells count="465">
    <mergeCell ref="B173:D173"/>
    <mergeCell ref="E173:G173"/>
    <mergeCell ref="H173:I173"/>
    <mergeCell ref="J173:M173"/>
    <mergeCell ref="N173:Q173"/>
    <mergeCell ref="B179:G179"/>
    <mergeCell ref="H179:Q179"/>
    <mergeCell ref="B171:D171"/>
    <mergeCell ref="E171:G171"/>
    <mergeCell ref="H171:I171"/>
    <mergeCell ref="J171:M171"/>
    <mergeCell ref="N171:Q171"/>
    <mergeCell ref="B172:D172"/>
    <mergeCell ref="E172:G172"/>
    <mergeCell ref="H172:I172"/>
    <mergeCell ref="J172:M172"/>
    <mergeCell ref="N172:Q172"/>
    <mergeCell ref="B174:D174"/>
    <mergeCell ref="E174:G174"/>
    <mergeCell ref="H174:I174"/>
    <mergeCell ref="J174:M174"/>
    <mergeCell ref="H157:I157"/>
    <mergeCell ref="J157:M157"/>
    <mergeCell ref="N157:Q157"/>
    <mergeCell ref="B158:D158"/>
    <mergeCell ref="E158:G158"/>
    <mergeCell ref="H158:I158"/>
    <mergeCell ref="J158:M158"/>
    <mergeCell ref="N158:Q158"/>
    <mergeCell ref="A161:Q161"/>
    <mergeCell ref="B157:D157"/>
    <mergeCell ref="E157:G157"/>
    <mergeCell ref="B153:D153"/>
    <mergeCell ref="E153:G153"/>
    <mergeCell ref="H153:I153"/>
    <mergeCell ref="J153:M153"/>
    <mergeCell ref="N153:Q153"/>
    <mergeCell ref="B154:D154"/>
    <mergeCell ref="E154:G154"/>
    <mergeCell ref="H154:I154"/>
    <mergeCell ref="J154:M154"/>
    <mergeCell ref="N154:Q154"/>
    <mergeCell ref="B151:D151"/>
    <mergeCell ref="E151:G151"/>
    <mergeCell ref="H151:I151"/>
    <mergeCell ref="J151:M151"/>
    <mergeCell ref="N151:Q151"/>
    <mergeCell ref="B152:D152"/>
    <mergeCell ref="E152:G152"/>
    <mergeCell ref="H152:I152"/>
    <mergeCell ref="J152:M152"/>
    <mergeCell ref="N152:Q152"/>
    <mergeCell ref="B146:G146"/>
    <mergeCell ref="H146:Q146"/>
    <mergeCell ref="B147:G147"/>
    <mergeCell ref="H147:Q147"/>
    <mergeCell ref="B148:G148"/>
    <mergeCell ref="H148:Q148"/>
    <mergeCell ref="B150:D150"/>
    <mergeCell ref="E150:G150"/>
    <mergeCell ref="H150:I150"/>
    <mergeCell ref="J150:M150"/>
    <mergeCell ref="N150:Q150"/>
    <mergeCell ref="H134:I134"/>
    <mergeCell ref="J134:M134"/>
    <mergeCell ref="A136:Q136"/>
    <mergeCell ref="B137:G137"/>
    <mergeCell ref="H137:Q137"/>
    <mergeCell ref="B138:G138"/>
    <mergeCell ref="H138:Q138"/>
    <mergeCell ref="B145:G145"/>
    <mergeCell ref="H145:Q145"/>
    <mergeCell ref="B120:G120"/>
    <mergeCell ref="H120:M120"/>
    <mergeCell ref="A122:Q122"/>
    <mergeCell ref="N119:Q119"/>
    <mergeCell ref="A129:C129"/>
    <mergeCell ref="L129:Q129"/>
    <mergeCell ref="B130:D130"/>
    <mergeCell ref="E130:G130"/>
    <mergeCell ref="H130:I130"/>
    <mergeCell ref="J130:M130"/>
    <mergeCell ref="A114:M114"/>
    <mergeCell ref="N114:Q114"/>
    <mergeCell ref="A115:M115"/>
    <mergeCell ref="N115:Q115"/>
    <mergeCell ref="A116:M116"/>
    <mergeCell ref="N116:Q116"/>
    <mergeCell ref="A117:M117"/>
    <mergeCell ref="N117:Q117"/>
    <mergeCell ref="B119:G119"/>
    <mergeCell ref="H119:M119"/>
    <mergeCell ref="E110:G110"/>
    <mergeCell ref="H110:I110"/>
    <mergeCell ref="J110:M110"/>
    <mergeCell ref="N110:Q110"/>
    <mergeCell ref="A111:M111"/>
    <mergeCell ref="N111:Q111"/>
    <mergeCell ref="A112:M112"/>
    <mergeCell ref="N112:Q112"/>
    <mergeCell ref="A113:M113"/>
    <mergeCell ref="N113:Q113"/>
    <mergeCell ref="C100:F100"/>
    <mergeCell ref="G100:H100"/>
    <mergeCell ref="I100:J100"/>
    <mergeCell ref="K100:O100"/>
    <mergeCell ref="P100:Q100"/>
    <mergeCell ref="A104:Q104"/>
    <mergeCell ref="B105:D105"/>
    <mergeCell ref="E105:G105"/>
    <mergeCell ref="H105:I105"/>
    <mergeCell ref="J105:M105"/>
    <mergeCell ref="N105:Q105"/>
    <mergeCell ref="C101:F101"/>
    <mergeCell ref="G101:H101"/>
    <mergeCell ref="I101:J101"/>
    <mergeCell ref="K101:O101"/>
    <mergeCell ref="P101:Q101"/>
    <mergeCell ref="C102:F102"/>
    <mergeCell ref="G102:H102"/>
    <mergeCell ref="I102:J102"/>
    <mergeCell ref="K102:O102"/>
    <mergeCell ref="P102:Q102"/>
    <mergeCell ref="B80:D80"/>
    <mergeCell ref="E80:G80"/>
    <mergeCell ref="H80:I80"/>
    <mergeCell ref="J80:M80"/>
    <mergeCell ref="N80:Q80"/>
    <mergeCell ref="A84:C84"/>
    <mergeCell ref="A85:C85"/>
    <mergeCell ref="A86:L86"/>
    <mergeCell ref="A87:C87"/>
    <mergeCell ref="A83:Q83"/>
    <mergeCell ref="E78:G78"/>
    <mergeCell ref="H78:I78"/>
    <mergeCell ref="J78:M78"/>
    <mergeCell ref="N78:Q78"/>
    <mergeCell ref="B79:D79"/>
    <mergeCell ref="E79:G79"/>
    <mergeCell ref="H79:I79"/>
    <mergeCell ref="J79:M79"/>
    <mergeCell ref="N79:Q79"/>
    <mergeCell ref="B78:D78"/>
    <mergeCell ref="B54:Q54"/>
    <mergeCell ref="B55:Q55"/>
    <mergeCell ref="B56:Q56"/>
    <mergeCell ref="B57:Q57"/>
    <mergeCell ref="B58:Q58"/>
    <mergeCell ref="B60:D60"/>
    <mergeCell ref="E60:G60"/>
    <mergeCell ref="H60:I60"/>
    <mergeCell ref="J60:M60"/>
    <mergeCell ref="N60:Q60"/>
    <mergeCell ref="A8:Q8"/>
    <mergeCell ref="B9:G9"/>
    <mergeCell ref="H9:Q9"/>
    <mergeCell ref="B10:G10"/>
    <mergeCell ref="H10:Q10"/>
    <mergeCell ref="B11:G11"/>
    <mergeCell ref="H11:Q11"/>
    <mergeCell ref="A1:C1"/>
    <mergeCell ref="A2:C2"/>
    <mergeCell ref="A3:L3"/>
    <mergeCell ref="A4:C4"/>
    <mergeCell ref="A5:C5"/>
    <mergeCell ref="A7:C7"/>
    <mergeCell ref="L7:Q7"/>
    <mergeCell ref="B15:G15"/>
    <mergeCell ref="H15:Q15"/>
    <mergeCell ref="B16:G16"/>
    <mergeCell ref="H16:Q16"/>
    <mergeCell ref="B17:G17"/>
    <mergeCell ref="H17:Q17"/>
    <mergeCell ref="B12:G12"/>
    <mergeCell ref="H12:Q12"/>
    <mergeCell ref="B13:G13"/>
    <mergeCell ref="H13:Q13"/>
    <mergeCell ref="B14:G14"/>
    <mergeCell ref="H14:Q14"/>
    <mergeCell ref="B21:G21"/>
    <mergeCell ref="H21:Q21"/>
    <mergeCell ref="B22:G22"/>
    <mergeCell ref="H22:Q22"/>
    <mergeCell ref="B23:G23"/>
    <mergeCell ref="H23:Q23"/>
    <mergeCell ref="B18:G18"/>
    <mergeCell ref="H18:Q18"/>
    <mergeCell ref="B19:G19"/>
    <mergeCell ref="H19:Q19"/>
    <mergeCell ref="B20:G20"/>
    <mergeCell ref="H20:Q20"/>
    <mergeCell ref="B27:G27"/>
    <mergeCell ref="H27:Q27"/>
    <mergeCell ref="A29:Q29"/>
    <mergeCell ref="B30:G30"/>
    <mergeCell ref="H30:Q30"/>
    <mergeCell ref="B31:G31"/>
    <mergeCell ref="H31:Q31"/>
    <mergeCell ref="B24:G24"/>
    <mergeCell ref="H24:Q24"/>
    <mergeCell ref="B25:G25"/>
    <mergeCell ref="H25:Q25"/>
    <mergeCell ref="B26:G26"/>
    <mergeCell ref="H26:Q26"/>
    <mergeCell ref="B32:G32"/>
    <mergeCell ref="H32:Q32"/>
    <mergeCell ref="B33:G33"/>
    <mergeCell ref="H33:Q33"/>
    <mergeCell ref="B34:G34"/>
    <mergeCell ref="H34:Q34"/>
    <mergeCell ref="B35:G35"/>
    <mergeCell ref="H35:Q35"/>
    <mergeCell ref="B36:G36"/>
    <mergeCell ref="H36:Q36"/>
    <mergeCell ref="B37:G37"/>
    <mergeCell ref="H37:Q37"/>
    <mergeCell ref="B38:G38"/>
    <mergeCell ref="B51:G51"/>
    <mergeCell ref="H51:Q51"/>
    <mergeCell ref="B52:G52"/>
    <mergeCell ref="H52:Q52"/>
    <mergeCell ref="A43:C43"/>
    <mergeCell ref="B50:G50"/>
    <mergeCell ref="H50:Q50"/>
    <mergeCell ref="H38:Q38"/>
    <mergeCell ref="B39:G39"/>
    <mergeCell ref="H39:Q39"/>
    <mergeCell ref="A41:Q41"/>
    <mergeCell ref="A42:C42"/>
    <mergeCell ref="A44:L44"/>
    <mergeCell ref="A45:C45"/>
    <mergeCell ref="A46:C46"/>
    <mergeCell ref="A48:C48"/>
    <mergeCell ref="L48:Q48"/>
    <mergeCell ref="A49:Q49"/>
    <mergeCell ref="J61:M61"/>
    <mergeCell ref="N61:Q61"/>
    <mergeCell ref="B62:D62"/>
    <mergeCell ref="E62:G62"/>
    <mergeCell ref="H62:I62"/>
    <mergeCell ref="J62:M62"/>
    <mergeCell ref="N62:Q62"/>
    <mergeCell ref="B63:D63"/>
    <mergeCell ref="E63:G63"/>
    <mergeCell ref="H63:I63"/>
    <mergeCell ref="J63:M63"/>
    <mergeCell ref="N63:Q63"/>
    <mergeCell ref="B61:D61"/>
    <mergeCell ref="E61:G61"/>
    <mergeCell ref="H61:I61"/>
    <mergeCell ref="B64:D64"/>
    <mergeCell ref="E64:G64"/>
    <mergeCell ref="H64:I64"/>
    <mergeCell ref="J64:M64"/>
    <mergeCell ref="N64:Q64"/>
    <mergeCell ref="B65:D65"/>
    <mergeCell ref="E65:G65"/>
    <mergeCell ref="H65:I65"/>
    <mergeCell ref="J65:M65"/>
    <mergeCell ref="N65:Q65"/>
    <mergeCell ref="B66:D66"/>
    <mergeCell ref="E66:G66"/>
    <mergeCell ref="H66:I66"/>
    <mergeCell ref="J66:M66"/>
    <mergeCell ref="N66:Q66"/>
    <mergeCell ref="B67:D67"/>
    <mergeCell ref="E67:G67"/>
    <mergeCell ref="H67:I67"/>
    <mergeCell ref="J67:M67"/>
    <mergeCell ref="N67:Q67"/>
    <mergeCell ref="B68:D68"/>
    <mergeCell ref="E68:G68"/>
    <mergeCell ref="H68:I68"/>
    <mergeCell ref="J68:M68"/>
    <mergeCell ref="N68:Q68"/>
    <mergeCell ref="B69:D69"/>
    <mergeCell ref="E69:G69"/>
    <mergeCell ref="H69:I69"/>
    <mergeCell ref="J69:M69"/>
    <mergeCell ref="N69:Q69"/>
    <mergeCell ref="B70:D70"/>
    <mergeCell ref="E70:G70"/>
    <mergeCell ref="H70:I70"/>
    <mergeCell ref="J70:M70"/>
    <mergeCell ref="N70:Q70"/>
    <mergeCell ref="B71:D71"/>
    <mergeCell ref="E71:G71"/>
    <mergeCell ref="H71:I71"/>
    <mergeCell ref="J71:M71"/>
    <mergeCell ref="N71:Q71"/>
    <mergeCell ref="A73:Q73"/>
    <mergeCell ref="B76:D76"/>
    <mergeCell ref="E76:G76"/>
    <mergeCell ref="H76:I76"/>
    <mergeCell ref="J76:M76"/>
    <mergeCell ref="N76:Q76"/>
    <mergeCell ref="B77:D77"/>
    <mergeCell ref="E77:G77"/>
    <mergeCell ref="H77:I77"/>
    <mergeCell ref="J77:M77"/>
    <mergeCell ref="N77:Q77"/>
    <mergeCell ref="B74:D74"/>
    <mergeCell ref="E74:G74"/>
    <mergeCell ref="H74:I74"/>
    <mergeCell ref="J74:M74"/>
    <mergeCell ref="N74:Q74"/>
    <mergeCell ref="B75:D75"/>
    <mergeCell ref="E75:G75"/>
    <mergeCell ref="H75:I75"/>
    <mergeCell ref="J75:M75"/>
    <mergeCell ref="N75:Q75"/>
    <mergeCell ref="A88:C88"/>
    <mergeCell ref="B93:E93"/>
    <mergeCell ref="F93:H93"/>
    <mergeCell ref="I93:N93"/>
    <mergeCell ref="O93:Q93"/>
    <mergeCell ref="B94:E94"/>
    <mergeCell ref="F94:H94"/>
    <mergeCell ref="I94:N94"/>
    <mergeCell ref="O94:Q94"/>
    <mergeCell ref="A90:C90"/>
    <mergeCell ref="L90:Q90"/>
    <mergeCell ref="B91:E91"/>
    <mergeCell ref="F91:H91"/>
    <mergeCell ref="I91:N91"/>
    <mergeCell ref="O91:Q91"/>
    <mergeCell ref="B92:E92"/>
    <mergeCell ref="F92:H92"/>
    <mergeCell ref="I92:N92"/>
    <mergeCell ref="O92:Q92"/>
    <mergeCell ref="B96:E96"/>
    <mergeCell ref="F96:H96"/>
    <mergeCell ref="I96:N96"/>
    <mergeCell ref="O96:Q96"/>
    <mergeCell ref="B97:E97"/>
    <mergeCell ref="F97:H97"/>
    <mergeCell ref="I97:N97"/>
    <mergeCell ref="O97:Q97"/>
    <mergeCell ref="C99:F99"/>
    <mergeCell ref="G99:H99"/>
    <mergeCell ref="I99:J99"/>
    <mergeCell ref="K99:O99"/>
    <mergeCell ref="P99:Q99"/>
    <mergeCell ref="B106:D106"/>
    <mergeCell ref="E106:G106"/>
    <mergeCell ref="H106:I106"/>
    <mergeCell ref="J106:M106"/>
    <mergeCell ref="N106:Q106"/>
    <mergeCell ref="B107:D107"/>
    <mergeCell ref="N120:Q120"/>
    <mergeCell ref="A123:C123"/>
    <mergeCell ref="A124:C124"/>
    <mergeCell ref="E107:G107"/>
    <mergeCell ref="H107:I107"/>
    <mergeCell ref="J107:M107"/>
    <mergeCell ref="N107:Q107"/>
    <mergeCell ref="B108:D108"/>
    <mergeCell ref="E108:G108"/>
    <mergeCell ref="H108:I108"/>
    <mergeCell ref="J108:M108"/>
    <mergeCell ref="N108:Q108"/>
    <mergeCell ref="B109:D109"/>
    <mergeCell ref="E109:G109"/>
    <mergeCell ref="H109:I109"/>
    <mergeCell ref="J109:M109"/>
    <mergeCell ref="N109:Q109"/>
    <mergeCell ref="B110:D110"/>
    <mergeCell ref="A125:L125"/>
    <mergeCell ref="A126:C126"/>
    <mergeCell ref="A127:C127"/>
    <mergeCell ref="N133:Q133"/>
    <mergeCell ref="N134:Q134"/>
    <mergeCell ref="N130:Q130"/>
    <mergeCell ref="N131:Q131"/>
    <mergeCell ref="B142:G142"/>
    <mergeCell ref="H142:Q142"/>
    <mergeCell ref="B131:D131"/>
    <mergeCell ref="E131:G131"/>
    <mergeCell ref="H131:I131"/>
    <mergeCell ref="J131:M131"/>
    <mergeCell ref="B132:D132"/>
    <mergeCell ref="E132:G132"/>
    <mergeCell ref="H132:I132"/>
    <mergeCell ref="J132:M132"/>
    <mergeCell ref="N132:Q132"/>
    <mergeCell ref="B133:D133"/>
    <mergeCell ref="E133:G133"/>
    <mergeCell ref="H133:I133"/>
    <mergeCell ref="J133:M133"/>
    <mergeCell ref="B134:D134"/>
    <mergeCell ref="E134:G134"/>
    <mergeCell ref="B143:G143"/>
    <mergeCell ref="H143:Q143"/>
    <mergeCell ref="B144:G144"/>
    <mergeCell ref="H144:Q144"/>
    <mergeCell ref="B139:G139"/>
    <mergeCell ref="H139:Q139"/>
    <mergeCell ref="B140:G140"/>
    <mergeCell ref="H140:Q140"/>
    <mergeCell ref="B141:G141"/>
    <mergeCell ref="H141:Q141"/>
    <mergeCell ref="B155:D155"/>
    <mergeCell ref="E155:G155"/>
    <mergeCell ref="H155:I155"/>
    <mergeCell ref="J155:M155"/>
    <mergeCell ref="N155:Q155"/>
    <mergeCell ref="B156:D156"/>
    <mergeCell ref="E156:G156"/>
    <mergeCell ref="H156:I156"/>
    <mergeCell ref="J156:M156"/>
    <mergeCell ref="N156:Q156"/>
    <mergeCell ref="A162:C162"/>
    <mergeCell ref="A163:C163"/>
    <mergeCell ref="A164:L164"/>
    <mergeCell ref="A165:C165"/>
    <mergeCell ref="B170:D170"/>
    <mergeCell ref="E170:G170"/>
    <mergeCell ref="H170:I170"/>
    <mergeCell ref="J170:M170"/>
    <mergeCell ref="N170:Q170"/>
    <mergeCell ref="B169:D169"/>
    <mergeCell ref="E169:G169"/>
    <mergeCell ref="H169:I169"/>
    <mergeCell ref="J169:M169"/>
    <mergeCell ref="N169:Q169"/>
    <mergeCell ref="A166:C166"/>
    <mergeCell ref="A168:C168"/>
    <mergeCell ref="L168:Q168"/>
    <mergeCell ref="N174:Q174"/>
    <mergeCell ref="B175:D175"/>
    <mergeCell ref="E175:G175"/>
    <mergeCell ref="H175:I175"/>
    <mergeCell ref="J175:M175"/>
    <mergeCell ref="N175:Q175"/>
    <mergeCell ref="B176:D176"/>
    <mergeCell ref="E176:G176"/>
    <mergeCell ref="H176:I176"/>
    <mergeCell ref="J176:M176"/>
    <mergeCell ref="N176:Q176"/>
    <mergeCell ref="B177:D177"/>
    <mergeCell ref="E177:G177"/>
    <mergeCell ref="H177:I177"/>
    <mergeCell ref="J177:M177"/>
    <mergeCell ref="N177:Q177"/>
    <mergeCell ref="B178:D178"/>
    <mergeCell ref="E178:G178"/>
    <mergeCell ref="H178:I178"/>
    <mergeCell ref="J178:M178"/>
    <mergeCell ref="N178:Q178"/>
    <mergeCell ref="B185:G185"/>
    <mergeCell ref="H185:Q185"/>
    <mergeCell ref="B186:G186"/>
    <mergeCell ref="H186:Q186"/>
    <mergeCell ref="A188:Q189"/>
    <mergeCell ref="A193:Q193"/>
    <mergeCell ref="B180:G180"/>
    <mergeCell ref="H180:Q180"/>
    <mergeCell ref="B181:G181"/>
    <mergeCell ref="H181:Q181"/>
    <mergeCell ref="B182:G182"/>
    <mergeCell ref="H182:Q182"/>
    <mergeCell ref="B183:G183"/>
    <mergeCell ref="H183:Q183"/>
    <mergeCell ref="B184:G184"/>
    <mergeCell ref="H184:Q18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H62"/>
  <sheetViews>
    <sheetView topLeftCell="A10" workbookViewId="0">
      <selection activeCell="F34" sqref="F34"/>
    </sheetView>
  </sheetViews>
  <sheetFormatPr defaultRowHeight="15"/>
  <cols>
    <col min="1" max="3" width="1.7109375" customWidth="1"/>
    <col min="4" max="4" width="40.7109375" customWidth="1"/>
    <col min="5" max="6" width="12.5703125" bestFit="1" customWidth="1"/>
    <col min="7" max="8" width="10.42578125" bestFit="1" customWidth="1"/>
  </cols>
  <sheetData>
    <row r="2" spans="1:8">
      <c r="A2" s="659" t="s">
        <v>2821</v>
      </c>
      <c r="B2" s="659"/>
      <c r="C2" s="659"/>
      <c r="D2" s="659"/>
      <c r="E2" s="659"/>
      <c r="F2" s="659"/>
      <c r="G2" s="659"/>
      <c r="H2" s="659"/>
    </row>
    <row r="3" spans="1:8">
      <c r="A3" s="659" t="s">
        <v>793</v>
      </c>
      <c r="B3" s="659"/>
      <c r="C3" s="659"/>
      <c r="D3" s="659"/>
      <c r="E3" s="659"/>
      <c r="F3" s="659"/>
      <c r="G3" s="659"/>
      <c r="H3" s="659"/>
    </row>
    <row r="4" spans="1:8">
      <c r="A4" s="660" t="s">
        <v>2822</v>
      </c>
      <c r="B4" s="660"/>
      <c r="C4" s="660"/>
      <c r="D4" s="660"/>
      <c r="E4" s="660"/>
      <c r="F4" s="660"/>
      <c r="G4" s="660"/>
      <c r="H4" s="660"/>
    </row>
    <row r="5" spans="1:8">
      <c r="A5" s="659" t="s">
        <v>794</v>
      </c>
      <c r="B5" s="659"/>
      <c r="C5" s="659"/>
      <c r="D5" s="659"/>
      <c r="E5" s="659"/>
      <c r="F5" s="659"/>
      <c r="G5" s="659"/>
      <c r="H5" s="659"/>
    </row>
    <row r="6" spans="1:8">
      <c r="A6" s="659" t="s">
        <v>2823</v>
      </c>
      <c r="B6" s="659"/>
      <c r="C6" s="659"/>
      <c r="D6" s="659"/>
      <c r="E6" s="659"/>
      <c r="F6" s="659"/>
      <c r="G6" s="659"/>
      <c r="H6" s="659"/>
    </row>
    <row r="8" spans="1:8">
      <c r="A8" s="656" t="s">
        <v>2824</v>
      </c>
      <c r="B8" s="656"/>
      <c r="C8" s="656"/>
      <c r="D8" s="656"/>
      <c r="H8" s="455" t="s">
        <v>766</v>
      </c>
    </row>
    <row r="9" spans="1:8" ht="2.1" customHeight="1" thickBot="1"/>
    <row r="10" spans="1:8" ht="15.75" thickBot="1">
      <c r="A10" s="976" t="s">
        <v>1756</v>
      </c>
      <c r="B10" s="977"/>
      <c r="C10" s="977"/>
      <c r="D10" s="977"/>
      <c r="E10" s="581" t="s">
        <v>2825</v>
      </c>
      <c r="F10" s="624" t="s">
        <v>2826</v>
      </c>
      <c r="G10" s="982"/>
      <c r="H10" s="983"/>
    </row>
    <row r="11" spans="1:8">
      <c r="A11" s="978"/>
      <c r="B11" s="979"/>
      <c r="C11" s="979"/>
      <c r="D11" s="979"/>
      <c r="E11" s="582" t="s">
        <v>2827</v>
      </c>
      <c r="F11" s="582" t="s">
        <v>2828</v>
      </c>
      <c r="G11" s="582" t="s">
        <v>2829</v>
      </c>
      <c r="H11" s="583" t="s">
        <v>2830</v>
      </c>
    </row>
    <row r="12" spans="1:8" ht="15.75" thickBot="1">
      <c r="A12" s="980"/>
      <c r="B12" s="981"/>
      <c r="C12" s="981"/>
      <c r="D12" s="979"/>
      <c r="E12" s="582" t="s">
        <v>2831</v>
      </c>
      <c r="F12" s="582" t="s">
        <v>2832</v>
      </c>
      <c r="G12" s="582" t="s">
        <v>2832</v>
      </c>
      <c r="H12" s="583" t="s">
        <v>2832</v>
      </c>
    </row>
    <row r="13" spans="1:8">
      <c r="A13" s="974" t="s">
        <v>2833</v>
      </c>
      <c r="B13" s="974"/>
      <c r="C13" s="974"/>
      <c r="D13" s="975"/>
      <c r="E13" s="602" t="s">
        <v>1028</v>
      </c>
      <c r="F13" s="602" t="s">
        <v>2696</v>
      </c>
      <c r="G13" s="602" t="s">
        <v>505</v>
      </c>
      <c r="H13" s="603" t="s">
        <v>505</v>
      </c>
    </row>
    <row r="14" spans="1:8">
      <c r="B14" s="970" t="s">
        <v>2834</v>
      </c>
      <c r="C14" s="970"/>
      <c r="D14" s="971"/>
      <c r="E14" s="604" t="s">
        <v>505</v>
      </c>
      <c r="F14" s="604" t="s">
        <v>505</v>
      </c>
      <c r="G14" s="604" t="s">
        <v>505</v>
      </c>
      <c r="H14" s="605" t="s">
        <v>505</v>
      </c>
    </row>
    <row r="15" spans="1:8">
      <c r="B15" s="970" t="s">
        <v>2835</v>
      </c>
      <c r="C15" s="970"/>
      <c r="D15" s="971"/>
      <c r="E15" s="604" t="s">
        <v>2836</v>
      </c>
      <c r="F15" s="604" t="s">
        <v>2837</v>
      </c>
      <c r="G15" s="604" t="s">
        <v>505</v>
      </c>
      <c r="H15" s="605" t="s">
        <v>505</v>
      </c>
    </row>
    <row r="16" spans="1:8">
      <c r="C16" s="970" t="s">
        <v>2838</v>
      </c>
      <c r="D16" s="971"/>
      <c r="E16" s="604" t="s">
        <v>505</v>
      </c>
      <c r="F16" s="604" t="s">
        <v>505</v>
      </c>
      <c r="G16" s="604" t="s">
        <v>505</v>
      </c>
      <c r="H16" s="605" t="s">
        <v>505</v>
      </c>
    </row>
    <row r="17" spans="1:8">
      <c r="D17" s="606" t="s">
        <v>2839</v>
      </c>
      <c r="E17" s="604" t="s">
        <v>505</v>
      </c>
      <c r="F17" s="604" t="s">
        <v>505</v>
      </c>
      <c r="G17" s="604" t="s">
        <v>505</v>
      </c>
      <c r="H17" s="605" t="s">
        <v>505</v>
      </c>
    </row>
    <row r="18" spans="1:8">
      <c r="D18" s="606" t="s">
        <v>2840</v>
      </c>
      <c r="E18" s="604" t="s">
        <v>505</v>
      </c>
      <c r="F18" s="604" t="s">
        <v>505</v>
      </c>
      <c r="G18" s="604" t="s">
        <v>505</v>
      </c>
      <c r="H18" s="605" t="s">
        <v>505</v>
      </c>
    </row>
    <row r="19" spans="1:8">
      <c r="C19" s="970" t="s">
        <v>2841</v>
      </c>
      <c r="D19" s="971"/>
      <c r="E19" s="604" t="s">
        <v>505</v>
      </c>
      <c r="F19" s="604" t="s">
        <v>505</v>
      </c>
      <c r="G19" s="604" t="s">
        <v>505</v>
      </c>
      <c r="H19" s="605" t="s">
        <v>505</v>
      </c>
    </row>
    <row r="20" spans="1:8">
      <c r="C20" s="970" t="s">
        <v>2842</v>
      </c>
      <c r="D20" s="971"/>
      <c r="E20" s="604" t="s">
        <v>2843</v>
      </c>
      <c r="F20" s="604" t="s">
        <v>686</v>
      </c>
      <c r="G20" s="604" t="s">
        <v>505</v>
      </c>
      <c r="H20" s="605" t="s">
        <v>505</v>
      </c>
    </row>
    <row r="21" spans="1:8">
      <c r="D21" s="606" t="s">
        <v>2839</v>
      </c>
      <c r="E21" s="604" t="s">
        <v>2843</v>
      </c>
      <c r="F21" s="604" t="s">
        <v>686</v>
      </c>
      <c r="G21" s="604" t="s">
        <v>505</v>
      </c>
      <c r="H21" s="605" t="s">
        <v>505</v>
      </c>
    </row>
    <row r="22" spans="1:8">
      <c r="D22" s="606" t="s">
        <v>2840</v>
      </c>
      <c r="E22" s="604" t="s">
        <v>505</v>
      </c>
      <c r="F22" s="604" t="s">
        <v>505</v>
      </c>
      <c r="G22" s="604" t="s">
        <v>505</v>
      </c>
      <c r="H22" s="605" t="s">
        <v>505</v>
      </c>
    </row>
    <row r="23" spans="1:8">
      <c r="C23" s="970" t="s">
        <v>2844</v>
      </c>
      <c r="D23" s="971"/>
      <c r="E23" s="604" t="s">
        <v>2845</v>
      </c>
      <c r="F23" s="604" t="s">
        <v>2846</v>
      </c>
      <c r="G23" s="604" t="s">
        <v>505</v>
      </c>
      <c r="H23" s="605" t="s">
        <v>505</v>
      </c>
    </row>
    <row r="24" spans="1:8">
      <c r="D24" s="606" t="s">
        <v>2847</v>
      </c>
      <c r="E24" s="604" t="s">
        <v>505</v>
      </c>
      <c r="F24" s="604" t="s">
        <v>505</v>
      </c>
      <c r="G24" s="604" t="s">
        <v>505</v>
      </c>
      <c r="H24" s="605" t="s">
        <v>505</v>
      </c>
    </row>
    <row r="25" spans="1:8">
      <c r="D25" s="606" t="s">
        <v>2848</v>
      </c>
      <c r="E25" s="604" t="s">
        <v>2849</v>
      </c>
      <c r="F25" s="604" t="s">
        <v>2850</v>
      </c>
      <c r="G25" s="604" t="s">
        <v>505</v>
      </c>
      <c r="H25" s="605" t="s">
        <v>505</v>
      </c>
    </row>
    <row r="26" spans="1:8">
      <c r="D26" s="606" t="s">
        <v>2851</v>
      </c>
      <c r="E26" s="604" t="s">
        <v>505</v>
      </c>
      <c r="F26" s="604" t="s">
        <v>505</v>
      </c>
      <c r="G26" s="604" t="s">
        <v>505</v>
      </c>
      <c r="H26" s="605" t="s">
        <v>505</v>
      </c>
    </row>
    <row r="27" spans="1:8">
      <c r="D27" s="606" t="s">
        <v>2852</v>
      </c>
      <c r="E27" s="604" t="s">
        <v>505</v>
      </c>
      <c r="F27" s="604" t="s">
        <v>505</v>
      </c>
      <c r="G27" s="604" t="s">
        <v>505</v>
      </c>
      <c r="H27" s="605" t="s">
        <v>505</v>
      </c>
    </row>
    <row r="28" spans="1:8">
      <c r="D28" s="606" t="s">
        <v>2853</v>
      </c>
      <c r="E28" s="604" t="s">
        <v>2854</v>
      </c>
      <c r="F28" s="604" t="s">
        <v>2854</v>
      </c>
      <c r="G28" s="604" t="s">
        <v>505</v>
      </c>
      <c r="H28" s="605" t="s">
        <v>505</v>
      </c>
    </row>
    <row r="29" spans="1:8">
      <c r="C29" s="970" t="s">
        <v>2855</v>
      </c>
      <c r="D29" s="971"/>
      <c r="E29" s="604" t="s">
        <v>2856</v>
      </c>
      <c r="F29" s="604" t="s">
        <v>2857</v>
      </c>
      <c r="G29" s="604" t="s">
        <v>505</v>
      </c>
      <c r="H29" s="605" t="s">
        <v>505</v>
      </c>
    </row>
    <row r="30" spans="1:8">
      <c r="B30" s="970" t="s">
        <v>2858</v>
      </c>
      <c r="C30" s="970"/>
      <c r="D30" s="971"/>
      <c r="E30" s="604" t="s">
        <v>2859</v>
      </c>
      <c r="F30" s="604" t="s">
        <v>2859</v>
      </c>
      <c r="G30" s="604" t="s">
        <v>505</v>
      </c>
      <c r="H30" s="605" t="s">
        <v>505</v>
      </c>
    </row>
    <row r="31" spans="1:8">
      <c r="B31" s="970" t="s">
        <v>2860</v>
      </c>
      <c r="C31" s="970"/>
      <c r="D31" s="971"/>
      <c r="E31" s="604" t="s">
        <v>505</v>
      </c>
      <c r="F31" s="604" t="s">
        <v>505</v>
      </c>
      <c r="G31" s="604" t="s">
        <v>505</v>
      </c>
      <c r="H31" s="605" t="s">
        <v>505</v>
      </c>
    </row>
    <row r="32" spans="1:8">
      <c r="A32" s="970" t="s">
        <v>2861</v>
      </c>
      <c r="B32" s="970"/>
      <c r="C32" s="970"/>
      <c r="D32" s="971"/>
      <c r="E32" s="604" t="s">
        <v>2697</v>
      </c>
      <c r="F32" s="604" t="s">
        <v>2698</v>
      </c>
      <c r="G32" s="604" t="s">
        <v>505</v>
      </c>
      <c r="H32" s="605" t="s">
        <v>505</v>
      </c>
    </row>
    <row r="33" spans="1:8">
      <c r="B33" s="970" t="s">
        <v>2862</v>
      </c>
      <c r="C33" s="970"/>
      <c r="D33" s="971"/>
      <c r="E33" s="604" t="s">
        <v>2699</v>
      </c>
      <c r="F33" s="604" t="s">
        <v>2700</v>
      </c>
      <c r="G33" s="604" t="s">
        <v>505</v>
      </c>
      <c r="H33" s="605" t="s">
        <v>505</v>
      </c>
    </row>
    <row r="34" spans="1:8">
      <c r="C34" s="970" t="s">
        <v>1032</v>
      </c>
      <c r="D34" s="971"/>
      <c r="E34" s="604" t="s">
        <v>1033</v>
      </c>
      <c r="F34" s="604" t="s">
        <v>2701</v>
      </c>
      <c r="G34" s="604" t="s">
        <v>505</v>
      </c>
      <c r="H34" s="605" t="s">
        <v>505</v>
      </c>
    </row>
    <row r="35" spans="1:8">
      <c r="C35" s="970" t="s">
        <v>2863</v>
      </c>
      <c r="D35" s="971"/>
      <c r="E35" s="604" t="s">
        <v>2702</v>
      </c>
      <c r="F35" s="604" t="s">
        <v>2703</v>
      </c>
      <c r="G35" s="604" t="s">
        <v>505</v>
      </c>
      <c r="H35" s="605" t="s">
        <v>505</v>
      </c>
    </row>
    <row r="36" spans="1:8">
      <c r="C36" s="970" t="s">
        <v>1406</v>
      </c>
      <c r="D36" s="971"/>
      <c r="E36" s="604" t="s">
        <v>1407</v>
      </c>
      <c r="F36" s="604" t="s">
        <v>2704</v>
      </c>
      <c r="G36" s="604" t="s">
        <v>505</v>
      </c>
      <c r="H36" s="605" t="s">
        <v>505</v>
      </c>
    </row>
    <row r="37" spans="1:8" ht="15.75" thickBot="1">
      <c r="B37" s="970" t="s">
        <v>1035</v>
      </c>
      <c r="C37" s="970"/>
      <c r="D37" s="971"/>
      <c r="E37" s="604" t="s">
        <v>1030</v>
      </c>
      <c r="F37" s="604" t="s">
        <v>2705</v>
      </c>
      <c r="G37" s="604" t="s">
        <v>505</v>
      </c>
      <c r="H37" s="605" t="s">
        <v>505</v>
      </c>
    </row>
    <row r="38" spans="1:8" ht="15.75" thickBot="1">
      <c r="A38" s="984" t="s">
        <v>2864</v>
      </c>
      <c r="B38" s="984"/>
      <c r="C38" s="984"/>
      <c r="D38" s="985"/>
      <c r="E38" s="607" t="s">
        <v>2865</v>
      </c>
      <c r="F38" s="607" t="s">
        <v>1758</v>
      </c>
      <c r="G38" s="607" t="s">
        <v>505</v>
      </c>
      <c r="H38" s="608" t="s">
        <v>505</v>
      </c>
    </row>
    <row r="39" spans="1:8" ht="15.75" thickBot="1">
      <c r="A39" s="984" t="s">
        <v>2866</v>
      </c>
      <c r="B39" s="984"/>
      <c r="C39" s="984"/>
      <c r="D39" s="985"/>
      <c r="E39" s="607" t="s">
        <v>2867</v>
      </c>
      <c r="F39" s="607" t="s">
        <v>2868</v>
      </c>
      <c r="G39" s="607" t="s">
        <v>505</v>
      </c>
      <c r="H39" s="608" t="s">
        <v>505</v>
      </c>
    </row>
    <row r="40" spans="1:8" ht="30" customHeight="1" thickBot="1">
      <c r="A40" s="986" t="s">
        <v>2869</v>
      </c>
      <c r="B40" s="986"/>
      <c r="C40" s="986"/>
      <c r="D40" s="987"/>
      <c r="E40" s="602" t="s">
        <v>2870</v>
      </c>
      <c r="F40" s="602" t="s">
        <v>2870</v>
      </c>
      <c r="G40" s="602" t="s">
        <v>505</v>
      </c>
      <c r="H40" s="603" t="s">
        <v>505</v>
      </c>
    </row>
    <row r="41" spans="1:8" ht="30" customHeight="1" thickBot="1">
      <c r="A41" s="986" t="s">
        <v>2871</v>
      </c>
      <c r="B41" s="986"/>
      <c r="C41" s="986"/>
      <c r="D41" s="987"/>
      <c r="E41" s="602" t="s">
        <v>2872</v>
      </c>
      <c r="F41" s="602" t="s">
        <v>2873</v>
      </c>
      <c r="G41" s="602" t="s">
        <v>505</v>
      </c>
      <c r="H41" s="603" t="s">
        <v>505</v>
      </c>
    </row>
    <row r="42" spans="1:8" ht="15.75" thickBot="1">
      <c r="A42" s="974" t="s">
        <v>2874</v>
      </c>
      <c r="B42" s="974"/>
      <c r="C42" s="974"/>
      <c r="D42" s="975"/>
      <c r="E42" s="602" t="s">
        <v>2875</v>
      </c>
      <c r="F42" s="602" t="s">
        <v>2876</v>
      </c>
      <c r="G42" s="602" t="s">
        <v>505</v>
      </c>
      <c r="H42" s="603" t="s">
        <v>505</v>
      </c>
    </row>
    <row r="43" spans="1:8" ht="15.75" thickBot="1">
      <c r="A43" s="984" t="s">
        <v>2877</v>
      </c>
      <c r="B43" s="984"/>
      <c r="C43" s="984"/>
      <c r="D43" s="985"/>
      <c r="E43" s="607" t="s">
        <v>2878</v>
      </c>
      <c r="F43" s="607" t="s">
        <v>1759</v>
      </c>
      <c r="G43" s="607" t="s">
        <v>505</v>
      </c>
      <c r="H43" s="608" t="s">
        <v>505</v>
      </c>
    </row>
    <row r="44" spans="1:8" ht="15.75" thickBot="1">
      <c r="A44" s="974" t="s">
        <v>2879</v>
      </c>
      <c r="B44" s="974"/>
      <c r="C44" s="974"/>
      <c r="D44" s="975"/>
      <c r="E44" s="602" t="s">
        <v>505</v>
      </c>
      <c r="F44" s="602" t="s">
        <v>505</v>
      </c>
      <c r="G44" s="602" t="s">
        <v>505</v>
      </c>
      <c r="H44" s="603" t="s">
        <v>505</v>
      </c>
    </row>
    <row r="45" spans="1:8" ht="15.75" thickBot="1">
      <c r="A45" s="974" t="s">
        <v>2880</v>
      </c>
      <c r="B45" s="974"/>
      <c r="C45" s="974"/>
      <c r="D45" s="975"/>
      <c r="E45" s="602" t="s">
        <v>505</v>
      </c>
      <c r="F45" s="602" t="s">
        <v>505</v>
      </c>
      <c r="G45" s="602" t="s">
        <v>505</v>
      </c>
      <c r="H45" s="603" t="s">
        <v>505</v>
      </c>
    </row>
    <row r="46" spans="1:8" ht="15.75" thickBot="1">
      <c r="A46" s="584" t="s">
        <v>1657</v>
      </c>
      <c r="B46" s="440"/>
      <c r="C46" s="440"/>
      <c r="D46" s="440"/>
      <c r="E46" s="440"/>
      <c r="F46" s="440"/>
      <c r="G46" s="440"/>
      <c r="H46" s="440"/>
    </row>
    <row r="47" spans="1:8" ht="15.75" thickBot="1">
      <c r="A47" s="976" t="s">
        <v>2881</v>
      </c>
      <c r="B47" s="977"/>
      <c r="C47" s="977"/>
      <c r="D47" s="977"/>
      <c r="E47" s="581" t="s">
        <v>2825</v>
      </c>
      <c r="F47" s="624" t="s">
        <v>2826</v>
      </c>
      <c r="G47" s="982"/>
      <c r="H47" s="983"/>
    </row>
    <row r="48" spans="1:8">
      <c r="A48" s="978"/>
      <c r="B48" s="979"/>
      <c r="C48" s="979"/>
      <c r="D48" s="979"/>
      <c r="E48" s="582" t="s">
        <v>2827</v>
      </c>
      <c r="F48" s="582" t="s">
        <v>2828</v>
      </c>
      <c r="G48" s="582" t="s">
        <v>2829</v>
      </c>
      <c r="H48" s="583" t="s">
        <v>2830</v>
      </c>
    </row>
    <row r="49" spans="1:8" ht="15.75" thickBot="1">
      <c r="A49" s="980"/>
      <c r="B49" s="981"/>
      <c r="C49" s="981"/>
      <c r="D49" s="979"/>
      <c r="E49" s="582" t="s">
        <v>2831</v>
      </c>
      <c r="F49" s="582" t="s">
        <v>2832</v>
      </c>
      <c r="G49" s="582" t="s">
        <v>2832</v>
      </c>
      <c r="H49" s="583" t="s">
        <v>2832</v>
      </c>
    </row>
    <row r="50" spans="1:8">
      <c r="A50" s="974" t="s">
        <v>2882</v>
      </c>
      <c r="B50" s="974"/>
      <c r="C50" s="974"/>
      <c r="D50" s="975"/>
      <c r="E50" s="602" t="s">
        <v>505</v>
      </c>
      <c r="F50" s="602" t="s">
        <v>505</v>
      </c>
      <c r="G50" s="602" t="s">
        <v>505</v>
      </c>
      <c r="H50" s="603" t="s">
        <v>505</v>
      </c>
    </row>
    <row r="51" spans="1:8">
      <c r="A51" s="970" t="s">
        <v>2883</v>
      </c>
      <c r="B51" s="970"/>
      <c r="C51" s="970"/>
      <c r="D51" s="971"/>
      <c r="E51" s="604" t="s">
        <v>2884</v>
      </c>
      <c r="F51" s="604" t="s">
        <v>2885</v>
      </c>
      <c r="G51" s="604" t="s">
        <v>505</v>
      </c>
      <c r="H51" s="605" t="s">
        <v>505</v>
      </c>
    </row>
    <row r="52" spans="1:8">
      <c r="A52" s="970" t="s">
        <v>2886</v>
      </c>
      <c r="B52" s="970"/>
      <c r="C52" s="970"/>
      <c r="D52" s="971"/>
      <c r="E52" s="604" t="s">
        <v>2887</v>
      </c>
      <c r="F52" s="604" t="s">
        <v>2888</v>
      </c>
      <c r="G52" s="604" t="s">
        <v>505</v>
      </c>
      <c r="H52" s="605" t="s">
        <v>505</v>
      </c>
    </row>
    <row r="53" spans="1:8">
      <c r="A53" s="970" t="s">
        <v>2889</v>
      </c>
      <c r="B53" s="970"/>
      <c r="C53" s="970"/>
      <c r="D53" s="971"/>
      <c r="E53" s="604" t="s">
        <v>2890</v>
      </c>
      <c r="F53" s="604" t="s">
        <v>2891</v>
      </c>
      <c r="G53" s="604" t="s">
        <v>505</v>
      </c>
      <c r="H53" s="605" t="s">
        <v>505</v>
      </c>
    </row>
    <row r="54" spans="1:8">
      <c r="A54" s="970" t="s">
        <v>2892</v>
      </c>
      <c r="B54" s="970"/>
      <c r="C54" s="970"/>
      <c r="D54" s="971"/>
      <c r="E54" s="604" t="s">
        <v>505</v>
      </c>
      <c r="F54" s="604" t="s">
        <v>505</v>
      </c>
      <c r="G54" s="604" t="s">
        <v>505</v>
      </c>
      <c r="H54" s="605" t="s">
        <v>505</v>
      </c>
    </row>
    <row r="55" spans="1:8">
      <c r="A55" s="970" t="s">
        <v>2893</v>
      </c>
      <c r="B55" s="970"/>
      <c r="C55" s="970"/>
      <c r="D55" s="971"/>
      <c r="E55" s="604" t="s">
        <v>505</v>
      </c>
      <c r="F55" s="604" t="s">
        <v>505</v>
      </c>
      <c r="G55" s="604" t="s">
        <v>505</v>
      </c>
      <c r="H55" s="605" t="s">
        <v>505</v>
      </c>
    </row>
    <row r="56" spans="1:8" ht="15.75" thickBot="1">
      <c r="A56" s="972" t="s">
        <v>2894</v>
      </c>
      <c r="B56" s="972"/>
      <c r="C56" s="972"/>
      <c r="D56" s="973"/>
      <c r="E56" s="609" t="s">
        <v>505</v>
      </c>
      <c r="F56" s="609" t="s">
        <v>505</v>
      </c>
      <c r="G56" s="609" t="s">
        <v>505</v>
      </c>
      <c r="H56" s="610" t="s">
        <v>505</v>
      </c>
    </row>
    <row r="57" spans="1:8">
      <c r="A57" s="630" t="s">
        <v>2895</v>
      </c>
      <c r="B57" s="630"/>
      <c r="C57" s="630"/>
      <c r="D57" s="630"/>
      <c r="E57" s="630"/>
      <c r="F57" s="630"/>
      <c r="G57" s="630"/>
      <c r="H57" s="630"/>
    </row>
    <row r="58" spans="1:8">
      <c r="A58" s="656" t="s">
        <v>2896</v>
      </c>
      <c r="B58" s="656"/>
      <c r="C58" s="656"/>
      <c r="D58" s="656"/>
      <c r="E58" s="656"/>
      <c r="F58" s="656"/>
      <c r="G58" s="656"/>
      <c r="H58" s="656"/>
    </row>
    <row r="59" spans="1:8">
      <c r="A59" s="656" t="s">
        <v>2897</v>
      </c>
      <c r="B59" s="656"/>
      <c r="C59" s="656"/>
      <c r="D59" s="656"/>
      <c r="E59" s="656"/>
      <c r="F59" s="656"/>
      <c r="G59" s="656"/>
      <c r="H59" s="656"/>
    </row>
    <row r="60" spans="1:8">
      <c r="A60" s="656" t="s">
        <v>2898</v>
      </c>
      <c r="B60" s="656"/>
      <c r="C60" s="656"/>
      <c r="D60" s="656"/>
      <c r="E60" s="656"/>
      <c r="F60" s="656"/>
      <c r="G60" s="656"/>
      <c r="H60" s="656"/>
    </row>
    <row r="61" spans="1:8">
      <c r="A61" s="656" t="s">
        <v>2899</v>
      </c>
      <c r="B61" s="656"/>
      <c r="C61" s="656"/>
      <c r="D61" s="656"/>
      <c r="E61" s="656"/>
      <c r="F61" s="656"/>
      <c r="G61" s="656"/>
      <c r="H61" s="656"/>
    </row>
    <row r="62" spans="1:8">
      <c r="A62" s="656" t="s">
        <v>2900</v>
      </c>
      <c r="B62" s="656"/>
      <c r="C62" s="656"/>
      <c r="D62" s="656"/>
      <c r="E62" s="656"/>
      <c r="F62" s="656"/>
      <c r="G62" s="656"/>
      <c r="H62" s="656"/>
    </row>
  </sheetData>
  <mergeCells count="47">
    <mergeCell ref="A8:D8"/>
    <mergeCell ref="A2:H2"/>
    <mergeCell ref="A3:H3"/>
    <mergeCell ref="A4:H4"/>
    <mergeCell ref="A5:H5"/>
    <mergeCell ref="A6:H6"/>
    <mergeCell ref="B31:D31"/>
    <mergeCell ref="A10:D12"/>
    <mergeCell ref="F10:H10"/>
    <mergeCell ref="A13:D13"/>
    <mergeCell ref="B14:D14"/>
    <mergeCell ref="B15:D15"/>
    <mergeCell ref="C16:D16"/>
    <mergeCell ref="C19:D19"/>
    <mergeCell ref="C20:D20"/>
    <mergeCell ref="C23:D23"/>
    <mergeCell ref="C29:D29"/>
    <mergeCell ref="B30:D30"/>
    <mergeCell ref="A43:D43"/>
    <mergeCell ref="A32:D32"/>
    <mergeCell ref="B33:D33"/>
    <mergeCell ref="C34:D34"/>
    <mergeCell ref="C35:D35"/>
    <mergeCell ref="C36:D36"/>
    <mergeCell ref="B37:D37"/>
    <mergeCell ref="A38:D38"/>
    <mergeCell ref="A39:D39"/>
    <mergeCell ref="A40:D40"/>
    <mergeCell ref="A41:D41"/>
    <mergeCell ref="A42:D42"/>
    <mergeCell ref="A57:H57"/>
    <mergeCell ref="A44:D44"/>
    <mergeCell ref="A45:D45"/>
    <mergeCell ref="A47:D49"/>
    <mergeCell ref="F47:H47"/>
    <mergeCell ref="A50:D50"/>
    <mergeCell ref="A51:D51"/>
    <mergeCell ref="A52:D52"/>
    <mergeCell ref="A53:D53"/>
    <mergeCell ref="A54:D54"/>
    <mergeCell ref="A55:D55"/>
    <mergeCell ref="A56:D56"/>
    <mergeCell ref="A58:H58"/>
    <mergeCell ref="A59:H59"/>
    <mergeCell ref="A60:H60"/>
    <mergeCell ref="A61:H61"/>
    <mergeCell ref="A62:H6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RREO</vt:lpstr>
      <vt:lpstr>RGF</vt:lpstr>
      <vt:lpstr>Restos</vt:lpstr>
      <vt:lpstr>RCL</vt:lpstr>
      <vt:lpstr>DCLP</vt:lpstr>
      <vt:lpstr>DCLP_RCL</vt:lpstr>
      <vt:lpstr>AcompFAPS</vt:lpstr>
      <vt:lpstr>Cronogra</vt:lpstr>
      <vt:lpstr>Cruz</vt:lpstr>
      <vt:lpstr>Exec_Orç</vt:lpstr>
      <vt:lpstr>Míni</vt:lpstr>
      <vt:lpstr>DespSEDUC</vt:lpstr>
      <vt:lpstr>Emp</vt:lpstr>
      <vt:lpstr>Liquid</vt:lpstr>
      <vt:lpstr>Pgtos</vt:lpstr>
      <vt:lpstr>Bal_Orç</vt:lpstr>
      <vt:lpstr>Funções</vt:lpstr>
      <vt:lpstr>RPPS</vt:lpstr>
      <vt:lpstr>Result</vt:lpstr>
      <vt:lpstr>ASPS</vt:lpstr>
      <vt:lpstr>MDE</vt:lpstr>
      <vt:lpstr>Divid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2022-05-19T14:51:39Z</cp:lastPrinted>
  <dcterms:created xsi:type="dcterms:W3CDTF">2021-06-02T17:39:55Z</dcterms:created>
  <dcterms:modified xsi:type="dcterms:W3CDTF">2022-05-19T14:53:04Z</dcterms:modified>
</cp:coreProperties>
</file>