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NTABILIDADE\Volnei\"/>
    </mc:Choice>
  </mc:AlternateContent>
  <xr:revisionPtr revIDLastSave="0" documentId="13_ncr:1_{DFB02165-AA36-4E78-B285-712584F628A8}" xr6:coauthVersionLast="45" xr6:coauthVersionMax="45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RREO" sheetId="16" r:id="rId1"/>
    <sheet name="LRF" sheetId="18" r:id="rId2"/>
    <sheet name="Restos" sheetId="17" r:id="rId3"/>
    <sheet name="RCL" sheetId="1" r:id="rId4"/>
    <sheet name="DCLP" sheetId="2" r:id="rId5"/>
    <sheet name="DCLP_RCL" sheetId="9" r:id="rId6"/>
    <sheet name="AcompFAPS" sheetId="3" r:id="rId7"/>
    <sheet name="Cronogra" sheetId="7" r:id="rId8"/>
    <sheet name="Cruz" sheetId="8" r:id="rId9"/>
    <sheet name="Exec_Orç" sheetId="4" r:id="rId10"/>
    <sheet name="Míni" sheetId="6" r:id="rId11"/>
    <sheet name="DespSEDUC" sheetId="5" r:id="rId12"/>
    <sheet name="Emp" sheetId="11" r:id="rId13"/>
    <sheet name="Liquid" sheetId="10" r:id="rId14"/>
    <sheet name="Pgtos" sheetId="12" r:id="rId15"/>
    <sheet name="Bal_Orç" sheetId="19" r:id="rId16"/>
    <sheet name="RPPS" sheetId="20" r:id="rId17"/>
    <sheet name="Result" sheetId="21" r:id="rId18"/>
    <sheet name="Regra_Ouro" sheetId="22" r:id="rId19"/>
    <sheet name="ASPS" sheetId="24" r:id="rId20"/>
    <sheet name="DPPP" sheetId="23" r:id="rId21"/>
    <sheet name="Alien" sheetId="25" r:id="rId22"/>
  </sheets>
  <externalReferences>
    <externalReference r:id="rId23"/>
    <externalReference r:id="rId2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1" i="5" l="1"/>
  <c r="H20" i="5"/>
  <c r="H26" i="5" s="1"/>
  <c r="K15" i="5"/>
  <c r="H15" i="5"/>
  <c r="E15" i="5"/>
  <c r="D15" i="5"/>
  <c r="C15" i="5"/>
  <c r="J12" i="5"/>
  <c r="J15" i="5" s="1"/>
  <c r="I12" i="5"/>
  <c r="I15" i="5" s="1"/>
  <c r="H12" i="5"/>
  <c r="B13" i="5"/>
  <c r="B15" i="5" s="1"/>
  <c r="F28" i="18" l="1"/>
  <c r="R24" i="2"/>
  <c r="T24" i="2"/>
  <c r="K24" i="2"/>
  <c r="I23" i="2"/>
  <c r="L14" i="2"/>
  <c r="M14" i="2"/>
  <c r="H14" i="2" s="1"/>
  <c r="F14" i="2" s="1"/>
  <c r="N14" i="2"/>
  <c r="O14" i="2"/>
  <c r="P14" i="2"/>
  <c r="R14" i="2"/>
  <c r="S14" i="2"/>
  <c r="H13" i="2"/>
  <c r="E36" i="18"/>
  <c r="E37" i="18"/>
  <c r="E35" i="18"/>
  <c r="F34" i="18"/>
  <c r="E31" i="18"/>
  <c r="J25" i="6"/>
  <c r="K35" i="6"/>
  <c r="I35" i="6" l="1"/>
  <c r="J35" i="6"/>
  <c r="K27" i="6"/>
  <c r="K33" i="6"/>
  <c r="D25" i="1"/>
  <c r="E26" i="4"/>
  <c r="I31" i="4" l="1"/>
  <c r="J10" i="4"/>
  <c r="J7" i="4"/>
  <c r="J6" i="4"/>
  <c r="K17" i="4"/>
  <c r="L17" i="4" s="1"/>
  <c r="K16" i="4"/>
  <c r="K15" i="4"/>
  <c r="K14" i="4"/>
  <c r="K13" i="4"/>
  <c r="J12" i="4"/>
  <c r="I12" i="4"/>
  <c r="K12" i="4"/>
  <c r="J11" i="4"/>
  <c r="I11" i="4"/>
  <c r="K11" i="4"/>
  <c r="K10" i="4"/>
  <c r="K9" i="4"/>
  <c r="K8" i="4"/>
  <c r="K7" i="4"/>
  <c r="K6" i="4"/>
  <c r="K5" i="4"/>
  <c r="L5" i="4" s="1"/>
  <c r="N5" i="4" s="1"/>
  <c r="O90" i="7"/>
  <c r="O93" i="7" s="1"/>
  <c r="AD61" i="7"/>
  <c r="H52" i="7"/>
  <c r="AD59" i="7"/>
  <c r="AD58" i="7"/>
  <c r="AD57" i="7"/>
  <c r="H26" i="8"/>
  <c r="H25" i="8"/>
  <c r="H16" i="8"/>
  <c r="D8" i="4"/>
  <c r="D7" i="4"/>
  <c r="D6" i="4"/>
  <c r="D5" i="4"/>
  <c r="D4" i="4"/>
  <c r="I17" i="8"/>
  <c r="I18" i="8"/>
  <c r="I19" i="8"/>
  <c r="I20" i="8"/>
  <c r="I21" i="8"/>
  <c r="I22" i="8"/>
  <c r="I23" i="8"/>
  <c r="I25" i="8"/>
  <c r="I26" i="8"/>
  <c r="I16" i="8"/>
  <c r="I15" i="8"/>
  <c r="I14" i="8"/>
  <c r="I13" i="8"/>
  <c r="I11" i="8" l="1"/>
  <c r="X85" i="7"/>
  <c r="AD39" i="7"/>
  <c r="AD38" i="7"/>
  <c r="AD36" i="7"/>
  <c r="AD33" i="7"/>
  <c r="AD31" i="7"/>
  <c r="AD30" i="7"/>
  <c r="AD29" i="7"/>
  <c r="AD28" i="7"/>
  <c r="AD27" i="7"/>
  <c r="AD26" i="7"/>
  <c r="AD25" i="7"/>
  <c r="D52" i="7"/>
  <c r="I45" i="3"/>
  <c r="E31" i="3"/>
  <c r="G49" i="3"/>
  <c r="D49" i="3"/>
  <c r="I43" i="3"/>
  <c r="O29" i="3"/>
  <c r="O19" i="3"/>
  <c r="O25" i="3"/>
  <c r="O31" i="3" s="1"/>
  <c r="O18" i="3"/>
  <c r="O20" i="3" s="1"/>
  <c r="O22" i="3" s="1"/>
  <c r="O17" i="3"/>
  <c r="O16" i="3"/>
  <c r="I18" i="2"/>
  <c r="I12" i="2"/>
  <c r="I10" i="2"/>
  <c r="I7" i="2"/>
  <c r="I6" i="2"/>
  <c r="D19" i="6"/>
  <c r="D18" i="6"/>
  <c r="D17" i="6"/>
  <c r="D15" i="6"/>
  <c r="D12" i="6"/>
  <c r="B34" i="6"/>
  <c r="D34" i="6"/>
  <c r="C34" i="6"/>
  <c r="J37" i="6" s="1"/>
  <c r="G8" i="6"/>
  <c r="H8" i="6" s="1"/>
  <c r="D20" i="6"/>
  <c r="D11" i="6"/>
  <c r="D10" i="6"/>
  <c r="D9" i="6"/>
  <c r="D8" i="6"/>
  <c r="E8" i="6" s="1"/>
  <c r="F8" i="6" s="1"/>
  <c r="J18" i="2"/>
  <c r="L18" i="2"/>
  <c r="O18" i="2"/>
  <c r="P18" i="2"/>
  <c r="Q18" i="2"/>
  <c r="R18" i="2"/>
  <c r="J10" i="2"/>
  <c r="L10" i="2"/>
  <c r="M10" i="2"/>
  <c r="O10" i="2"/>
  <c r="P10" i="2"/>
  <c r="Q10" i="2"/>
  <c r="R10" i="2"/>
  <c r="S10" i="2"/>
  <c r="J12" i="2"/>
  <c r="L12" i="2"/>
  <c r="M12" i="2"/>
  <c r="O12" i="2"/>
  <c r="P12" i="2"/>
  <c r="Q12" i="2"/>
  <c r="R12" i="2"/>
  <c r="S12" i="2"/>
  <c r="T12" i="2"/>
  <c r="J6" i="2"/>
  <c r="L6" i="2"/>
  <c r="M6" i="2"/>
  <c r="N6" i="2"/>
  <c r="N24" i="2" s="1"/>
  <c r="O6" i="2"/>
  <c r="O24" i="2" s="1"/>
  <c r="P6" i="2"/>
  <c r="Q6" i="2"/>
  <c r="Q24" i="2" s="1"/>
  <c r="S6" i="2"/>
  <c r="S24" i="2" s="1"/>
  <c r="J7" i="2"/>
  <c r="L7" i="2"/>
  <c r="M7" i="2"/>
  <c r="O7" i="2"/>
  <c r="P7" i="2"/>
  <c r="D24" i="1"/>
  <c r="D18" i="1"/>
  <c r="D14" i="1"/>
  <c r="D13" i="1"/>
  <c r="D7" i="1"/>
  <c r="D6" i="1"/>
  <c r="E13" i="1"/>
  <c r="F13" i="1"/>
  <c r="G13" i="1"/>
  <c r="H13" i="1"/>
  <c r="I13" i="1"/>
  <c r="J13" i="1"/>
  <c r="K13" i="1"/>
  <c r="L13" i="1"/>
  <c r="M13" i="1"/>
  <c r="N13" i="1"/>
  <c r="O13" i="1"/>
  <c r="E14" i="1"/>
  <c r="F14" i="1"/>
  <c r="G14" i="1"/>
  <c r="H14" i="1"/>
  <c r="I14" i="1"/>
  <c r="J14" i="1"/>
  <c r="K14" i="1"/>
  <c r="L14" i="1"/>
  <c r="M14" i="1"/>
  <c r="N14" i="1"/>
  <c r="O14" i="1"/>
  <c r="E16" i="1"/>
  <c r="H16" i="1"/>
  <c r="K16" i="1"/>
  <c r="E18" i="1"/>
  <c r="F18" i="1"/>
  <c r="G18" i="1"/>
  <c r="H18" i="1"/>
  <c r="I18" i="1"/>
  <c r="J18" i="1"/>
  <c r="K18" i="1"/>
  <c r="L18" i="1"/>
  <c r="M18" i="1"/>
  <c r="N18" i="1"/>
  <c r="O18" i="1"/>
  <c r="L19" i="1"/>
  <c r="M19" i="1"/>
  <c r="E24" i="1"/>
  <c r="H24" i="1"/>
  <c r="I24" i="1"/>
  <c r="J24" i="1"/>
  <c r="K24" i="1"/>
  <c r="L24" i="1"/>
  <c r="O24" i="1"/>
  <c r="E25" i="1"/>
  <c r="G25" i="1"/>
  <c r="H25" i="1"/>
  <c r="I25" i="1"/>
  <c r="J25" i="1"/>
  <c r="K25" i="1"/>
  <c r="L25" i="1"/>
  <c r="M25" i="1"/>
  <c r="N25" i="1"/>
  <c r="O25" i="1"/>
  <c r="F34" i="1"/>
  <c r="E6" i="1"/>
  <c r="H6" i="1"/>
  <c r="J6" i="1"/>
  <c r="L6" i="1"/>
  <c r="N6" i="1"/>
  <c r="O6" i="1"/>
  <c r="E7" i="1"/>
  <c r="G7" i="1"/>
  <c r="H7" i="1"/>
  <c r="J7" i="1"/>
  <c r="K7" i="1"/>
  <c r="D14" i="6"/>
  <c r="C20" i="6"/>
  <c r="L4" i="4"/>
  <c r="J32" i="4"/>
  <c r="K32" i="4"/>
  <c r="J33" i="4"/>
  <c r="K33" i="4"/>
  <c r="I33" i="4"/>
  <c r="I32" i="4"/>
  <c r="I34" i="4" s="1"/>
  <c r="K31" i="4"/>
  <c r="K19" i="4"/>
  <c r="L11" i="4"/>
  <c r="N11" i="4" s="1"/>
  <c r="D26" i="5"/>
  <c r="D28" i="5" s="1"/>
  <c r="F25" i="5"/>
  <c r="L25" i="5"/>
  <c r="C26" i="5"/>
  <c r="E26" i="5"/>
  <c r="B26" i="5"/>
  <c r="E32" i="5"/>
  <c r="L13" i="5"/>
  <c r="M24" i="2" l="1"/>
  <c r="M5" i="2"/>
  <c r="H26" i="4"/>
  <c r="D26" i="4" s="1"/>
  <c r="L26" i="4"/>
  <c r="K20" i="4"/>
  <c r="P24" i="2"/>
  <c r="L24" i="2"/>
  <c r="H7" i="2"/>
  <c r="J24" i="2"/>
  <c r="B40" i="5"/>
  <c r="I8" i="2"/>
  <c r="I5" i="2"/>
  <c r="I24" i="2"/>
  <c r="H24" i="2" s="1"/>
  <c r="H6" i="2"/>
  <c r="K34" i="4"/>
  <c r="H18" i="2"/>
  <c r="C31" i="4"/>
  <c r="G27" i="6"/>
  <c r="I12" i="6"/>
  <c r="I19" i="6"/>
  <c r="I18" i="6"/>
  <c r="I17" i="6"/>
  <c r="I15" i="6"/>
  <c r="I20" i="6" l="1"/>
  <c r="I20" i="2"/>
  <c r="I26" i="2"/>
  <c r="AC61" i="7"/>
  <c r="AC59" i="7"/>
  <c r="AC57" i="7"/>
  <c r="AC39" i="7"/>
  <c r="AC38" i="7"/>
  <c r="AC36" i="7"/>
  <c r="AC35" i="7"/>
  <c r="AC34" i="7"/>
  <c r="AC33" i="7"/>
  <c r="AC32" i="7"/>
  <c r="AC31" i="7"/>
  <c r="AC30" i="7"/>
  <c r="AC29" i="7"/>
  <c r="AC28" i="7"/>
  <c r="AC27" i="7"/>
  <c r="AC26" i="7"/>
  <c r="AC25" i="7"/>
  <c r="AC24" i="7"/>
  <c r="N90" i="7"/>
  <c r="N29" i="3"/>
  <c r="N93" i="7" l="1"/>
  <c r="O91" i="7"/>
  <c r="N25" i="3"/>
  <c r="N19" i="3"/>
  <c r="N18" i="3"/>
  <c r="N17" i="3"/>
  <c r="N16" i="3"/>
  <c r="N31" i="3"/>
  <c r="J8" i="2"/>
  <c r="M8" i="2"/>
  <c r="K8" i="2"/>
  <c r="N8" i="2"/>
  <c r="O8" i="2"/>
  <c r="P8" i="2"/>
  <c r="Q8" i="2"/>
  <c r="R8" i="2"/>
  <c r="L8" i="2"/>
  <c r="S8" i="2"/>
  <c r="J23" i="2"/>
  <c r="K23" i="2"/>
  <c r="L23" i="2"/>
  <c r="M23" i="2"/>
  <c r="N23" i="2"/>
  <c r="O23" i="2"/>
  <c r="P23" i="2"/>
  <c r="Q23" i="2"/>
  <c r="R23" i="2"/>
  <c r="S23" i="2"/>
  <c r="E5" i="1"/>
  <c r="H5" i="1"/>
  <c r="J5" i="1"/>
  <c r="L5" i="1"/>
  <c r="G5" i="1"/>
  <c r="I5" i="1"/>
  <c r="K5" i="1"/>
  <c r="M5" i="1"/>
  <c r="N5" i="1"/>
  <c r="O5" i="1"/>
  <c r="F5" i="1"/>
  <c r="F8" i="1"/>
  <c r="F31" i="1" s="1"/>
  <c r="F33" i="1" s="1"/>
  <c r="H8" i="1"/>
  <c r="H31" i="1" s="1"/>
  <c r="H33" i="1" s="1"/>
  <c r="J8" i="1"/>
  <c r="J31" i="1" s="1"/>
  <c r="J33" i="1" s="1"/>
  <c r="L8" i="1"/>
  <c r="N8" i="1"/>
  <c r="N31" i="1" s="1"/>
  <c r="N33" i="1" s="1"/>
  <c r="E8" i="1"/>
  <c r="E31" i="1" s="1"/>
  <c r="E33" i="1" s="1"/>
  <c r="G8" i="1"/>
  <c r="G31" i="1" s="1"/>
  <c r="G33" i="1" s="1"/>
  <c r="I8" i="1"/>
  <c r="I31" i="1" s="1"/>
  <c r="I33" i="1" s="1"/>
  <c r="K8" i="1"/>
  <c r="K31" i="1" s="1"/>
  <c r="K33" i="1" s="1"/>
  <c r="M8" i="1"/>
  <c r="O8" i="1"/>
  <c r="O31" i="1" s="1"/>
  <c r="O33" i="1" s="1"/>
  <c r="L31" i="1" l="1"/>
  <c r="L33" i="1" s="1"/>
  <c r="M31" i="1"/>
  <c r="M33" i="1" s="1"/>
  <c r="N20" i="3"/>
  <c r="N22" i="3" s="1"/>
  <c r="C34" i="1"/>
  <c r="K26" i="2"/>
  <c r="L5" i="2"/>
  <c r="L20" i="2" s="1"/>
  <c r="C7" i="1"/>
  <c r="C6" i="1"/>
  <c r="AA72" i="7"/>
  <c r="S72" i="7"/>
  <c r="F24" i="5"/>
  <c r="M90" i="7"/>
  <c r="N91" i="7" s="1"/>
  <c r="L12" i="4" l="1"/>
  <c r="N12" i="4" s="1"/>
  <c r="L16" i="4"/>
  <c r="J23" i="6"/>
  <c r="I8" i="4"/>
  <c r="J31" i="4" s="1"/>
  <c r="J34" i="4" s="1"/>
  <c r="M25" i="3" l="1"/>
  <c r="M31" i="3" s="1"/>
  <c r="M20" i="3"/>
  <c r="M22" i="3" s="1"/>
  <c r="Q26" i="2" l="1"/>
  <c r="T23" i="2"/>
  <c r="J26" i="2"/>
  <c r="L26" i="2"/>
  <c r="N26" i="2"/>
  <c r="P26" i="2"/>
  <c r="R26" i="2"/>
  <c r="M26" i="2"/>
  <c r="O26" i="2"/>
  <c r="S26" i="2"/>
  <c r="T26" i="2"/>
  <c r="D5" i="1"/>
  <c r="AB72" i="7" s="1"/>
  <c r="H27" i="8"/>
  <c r="AA34" i="7"/>
  <c r="AA33" i="7"/>
  <c r="AA32" i="7"/>
  <c r="AA31" i="7"/>
  <c r="AA30" i="7"/>
  <c r="AA29" i="7"/>
  <c r="AA28" i="7"/>
  <c r="AA27" i="7"/>
  <c r="AA26" i="7"/>
  <c r="AA25" i="7"/>
  <c r="AA24" i="7"/>
  <c r="AA35" i="7"/>
  <c r="AA36" i="7"/>
  <c r="AA39" i="7"/>
  <c r="AA38" i="7"/>
  <c r="AA61" i="7"/>
  <c r="H49" i="7"/>
  <c r="D49" i="7"/>
  <c r="L28" i="3"/>
  <c r="M29" i="3" s="1"/>
  <c r="L19" i="3"/>
  <c r="L20" i="3" s="1"/>
  <c r="L22" i="3" s="1"/>
  <c r="L25" i="3"/>
  <c r="H26" i="2" l="1"/>
  <c r="L31" i="3"/>
  <c r="L29" i="3"/>
  <c r="C5" i="1"/>
  <c r="T8" i="2"/>
  <c r="H19" i="2"/>
  <c r="J33" i="6"/>
  <c r="I33" i="6"/>
  <c r="D33" i="4"/>
  <c r="D32" i="4"/>
  <c r="D31" i="4"/>
  <c r="D19" i="4"/>
  <c r="AE42" i="7"/>
  <c r="J13" i="4"/>
  <c r="Z61" i="7"/>
  <c r="Z59" i="7"/>
  <c r="Z58" i="7"/>
  <c r="Z57" i="7"/>
  <c r="D48" i="7"/>
  <c r="Z39" i="7"/>
  <c r="Z38" i="7"/>
  <c r="Z36" i="7"/>
  <c r="Z35" i="7"/>
  <c r="Z34" i="7"/>
  <c r="Z33" i="7"/>
  <c r="Z32" i="7"/>
  <c r="Z31" i="7"/>
  <c r="Z30" i="7"/>
  <c r="Z29" i="7"/>
  <c r="Z28" i="7"/>
  <c r="Z27" i="7"/>
  <c r="Z26" i="7"/>
  <c r="Z25" i="7"/>
  <c r="Z24" i="7"/>
  <c r="D20" i="4" l="1"/>
  <c r="D34" i="4"/>
  <c r="G23" i="6"/>
  <c r="K25" i="3"/>
  <c r="K31" i="3" s="1"/>
  <c r="K18" i="3"/>
  <c r="K20" i="3" s="1"/>
  <c r="K22" i="3" s="1"/>
  <c r="F90" i="7"/>
  <c r="K35" i="1" l="1"/>
  <c r="V72" i="7"/>
  <c r="W72" i="7"/>
  <c r="U72" i="7"/>
  <c r="I35" i="1"/>
  <c r="Y72" i="7"/>
  <c r="E35" i="1"/>
  <c r="L35" i="1"/>
  <c r="J35" i="1"/>
  <c r="T72" i="7"/>
  <c r="H35" i="1"/>
  <c r="F35" i="1"/>
  <c r="X72" i="7"/>
  <c r="N35" i="1"/>
  <c r="G35" i="1"/>
  <c r="O35" i="1"/>
  <c r="M35" i="1"/>
  <c r="H47" i="7"/>
  <c r="D13" i="6"/>
  <c r="B29" i="6" s="1"/>
  <c r="L15" i="4"/>
  <c r="N15" i="4" s="1"/>
  <c r="N16" i="4"/>
  <c r="L8" i="4"/>
  <c r="N8" i="4" s="1"/>
  <c r="L6" i="4"/>
  <c r="L7" i="4"/>
  <c r="N7" i="4" s="1"/>
  <c r="L9" i="4"/>
  <c r="N9" i="4" s="1"/>
  <c r="L10" i="4"/>
  <c r="N10" i="4" s="1"/>
  <c r="L13" i="4"/>
  <c r="N13" i="4" s="1"/>
  <c r="L14" i="4"/>
  <c r="N14" i="4" s="1"/>
  <c r="L18" i="4"/>
  <c r="M17" i="4"/>
  <c r="C33" i="4"/>
  <c r="J19" i="4"/>
  <c r="I19" i="4"/>
  <c r="I20" i="4" s="1"/>
  <c r="H19" i="4"/>
  <c r="H24" i="4" s="1"/>
  <c r="C18" i="4"/>
  <c r="C17" i="4"/>
  <c r="C5" i="4"/>
  <c r="C6" i="4"/>
  <c r="C7" i="4"/>
  <c r="C8" i="4"/>
  <c r="C9" i="4"/>
  <c r="C10" i="4"/>
  <c r="C11" i="4"/>
  <c r="C12" i="4"/>
  <c r="C13" i="4"/>
  <c r="C14" i="4"/>
  <c r="C15" i="4"/>
  <c r="C16" i="4"/>
  <c r="C4" i="4"/>
  <c r="J28" i="3"/>
  <c r="I28" i="3"/>
  <c r="I29" i="3" s="1"/>
  <c r="J25" i="3"/>
  <c r="J31" i="3" s="1"/>
  <c r="G20" i="3"/>
  <c r="I19" i="3"/>
  <c r="P19" i="3" s="1"/>
  <c r="Q19" i="3" s="1"/>
  <c r="J20" i="3"/>
  <c r="J22" i="3" s="1"/>
  <c r="Z72" i="7"/>
  <c r="D47" i="7"/>
  <c r="Y61" i="7"/>
  <c r="Y59" i="7"/>
  <c r="Y58" i="7"/>
  <c r="Y57" i="7"/>
  <c r="Y39" i="7"/>
  <c r="Y38" i="7"/>
  <c r="Y36" i="7"/>
  <c r="Y35" i="7"/>
  <c r="Y34" i="7"/>
  <c r="Y33" i="7"/>
  <c r="Y32" i="7"/>
  <c r="Y31" i="7"/>
  <c r="Y30" i="7"/>
  <c r="Y29" i="7"/>
  <c r="Y28" i="7"/>
  <c r="Y27" i="7"/>
  <c r="Y26" i="7"/>
  <c r="Y25" i="7"/>
  <c r="Y24" i="7"/>
  <c r="N6" i="4" l="1"/>
  <c r="L19" i="4"/>
  <c r="L31" i="4"/>
  <c r="L34" i="4" s="1"/>
  <c r="J20" i="4"/>
  <c r="H27" i="4"/>
  <c r="D27" i="4" s="1"/>
  <c r="M18" i="4"/>
  <c r="L33" i="4"/>
  <c r="J29" i="3"/>
  <c r="K29" i="3"/>
  <c r="N17" i="4"/>
  <c r="L32" i="4"/>
  <c r="L57" i="7"/>
  <c r="M7" i="4"/>
  <c r="J57" i="7"/>
  <c r="J56" i="7" s="1"/>
  <c r="M15" i="4"/>
  <c r="M14" i="4"/>
  <c r="M12" i="4"/>
  <c r="M10" i="4"/>
  <c r="M9" i="4"/>
  <c r="M6" i="4"/>
  <c r="H20" i="4"/>
  <c r="M5" i="4"/>
  <c r="M13" i="4"/>
  <c r="M11" i="4"/>
  <c r="M16" i="4"/>
  <c r="M8" i="4"/>
  <c r="M4" i="4"/>
  <c r="L27" i="4" l="1"/>
  <c r="M27" i="4" s="1"/>
  <c r="H25" i="4"/>
  <c r="L20" i="4"/>
  <c r="L56" i="7"/>
  <c r="L58" i="7" s="1"/>
  <c r="J58" i="7"/>
  <c r="J36" i="8"/>
  <c r="M19" i="4"/>
  <c r="H29" i="3"/>
  <c r="I25" i="3"/>
  <c r="I31" i="3" s="1"/>
  <c r="I20" i="3"/>
  <c r="C19" i="6"/>
  <c r="J19" i="6" s="1"/>
  <c r="C18" i="6"/>
  <c r="J18" i="6" s="1"/>
  <c r="C17" i="6"/>
  <c r="J17" i="6" s="1"/>
  <c r="C16" i="6"/>
  <c r="C15" i="6"/>
  <c r="J15" i="6" s="1"/>
  <c r="C12" i="6"/>
  <c r="J12" i="6" s="1"/>
  <c r="H90" i="7"/>
  <c r="C32" i="4"/>
  <c r="G32" i="4" l="1"/>
  <c r="I22" i="3"/>
  <c r="F31" i="4"/>
  <c r="W61" i="7"/>
  <c r="W59" i="7"/>
  <c r="W58" i="7"/>
  <c r="W57" i="7"/>
  <c r="G29" i="3"/>
  <c r="H17" i="3"/>
  <c r="H16" i="3"/>
  <c r="P16" i="3" s="1"/>
  <c r="H25" i="3"/>
  <c r="H31" i="3" s="1"/>
  <c r="H18" i="3"/>
  <c r="P18" i="3" s="1"/>
  <c r="Q18" i="3" s="1"/>
  <c r="I45" i="2"/>
  <c r="I46" i="2" s="1"/>
  <c r="D6" i="9" s="1"/>
  <c r="J5" i="2"/>
  <c r="K5" i="2"/>
  <c r="K20" i="2" s="1"/>
  <c r="M20" i="2"/>
  <c r="O5" i="2"/>
  <c r="O20" i="2" s="1"/>
  <c r="P5" i="2"/>
  <c r="P20" i="2" s="1"/>
  <c r="T5" i="2"/>
  <c r="T20" i="2" s="1"/>
  <c r="S5" i="2"/>
  <c r="R5" i="2"/>
  <c r="R20" i="2" s="1"/>
  <c r="Q5" i="2"/>
  <c r="Q20" i="2" s="1"/>
  <c r="N5" i="2"/>
  <c r="N20" i="2" s="1"/>
  <c r="C10" i="1"/>
  <c r="C9" i="1"/>
  <c r="C14" i="1"/>
  <c r="C13" i="1"/>
  <c r="C4" i="1"/>
  <c r="AD119" i="7"/>
  <c r="AC119" i="7"/>
  <c r="AD126" i="7" s="1"/>
  <c r="AB119" i="7"/>
  <c r="AA119" i="7"/>
  <c r="Z119" i="7"/>
  <c r="Y119" i="7"/>
  <c r="Z126" i="7" s="1"/>
  <c r="X119" i="7"/>
  <c r="W119" i="7"/>
  <c r="T119" i="7"/>
  <c r="S119" i="7"/>
  <c r="AE94" i="7"/>
  <c r="AD94" i="7"/>
  <c r="AC94" i="7"/>
  <c r="AB94" i="7"/>
  <c r="AA94" i="7"/>
  <c r="Z94" i="7"/>
  <c r="Y94" i="7"/>
  <c r="X94" i="7"/>
  <c r="W94" i="7"/>
  <c r="V94" i="7"/>
  <c r="U94" i="7"/>
  <c r="T94" i="7"/>
  <c r="S94" i="7"/>
  <c r="L90" i="7"/>
  <c r="K90" i="7"/>
  <c r="L91" i="7" s="1"/>
  <c r="J90" i="7"/>
  <c r="G90" i="7"/>
  <c r="E90" i="7"/>
  <c r="F91" i="7" s="1"/>
  <c r="D90" i="7"/>
  <c r="B90" i="7"/>
  <c r="B92" i="7" s="1"/>
  <c r="A90" i="7"/>
  <c r="B91" i="7" s="1"/>
  <c r="AD89" i="7"/>
  <c r="AC89" i="7"/>
  <c r="AB89" i="7"/>
  <c r="AA89" i="7"/>
  <c r="Z89" i="7"/>
  <c r="Y89" i="7"/>
  <c r="X89" i="7"/>
  <c r="W89" i="7"/>
  <c r="T89" i="7"/>
  <c r="S89" i="7"/>
  <c r="R89" i="7"/>
  <c r="Q89" i="7"/>
  <c r="R81" i="7"/>
  <c r="Q81" i="7"/>
  <c r="AE78" i="7"/>
  <c r="AD78" i="7"/>
  <c r="AC78" i="7"/>
  <c r="AB78" i="7"/>
  <c r="AA78" i="7"/>
  <c r="Z78" i="7"/>
  <c r="Y78" i="7"/>
  <c r="X78" i="7"/>
  <c r="W78" i="7"/>
  <c r="V78" i="7"/>
  <c r="U78" i="7"/>
  <c r="T78" i="7"/>
  <c r="S78" i="7"/>
  <c r="AE63" i="7"/>
  <c r="AE62" i="7"/>
  <c r="V61" i="7"/>
  <c r="U61" i="7"/>
  <c r="AD60" i="7"/>
  <c r="AC60" i="7"/>
  <c r="AB60" i="7"/>
  <c r="AA60" i="7"/>
  <c r="Z60" i="7"/>
  <c r="Y60" i="7"/>
  <c r="X60" i="7"/>
  <c r="W60" i="7"/>
  <c r="V60" i="7"/>
  <c r="U60" i="7"/>
  <c r="T60" i="7"/>
  <c r="S60" i="7"/>
  <c r="V59" i="7"/>
  <c r="V56" i="7" s="1"/>
  <c r="V71" i="7" s="1"/>
  <c r="V73" i="7" s="1"/>
  <c r="U59" i="7"/>
  <c r="V58" i="7"/>
  <c r="AE58" i="7" s="1"/>
  <c r="V57" i="7"/>
  <c r="U57" i="7"/>
  <c r="AE57" i="7" s="1"/>
  <c r="AD56" i="7"/>
  <c r="AD71" i="7" s="1"/>
  <c r="AC56" i="7"/>
  <c r="AC71" i="7" s="1"/>
  <c r="AB56" i="7"/>
  <c r="AB71" i="7" s="1"/>
  <c r="AB73" i="7" s="1"/>
  <c r="AA56" i="7"/>
  <c r="AA71" i="7" s="1"/>
  <c r="Z56" i="7"/>
  <c r="Z71" i="7" s="1"/>
  <c r="Z73" i="7" s="1"/>
  <c r="Y56" i="7"/>
  <c r="Y71" i="7" s="1"/>
  <c r="Y73" i="7" s="1"/>
  <c r="X56" i="7"/>
  <c r="X71" i="7" s="1"/>
  <c r="X73" i="7" s="1"/>
  <c r="W56" i="7"/>
  <c r="W71" i="7" s="1"/>
  <c r="W73" i="7" s="1"/>
  <c r="T56" i="7"/>
  <c r="T71" i="7" s="1"/>
  <c r="T73" i="7" s="1"/>
  <c r="S56" i="7"/>
  <c r="S71" i="7" s="1"/>
  <c r="S73" i="7" s="1"/>
  <c r="L52" i="7"/>
  <c r="L51" i="7"/>
  <c r="L50" i="7"/>
  <c r="L49" i="7"/>
  <c r="L48" i="7"/>
  <c r="L47" i="7"/>
  <c r="L46" i="7"/>
  <c r="L45" i="7"/>
  <c r="H44" i="7"/>
  <c r="D44" i="7"/>
  <c r="L44" i="7" s="1"/>
  <c r="D43" i="7"/>
  <c r="D53" i="7" s="1"/>
  <c r="L42" i="7"/>
  <c r="J42" i="7"/>
  <c r="F42" i="7"/>
  <c r="L41" i="7"/>
  <c r="J41" i="7"/>
  <c r="F41" i="7"/>
  <c r="AD40" i="7"/>
  <c r="AD87" i="7" s="1"/>
  <c r="AC40" i="7"/>
  <c r="AC87" i="7" s="1"/>
  <c r="AB40" i="7"/>
  <c r="AB87" i="7" s="1"/>
  <c r="AA40" i="7"/>
  <c r="AA87" i="7" s="1"/>
  <c r="Z40" i="7"/>
  <c r="Z87" i="7" s="1"/>
  <c r="Y40" i="7"/>
  <c r="Y87" i="7" s="1"/>
  <c r="X40" i="7"/>
  <c r="X87" i="7" s="1"/>
  <c r="W40" i="7"/>
  <c r="W87" i="7" s="1"/>
  <c r="T40" i="7"/>
  <c r="T87" i="7" s="1"/>
  <c r="S40" i="7"/>
  <c r="S87" i="7" s="1"/>
  <c r="V39" i="7"/>
  <c r="U39" i="7"/>
  <c r="V38" i="7"/>
  <c r="U38" i="7"/>
  <c r="AE38" i="7" s="1"/>
  <c r="AE37" i="7"/>
  <c r="G24" i="8" s="1"/>
  <c r="V36" i="7"/>
  <c r="U36" i="7"/>
  <c r="V35" i="7"/>
  <c r="U35" i="7"/>
  <c r="AE35" i="7" s="1"/>
  <c r="V34" i="7"/>
  <c r="U34" i="7"/>
  <c r="AE34" i="7" s="1"/>
  <c r="B34" i="7"/>
  <c r="C34" i="7" s="1"/>
  <c r="V33" i="7"/>
  <c r="V89" i="7" s="1"/>
  <c r="U33" i="7"/>
  <c r="U89" i="7" s="1"/>
  <c r="H33" i="7"/>
  <c r="L33" i="7" s="1"/>
  <c r="J52" i="7" s="1"/>
  <c r="C33" i="7"/>
  <c r="V32" i="7"/>
  <c r="V119" i="7" s="1"/>
  <c r="U32" i="7"/>
  <c r="U119" i="7" s="1"/>
  <c r="J32" i="7"/>
  <c r="C32" i="7"/>
  <c r="AE31" i="7"/>
  <c r="V31" i="7"/>
  <c r="H31" i="7"/>
  <c r="C31" i="7"/>
  <c r="V30" i="7"/>
  <c r="U30" i="7"/>
  <c r="AE30" i="7" s="1"/>
  <c r="J30" i="7"/>
  <c r="H30" i="7"/>
  <c r="D30" i="7"/>
  <c r="C30" i="7"/>
  <c r="V29" i="7"/>
  <c r="U29" i="7"/>
  <c r="AE29" i="7" s="1"/>
  <c r="J29" i="7"/>
  <c r="F29" i="7"/>
  <c r="C29" i="7"/>
  <c r="AE28" i="7"/>
  <c r="V28" i="7"/>
  <c r="F28" i="7"/>
  <c r="C28" i="7"/>
  <c r="V27" i="7"/>
  <c r="U27" i="7"/>
  <c r="J27" i="7"/>
  <c r="C27" i="7"/>
  <c r="V26" i="7"/>
  <c r="AE26" i="7" s="1"/>
  <c r="J26" i="7"/>
  <c r="H26" i="7"/>
  <c r="C26" i="7"/>
  <c r="V25" i="7"/>
  <c r="AE25" i="7" s="1"/>
  <c r="J25" i="7"/>
  <c r="D25" i="7"/>
  <c r="C25" i="7"/>
  <c r="V24" i="7"/>
  <c r="L24" i="7"/>
  <c r="H24" i="7"/>
  <c r="C24" i="7"/>
  <c r="J23" i="7"/>
  <c r="F23" i="7"/>
  <c r="F34" i="7" s="1"/>
  <c r="C23" i="7"/>
  <c r="J22" i="7"/>
  <c r="C22" i="7"/>
  <c r="O21" i="7"/>
  <c r="N21" i="7"/>
  <c r="L21" i="7"/>
  <c r="J21" i="7"/>
  <c r="H21" i="7"/>
  <c r="F21" i="7"/>
  <c r="D21" i="7"/>
  <c r="B21" i="7"/>
  <c r="H16" i="7"/>
  <c r="L16" i="7" s="1"/>
  <c r="F52" i="7" s="1"/>
  <c r="B16" i="7"/>
  <c r="J15" i="7"/>
  <c r="H14" i="7"/>
  <c r="F14" i="7"/>
  <c r="J13" i="7"/>
  <c r="H13" i="7"/>
  <c r="F13" i="7"/>
  <c r="J12" i="7"/>
  <c r="D12" i="7"/>
  <c r="J11" i="7"/>
  <c r="J10" i="7"/>
  <c r="H10" i="7"/>
  <c r="F10" i="7"/>
  <c r="J9" i="7"/>
  <c r="H9" i="7"/>
  <c r="F9" i="7"/>
  <c r="D9" i="7"/>
  <c r="J8" i="7"/>
  <c r="H8" i="7"/>
  <c r="D7" i="7"/>
  <c r="L7" i="7" s="1"/>
  <c r="J6" i="7"/>
  <c r="H6" i="7"/>
  <c r="F6" i="7"/>
  <c r="N6" i="7" s="1"/>
  <c r="N5" i="7"/>
  <c r="O5" i="7" s="1"/>
  <c r="B5" i="7"/>
  <c r="B17" i="7" s="1"/>
  <c r="AD4" i="7"/>
  <c r="AC4" i="7"/>
  <c r="AB4" i="7"/>
  <c r="AA4" i="7"/>
  <c r="Z4" i="7"/>
  <c r="Y4" i="7"/>
  <c r="X4" i="7"/>
  <c r="W4" i="7"/>
  <c r="V4" i="7"/>
  <c r="U4" i="7"/>
  <c r="T4" i="7"/>
  <c r="S4" i="7"/>
  <c r="I37" i="6"/>
  <c r="L35" i="6"/>
  <c r="L34" i="6"/>
  <c r="E34" i="6"/>
  <c r="K38" i="6"/>
  <c r="K39" i="6" s="1"/>
  <c r="D33" i="6"/>
  <c r="C33" i="6"/>
  <c r="B33" i="6"/>
  <c r="D32" i="6"/>
  <c r="C32" i="6"/>
  <c r="B32" i="6"/>
  <c r="K28" i="6"/>
  <c r="J26" i="6"/>
  <c r="L26" i="6" s="1"/>
  <c r="L25" i="6"/>
  <c r="G26" i="6"/>
  <c r="L24" i="6"/>
  <c r="G25" i="6"/>
  <c r="E16" i="6"/>
  <c r="F16" i="6" s="1"/>
  <c r="K15" i="6"/>
  <c r="L15" i="6" s="1"/>
  <c r="G15" i="6"/>
  <c r="H15" i="6" s="1"/>
  <c r="E15" i="6"/>
  <c r="F15" i="6" s="1"/>
  <c r="K14" i="6"/>
  <c r="G14" i="6"/>
  <c r="E14" i="6"/>
  <c r="C14" i="6"/>
  <c r="K13" i="6"/>
  <c r="G13" i="6"/>
  <c r="E13" i="6"/>
  <c r="C13" i="6"/>
  <c r="K12" i="6"/>
  <c r="L12" i="6" s="1"/>
  <c r="G12" i="6"/>
  <c r="H12" i="6" s="1"/>
  <c r="E12" i="6"/>
  <c r="F12" i="6" s="1"/>
  <c r="K11" i="6"/>
  <c r="L11" i="6" s="1"/>
  <c r="G11" i="6"/>
  <c r="H11" i="6" s="1"/>
  <c r="E11" i="6"/>
  <c r="F11" i="6" s="1"/>
  <c r="K10" i="6"/>
  <c r="L10" i="6" s="1"/>
  <c r="G10" i="6"/>
  <c r="H10" i="6" s="1"/>
  <c r="E10" i="6"/>
  <c r="F10" i="6" s="1"/>
  <c r="K8" i="6"/>
  <c r="L8" i="6" s="1"/>
  <c r="D31" i="6"/>
  <c r="B37" i="5"/>
  <c r="C34" i="5" s="1"/>
  <c r="E36" i="5"/>
  <c r="C36" i="5"/>
  <c r="E35" i="5"/>
  <c r="C35" i="5"/>
  <c r="E34" i="5"/>
  <c r="E33" i="5"/>
  <c r="C33" i="5"/>
  <c r="K26" i="5"/>
  <c r="K33" i="5" s="1"/>
  <c r="J26" i="5"/>
  <c r="J33" i="5" s="1"/>
  <c r="I26" i="5"/>
  <c r="I33" i="5" s="1"/>
  <c r="L24" i="5"/>
  <c r="L23" i="5"/>
  <c r="F23" i="5"/>
  <c r="L22" i="5"/>
  <c r="F22" i="5"/>
  <c r="L21" i="5"/>
  <c r="F21" i="5"/>
  <c r="L20" i="5"/>
  <c r="F20" i="5"/>
  <c r="L19" i="5"/>
  <c r="F19" i="5"/>
  <c r="F26" i="5" s="1"/>
  <c r="J17" i="5"/>
  <c r="L14" i="5"/>
  <c r="F14" i="5"/>
  <c r="F13" i="5"/>
  <c r="L12" i="5"/>
  <c r="F12" i="5"/>
  <c r="L11" i="5"/>
  <c r="F11" i="5"/>
  <c r="L10" i="5"/>
  <c r="F10" i="5"/>
  <c r="F32" i="4"/>
  <c r="M32" i="4" s="1"/>
  <c r="F33" i="4"/>
  <c r="G31" i="3"/>
  <c r="F29" i="3"/>
  <c r="E29" i="3"/>
  <c r="P29" i="3" s="1"/>
  <c r="Q29" i="3" s="1"/>
  <c r="F25" i="3"/>
  <c r="F31" i="3" s="1"/>
  <c r="D25" i="3"/>
  <c r="G22" i="3"/>
  <c r="F20" i="3"/>
  <c r="E20" i="3"/>
  <c r="E22" i="3" s="1"/>
  <c r="D20" i="3"/>
  <c r="F17" i="3"/>
  <c r="J45" i="2"/>
  <c r="K45" i="2"/>
  <c r="L45" i="2"/>
  <c r="L46" i="2" s="1"/>
  <c r="G6" i="9" s="1"/>
  <c r="M45" i="2"/>
  <c r="N45" i="2"/>
  <c r="O45" i="2"/>
  <c r="P45" i="2"/>
  <c r="Q45" i="2"/>
  <c r="R45" i="2"/>
  <c r="S45" i="2"/>
  <c r="T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2" i="2"/>
  <c r="H21" i="2"/>
  <c r="H16" i="2"/>
  <c r="H12" i="2"/>
  <c r="H10" i="2"/>
  <c r="J3" i="2"/>
  <c r="E4" i="9" s="1"/>
  <c r="K3" i="2"/>
  <c r="F4" i="9" s="1"/>
  <c r="L3" i="2"/>
  <c r="G4" i="9" s="1"/>
  <c r="M3" i="2"/>
  <c r="H4" i="9" s="1"/>
  <c r="N3" i="2"/>
  <c r="I4" i="9" s="1"/>
  <c r="O3" i="2"/>
  <c r="J4" i="9" s="1"/>
  <c r="P3" i="2"/>
  <c r="K4" i="9" s="1"/>
  <c r="Q3" i="2"/>
  <c r="L4" i="9" s="1"/>
  <c r="R3" i="2"/>
  <c r="M4" i="9" s="1"/>
  <c r="S3" i="2"/>
  <c r="N4" i="9" s="1"/>
  <c r="T3" i="2"/>
  <c r="O4" i="9" s="1"/>
  <c r="I3" i="2"/>
  <c r="D4" i="9" s="1"/>
  <c r="C15" i="1"/>
  <c r="C16" i="1"/>
  <c r="C17" i="1"/>
  <c r="C18" i="1"/>
  <c r="C19" i="1"/>
  <c r="C20" i="1"/>
  <c r="C22" i="1"/>
  <c r="C23" i="1"/>
  <c r="C24" i="1"/>
  <c r="C25" i="1"/>
  <c r="C26" i="1"/>
  <c r="C27" i="1"/>
  <c r="C28" i="1"/>
  <c r="C29" i="1"/>
  <c r="C30" i="1"/>
  <c r="C32" i="1"/>
  <c r="C36" i="1"/>
  <c r="P17" i="3" l="1"/>
  <c r="Q17" i="3" s="1"/>
  <c r="AE4" i="7"/>
  <c r="F11" i="8"/>
  <c r="L9" i="7"/>
  <c r="J34" i="7"/>
  <c r="K26" i="7" s="1"/>
  <c r="U40" i="7"/>
  <c r="L30" i="7"/>
  <c r="AE39" i="7"/>
  <c r="G26" i="8" s="1"/>
  <c r="E18" i="4" s="1"/>
  <c r="AE59" i="7"/>
  <c r="G33" i="4"/>
  <c r="M33" i="4"/>
  <c r="N22" i="7"/>
  <c r="D54" i="7"/>
  <c r="C52" i="7"/>
  <c r="H29" i="8"/>
  <c r="AE61" i="7"/>
  <c r="N9" i="7"/>
  <c r="V40" i="7"/>
  <c r="AE24" i="7"/>
  <c r="L13" i="6"/>
  <c r="H13" i="6"/>
  <c r="F13" i="6"/>
  <c r="L14" i="6"/>
  <c r="F14" i="6"/>
  <c r="H14" i="6"/>
  <c r="AE36" i="7"/>
  <c r="U56" i="7"/>
  <c r="U71" i="7" s="1"/>
  <c r="U73" i="7" s="1"/>
  <c r="J20" i="2"/>
  <c r="H5" i="2"/>
  <c r="G31" i="4"/>
  <c r="G34" i="4" s="1"/>
  <c r="M31" i="4"/>
  <c r="M34" i="4" s="1"/>
  <c r="K32" i="5"/>
  <c r="I32" i="5"/>
  <c r="I34" i="5" s="1"/>
  <c r="E37" i="5"/>
  <c r="K17" i="5" s="1"/>
  <c r="H41" i="5" s="1"/>
  <c r="N46" i="2"/>
  <c r="I6" i="9" s="1"/>
  <c r="R46" i="2"/>
  <c r="M6" i="9" s="1"/>
  <c r="O46" i="2"/>
  <c r="J6" i="9" s="1"/>
  <c r="K46" i="2"/>
  <c r="F6" i="9" s="1"/>
  <c r="Q46" i="2"/>
  <c r="L6" i="9" s="1"/>
  <c r="P46" i="2"/>
  <c r="K6" i="9" s="1"/>
  <c r="M46" i="2"/>
  <c r="H6" i="9" s="1"/>
  <c r="J46" i="2"/>
  <c r="E6" i="9" s="1"/>
  <c r="C6" i="9" s="1"/>
  <c r="D17" i="5"/>
  <c r="C40" i="5" s="1"/>
  <c r="J32" i="5"/>
  <c r="J34" i="5" s="1"/>
  <c r="D22" i="3"/>
  <c r="D31" i="3"/>
  <c r="P31" i="3" s="1"/>
  <c r="P25" i="3"/>
  <c r="Q16" i="3"/>
  <c r="L93" i="7"/>
  <c r="M91" i="7"/>
  <c r="K91" i="7"/>
  <c r="J91" i="7"/>
  <c r="H91" i="7"/>
  <c r="G91" i="7"/>
  <c r="AD99" i="7"/>
  <c r="T46" i="2"/>
  <c r="O6" i="9" s="1"/>
  <c r="S20" i="2"/>
  <c r="S46" i="2" s="1"/>
  <c r="N6" i="9" s="1"/>
  <c r="C41" i="5"/>
  <c r="G41" i="5"/>
  <c r="G22" i="8"/>
  <c r="E15" i="4" s="1"/>
  <c r="G15" i="4" s="1"/>
  <c r="G23" i="8"/>
  <c r="E16" i="4" s="1"/>
  <c r="G16" i="4" s="1"/>
  <c r="G25" i="8"/>
  <c r="E17" i="4" s="1"/>
  <c r="G21" i="8"/>
  <c r="E14" i="4" s="1"/>
  <c r="G14" i="4" s="1"/>
  <c r="G18" i="8"/>
  <c r="E11" i="4" s="1"/>
  <c r="G11" i="4" s="1"/>
  <c r="G17" i="8"/>
  <c r="E10" i="4" s="1"/>
  <c r="G10" i="4" s="1"/>
  <c r="G16" i="8"/>
  <c r="E9" i="4" s="1"/>
  <c r="G9" i="4" s="1"/>
  <c r="G15" i="8"/>
  <c r="E8" i="4" s="1"/>
  <c r="G8" i="4" s="1"/>
  <c r="G13" i="8"/>
  <c r="E6" i="4" s="1"/>
  <c r="G6" i="4" s="1"/>
  <c r="G12" i="8"/>
  <c r="E5" i="4" s="1"/>
  <c r="G5" i="4" s="1"/>
  <c r="AA73" i="7"/>
  <c r="J27" i="6"/>
  <c r="J28" i="6" s="1"/>
  <c r="K34" i="5"/>
  <c r="Z99" i="7"/>
  <c r="L15" i="5"/>
  <c r="F15" i="5"/>
  <c r="C21" i="6"/>
  <c r="L23" i="6"/>
  <c r="L27" i="6" s="1"/>
  <c r="L28" i="6" s="1"/>
  <c r="L26" i="5"/>
  <c r="F22" i="3"/>
  <c r="H20" i="3"/>
  <c r="H22" i="3" s="1"/>
  <c r="C19" i="4"/>
  <c r="I38" i="6"/>
  <c r="I39" i="6" s="1"/>
  <c r="E33" i="6"/>
  <c r="E32" i="6"/>
  <c r="K37" i="1"/>
  <c r="G37" i="1"/>
  <c r="I27" i="8"/>
  <c r="I28" i="8" s="1"/>
  <c r="J37" i="1"/>
  <c r="D8" i="1"/>
  <c r="D31" i="1" s="1"/>
  <c r="D33" i="1" s="1"/>
  <c r="D35" i="1" s="1"/>
  <c r="D37" i="1" s="1"/>
  <c r="D7" i="9" s="1"/>
  <c r="H25" i="2"/>
  <c r="F37" i="1"/>
  <c r="H37" i="1"/>
  <c r="L37" i="1"/>
  <c r="L7" i="9" s="1"/>
  <c r="I37" i="1"/>
  <c r="N37" i="1"/>
  <c r="N7" i="9" s="1"/>
  <c r="M37" i="1"/>
  <c r="M7" i="9" s="1"/>
  <c r="E37" i="1"/>
  <c r="E7" i="9" s="1"/>
  <c r="O37" i="1"/>
  <c r="O7" i="9" s="1"/>
  <c r="B36" i="7"/>
  <c r="C17" i="7"/>
  <c r="C15" i="7"/>
  <c r="C12" i="7"/>
  <c r="C11" i="7"/>
  <c r="C10" i="7"/>
  <c r="C8" i="7"/>
  <c r="C7" i="7"/>
  <c r="C16" i="7"/>
  <c r="C14" i="7"/>
  <c r="C13" i="7"/>
  <c r="C9" i="7"/>
  <c r="C6" i="7"/>
  <c r="C5" i="7"/>
  <c r="F45" i="7"/>
  <c r="O9" i="7"/>
  <c r="G34" i="7"/>
  <c r="G31" i="7"/>
  <c r="G27" i="7"/>
  <c r="G26" i="7"/>
  <c r="G22" i="7"/>
  <c r="G33" i="7"/>
  <c r="G32" i="7"/>
  <c r="G30" i="7"/>
  <c r="G28" i="7"/>
  <c r="G25" i="7"/>
  <c r="G24" i="7"/>
  <c r="J49" i="7"/>
  <c r="N7" i="7"/>
  <c r="O7" i="7"/>
  <c r="N30" i="7"/>
  <c r="O30" i="7" s="1"/>
  <c r="J43" i="7"/>
  <c r="V87" i="7"/>
  <c r="V41" i="7"/>
  <c r="V126" i="7"/>
  <c r="V99" i="7"/>
  <c r="AE60" i="7"/>
  <c r="O6" i="7"/>
  <c r="L8" i="7"/>
  <c r="N8" i="7"/>
  <c r="L12" i="7"/>
  <c r="N12" i="7"/>
  <c r="O12" i="7" s="1"/>
  <c r="L13" i="7"/>
  <c r="N13" i="7"/>
  <c r="N16" i="7"/>
  <c r="O16" i="7" s="1"/>
  <c r="D17" i="7"/>
  <c r="F17" i="7"/>
  <c r="H17" i="7"/>
  <c r="I14" i="7" s="1"/>
  <c r="J17" i="7"/>
  <c r="N23" i="7"/>
  <c r="O23" i="7" s="1"/>
  <c r="N24" i="7"/>
  <c r="O24" i="7" s="1"/>
  <c r="L25" i="7"/>
  <c r="N25" i="7"/>
  <c r="L26" i="7"/>
  <c r="N26" i="7"/>
  <c r="K30" i="7"/>
  <c r="L32" i="7"/>
  <c r="N32" i="7"/>
  <c r="O32" i="7" s="1"/>
  <c r="AE32" i="7"/>
  <c r="N33" i="7"/>
  <c r="O33" i="7" s="1"/>
  <c r="AE33" i="7"/>
  <c r="D34" i="7"/>
  <c r="H34" i="7"/>
  <c r="F43" i="7"/>
  <c r="T120" i="7"/>
  <c r="X120" i="7"/>
  <c r="Z120" i="7"/>
  <c r="AB120" i="7"/>
  <c r="AD120" i="7"/>
  <c r="U87" i="7"/>
  <c r="U90" i="7" s="1"/>
  <c r="U41" i="7"/>
  <c r="V120" i="7"/>
  <c r="V90" i="7"/>
  <c r="AE56" i="7"/>
  <c r="I78" i="8" s="1"/>
  <c r="G6" i="7"/>
  <c r="E7" i="7"/>
  <c r="L10" i="7"/>
  <c r="N10" i="7" s="1"/>
  <c r="L11" i="7"/>
  <c r="L14" i="7"/>
  <c r="L15" i="7"/>
  <c r="O22" i="7"/>
  <c r="G23" i="7"/>
  <c r="K25" i="7"/>
  <c r="I26" i="7"/>
  <c r="L27" i="7"/>
  <c r="AE27" i="7"/>
  <c r="L28" i="7"/>
  <c r="G29" i="7"/>
  <c r="L29" i="7"/>
  <c r="I31" i="7"/>
  <c r="L31" i="7"/>
  <c r="T90" i="7"/>
  <c r="X90" i="7"/>
  <c r="Z90" i="7"/>
  <c r="AB90" i="7"/>
  <c r="AD90" i="7"/>
  <c r="T41" i="7"/>
  <c r="X41" i="7"/>
  <c r="Z41" i="7"/>
  <c r="AB41" i="7"/>
  <c r="AD41" i="7"/>
  <c r="L43" i="7"/>
  <c r="L53" i="7" s="1"/>
  <c r="J44" i="7"/>
  <c r="S64" i="7"/>
  <c r="S65" i="7" s="1"/>
  <c r="U64" i="7"/>
  <c r="U65" i="7" s="1"/>
  <c r="W64" i="7"/>
  <c r="W65" i="7" s="1"/>
  <c r="Y64" i="7"/>
  <c r="Y65" i="7" s="1"/>
  <c r="AA64" i="7"/>
  <c r="AA65" i="7" s="1"/>
  <c r="AC64" i="7"/>
  <c r="AC65" i="7" s="1"/>
  <c r="S90" i="7"/>
  <c r="W90" i="7"/>
  <c r="Y90" i="7"/>
  <c r="AA90" i="7"/>
  <c r="AC90" i="7"/>
  <c r="D91" i="7"/>
  <c r="T99" i="7"/>
  <c r="X99" i="7"/>
  <c r="AB99" i="7"/>
  <c r="S120" i="7"/>
  <c r="W120" i="7"/>
  <c r="Y120" i="7"/>
  <c r="AA120" i="7"/>
  <c r="AC120" i="7"/>
  <c r="T126" i="7"/>
  <c r="X126" i="7"/>
  <c r="AB126" i="7"/>
  <c r="S41" i="7"/>
  <c r="W41" i="7"/>
  <c r="Y41" i="7"/>
  <c r="AA41" i="7"/>
  <c r="AC41" i="7"/>
  <c r="F44" i="7"/>
  <c r="H53" i="7"/>
  <c r="H54" i="7" s="1"/>
  <c r="T64" i="7"/>
  <c r="T65" i="7" s="1"/>
  <c r="V64" i="7"/>
  <c r="V65" i="7" s="1"/>
  <c r="X64" i="7"/>
  <c r="X65" i="7" s="1"/>
  <c r="Z64" i="7"/>
  <c r="Z65" i="7" s="1"/>
  <c r="AB64" i="7"/>
  <c r="AB65" i="7" s="1"/>
  <c r="AD64" i="7"/>
  <c r="AD65" i="7" s="1"/>
  <c r="C90" i="7"/>
  <c r="E91" i="7"/>
  <c r="AE119" i="7"/>
  <c r="W122" i="7" s="1"/>
  <c r="E9" i="6"/>
  <c r="F9" i="6" s="1"/>
  <c r="G9" i="6"/>
  <c r="H9" i="6" s="1"/>
  <c r="K9" i="6"/>
  <c r="L9" i="6" s="1"/>
  <c r="E17" i="6"/>
  <c r="F17" i="6" s="1"/>
  <c r="G17" i="6"/>
  <c r="H17" i="6" s="1"/>
  <c r="K17" i="6"/>
  <c r="L17" i="6" s="1"/>
  <c r="E18" i="6"/>
  <c r="F18" i="6" s="1"/>
  <c r="G18" i="6"/>
  <c r="H18" i="6" s="1"/>
  <c r="K18" i="6"/>
  <c r="L18" i="6" s="1"/>
  <c r="E19" i="6"/>
  <c r="F19" i="6" s="1"/>
  <c r="G19" i="6"/>
  <c r="H19" i="6" s="1"/>
  <c r="K19" i="6"/>
  <c r="L19" i="6" s="1"/>
  <c r="D21" i="6"/>
  <c r="D23" i="6"/>
  <c r="C29" i="6"/>
  <c r="B30" i="6"/>
  <c r="D30" i="6"/>
  <c r="C31" i="6"/>
  <c r="E35" i="6"/>
  <c r="D29" i="6"/>
  <c r="C30" i="6"/>
  <c r="B31" i="6"/>
  <c r="L33" i="6"/>
  <c r="C32" i="5"/>
  <c r="F34" i="4"/>
  <c r="C34" i="4"/>
  <c r="F19" i="4"/>
  <c r="E23" i="3"/>
  <c r="H45" i="2"/>
  <c r="H23" i="2"/>
  <c r="N31" i="7" l="1"/>
  <c r="O31" i="7" s="1"/>
  <c r="F7" i="9"/>
  <c r="F38" i="1"/>
  <c r="K33" i="7"/>
  <c r="I13" i="7"/>
  <c r="K32" i="7"/>
  <c r="K31" i="7"/>
  <c r="K27" i="7"/>
  <c r="H7" i="9"/>
  <c r="H38" i="1"/>
  <c r="J7" i="9"/>
  <c r="J38" i="1"/>
  <c r="H20" i="2"/>
  <c r="H46" i="2" s="1"/>
  <c r="F20" i="4"/>
  <c r="L36" i="4"/>
  <c r="K34" i="7"/>
  <c r="K22" i="7"/>
  <c r="K24" i="7"/>
  <c r="I8" i="7"/>
  <c r="K29" i="7"/>
  <c r="O13" i="7"/>
  <c r="I38" i="1"/>
  <c r="I7" i="9"/>
  <c r="G7" i="9"/>
  <c r="G38" i="1"/>
  <c r="AE71" i="7"/>
  <c r="K28" i="7"/>
  <c r="K23" i="7"/>
  <c r="C7" i="9"/>
  <c r="K7" i="9"/>
  <c r="K38" i="1"/>
  <c r="H42" i="3"/>
  <c r="D33" i="5"/>
  <c r="F33" i="5" s="1"/>
  <c r="D32" i="5"/>
  <c r="F32" i="5" s="1"/>
  <c r="E17" i="5"/>
  <c r="H40" i="5" s="1"/>
  <c r="H42" i="5" s="1"/>
  <c r="P22" i="3"/>
  <c r="I44" i="3"/>
  <c r="I46" i="3" s="1"/>
  <c r="Q25" i="3"/>
  <c r="P20" i="3"/>
  <c r="D38" i="1"/>
  <c r="AD72" i="7"/>
  <c r="AD73" i="7" s="1"/>
  <c r="AC72" i="7"/>
  <c r="E38" i="1"/>
  <c r="C35" i="1"/>
  <c r="C42" i="5"/>
  <c r="H8" i="9"/>
  <c r="I21" i="6"/>
  <c r="G11" i="8"/>
  <c r="J55" i="7"/>
  <c r="E33" i="4"/>
  <c r="H33" i="4" s="1"/>
  <c r="G18" i="4"/>
  <c r="F23" i="3"/>
  <c r="G23" i="3" s="1"/>
  <c r="H23" i="3" s="1"/>
  <c r="I23" i="3" s="1"/>
  <c r="J23" i="3" s="1"/>
  <c r="K23" i="3" s="1"/>
  <c r="L23" i="3" s="1"/>
  <c r="M23" i="3" s="1"/>
  <c r="N23" i="3" s="1"/>
  <c r="O23" i="3" s="1"/>
  <c r="F8" i="9"/>
  <c r="D22" i="6"/>
  <c r="E8" i="9"/>
  <c r="S85" i="7"/>
  <c r="C20" i="4"/>
  <c r="L37" i="6"/>
  <c r="C43" i="7"/>
  <c r="C44" i="7"/>
  <c r="E32" i="4"/>
  <c r="H32" i="4" s="1"/>
  <c r="G17" i="4"/>
  <c r="G20" i="8"/>
  <c r="G19" i="8"/>
  <c r="G14" i="8"/>
  <c r="AE40" i="7"/>
  <c r="AE41" i="7" s="1"/>
  <c r="D36" i="5"/>
  <c r="F36" i="5" s="1"/>
  <c r="D34" i="5"/>
  <c r="F34" i="5" s="1"/>
  <c r="D35" i="5"/>
  <c r="F35" i="5" s="1"/>
  <c r="AC122" i="7"/>
  <c r="X122" i="7"/>
  <c r="Y122" i="7"/>
  <c r="AB122" i="7"/>
  <c r="M8" i="9"/>
  <c r="C8" i="1"/>
  <c r="K8" i="9"/>
  <c r="G8" i="9"/>
  <c r="J8" i="9"/>
  <c r="L8" i="9"/>
  <c r="H8" i="2"/>
  <c r="N8" i="9"/>
  <c r="I8" i="9"/>
  <c r="O8" i="9"/>
  <c r="C31" i="1"/>
  <c r="I52" i="7"/>
  <c r="I51" i="7"/>
  <c r="I50" i="7"/>
  <c r="I49" i="7"/>
  <c r="I48" i="7"/>
  <c r="I47" i="7"/>
  <c r="I46" i="7"/>
  <c r="I45" i="7"/>
  <c r="G53" i="7"/>
  <c r="I43" i="7"/>
  <c r="I42" i="7"/>
  <c r="I41" i="7"/>
  <c r="J48" i="7"/>
  <c r="J47" i="7"/>
  <c r="J46" i="7"/>
  <c r="F50" i="7"/>
  <c r="F47" i="7"/>
  <c r="E34" i="7"/>
  <c r="E33" i="7"/>
  <c r="E32" i="7"/>
  <c r="E29" i="7"/>
  <c r="E24" i="7"/>
  <c r="E23" i="7"/>
  <c r="E31" i="7"/>
  <c r="E28" i="7"/>
  <c r="E27" i="7"/>
  <c r="E26" i="7"/>
  <c r="E22" i="7"/>
  <c r="J36" i="7"/>
  <c r="J18" i="7"/>
  <c r="K17" i="7"/>
  <c r="K16" i="7"/>
  <c r="K15" i="7"/>
  <c r="K14" i="7"/>
  <c r="K11" i="7"/>
  <c r="K10" i="7"/>
  <c r="K9" i="7"/>
  <c r="K7" i="7"/>
  <c r="K5" i="7"/>
  <c r="F36" i="7"/>
  <c r="F18" i="7"/>
  <c r="G17" i="7"/>
  <c r="G15" i="7"/>
  <c r="G11" i="7"/>
  <c r="G8" i="7"/>
  <c r="G16" i="7"/>
  <c r="G12" i="7"/>
  <c r="G10" i="7"/>
  <c r="G9" i="7"/>
  <c r="G7" i="7"/>
  <c r="G5" i="7"/>
  <c r="AE122" i="7"/>
  <c r="C51" i="7"/>
  <c r="C50" i="7"/>
  <c r="C49" i="7"/>
  <c r="C48" i="7"/>
  <c r="C47" i="7"/>
  <c r="C46" i="7"/>
  <c r="C45" i="7"/>
  <c r="C42" i="7"/>
  <c r="C41" i="7"/>
  <c r="J50" i="7"/>
  <c r="F51" i="7"/>
  <c r="F46" i="7"/>
  <c r="O10" i="7"/>
  <c r="AE64" i="7"/>
  <c r="AE66" i="7" s="1"/>
  <c r="AE67" i="7" s="1"/>
  <c r="I34" i="7"/>
  <c r="I32" i="7"/>
  <c r="I28" i="7"/>
  <c r="I25" i="7"/>
  <c r="I33" i="7"/>
  <c r="I30" i="7"/>
  <c r="I29" i="7"/>
  <c r="I27" i="7"/>
  <c r="I24" i="7"/>
  <c r="I23" i="7"/>
  <c r="I22" i="7"/>
  <c r="AE89" i="7"/>
  <c r="J51" i="7"/>
  <c r="J45" i="7"/>
  <c r="H36" i="7"/>
  <c r="I17" i="7"/>
  <c r="I12" i="7"/>
  <c r="I7" i="7"/>
  <c r="I5" i="7"/>
  <c r="H18" i="7"/>
  <c r="I16" i="7"/>
  <c r="I15" i="7"/>
  <c r="I11" i="7"/>
  <c r="I10" i="7"/>
  <c r="I9" i="7"/>
  <c r="D36" i="7"/>
  <c r="E17" i="7"/>
  <c r="E16" i="7"/>
  <c r="E14" i="7"/>
  <c r="E13" i="7"/>
  <c r="E6" i="7"/>
  <c r="E5" i="7"/>
  <c r="D18" i="7"/>
  <c r="E15" i="7"/>
  <c r="E11" i="7"/>
  <c r="E10" i="7"/>
  <c r="E9" i="7"/>
  <c r="E8" i="7"/>
  <c r="F49" i="7"/>
  <c r="F48" i="7"/>
  <c r="AE126" i="7"/>
  <c r="U120" i="7"/>
  <c r="N29" i="7"/>
  <c r="O29" i="7" s="1"/>
  <c r="N28" i="7"/>
  <c r="O28" i="7" s="1"/>
  <c r="N14" i="7"/>
  <c r="K8" i="7"/>
  <c r="G13" i="7"/>
  <c r="K6" i="7"/>
  <c r="I44" i="7"/>
  <c r="AD122" i="7"/>
  <c r="Z122" i="7"/>
  <c r="T122" i="7"/>
  <c r="AE99" i="7"/>
  <c r="AA122" i="7"/>
  <c r="S122" i="7"/>
  <c r="E30" i="7"/>
  <c r="G14" i="7"/>
  <c r="K12" i="7"/>
  <c r="V122" i="7"/>
  <c r="O14" i="7"/>
  <c r="U122" i="7"/>
  <c r="L34" i="7"/>
  <c r="M28" i="7" s="1"/>
  <c r="N27" i="7"/>
  <c r="O26" i="7"/>
  <c r="E25" i="7"/>
  <c r="N15" i="7"/>
  <c r="O15" i="7" s="1"/>
  <c r="N11" i="7"/>
  <c r="I6" i="7"/>
  <c r="L17" i="7"/>
  <c r="M11" i="7" s="1"/>
  <c r="O25" i="7"/>
  <c r="K13" i="7"/>
  <c r="E12" i="7"/>
  <c r="O8" i="7"/>
  <c r="J21" i="6"/>
  <c r="H21" i="6"/>
  <c r="E21" i="6"/>
  <c r="L21" i="6"/>
  <c r="F21" i="6"/>
  <c r="K21" i="6"/>
  <c r="G21" i="6"/>
  <c r="C37" i="5"/>
  <c r="G40" i="5"/>
  <c r="G42" i="5" s="1"/>
  <c r="C33" i="1"/>
  <c r="G24" i="6" l="1"/>
  <c r="G28" i="6" s="1"/>
  <c r="J36" i="6"/>
  <c r="N17" i="7"/>
  <c r="N34" i="7"/>
  <c r="F37" i="5"/>
  <c r="AE72" i="7"/>
  <c r="AE73" i="7" s="1"/>
  <c r="AC73" i="7"/>
  <c r="AE65" i="7"/>
  <c r="H35" i="8"/>
  <c r="C35" i="8" s="1"/>
  <c r="C37" i="1"/>
  <c r="E4" i="4"/>
  <c r="G4" i="4" s="1"/>
  <c r="J11" i="8"/>
  <c r="G27" i="8"/>
  <c r="H34" i="8" s="1"/>
  <c r="E7" i="4"/>
  <c r="G7" i="4" s="1"/>
  <c r="E12" i="4"/>
  <c r="G12" i="4" s="1"/>
  <c r="E13" i="4"/>
  <c r="G13" i="4" s="1"/>
  <c r="F53" i="7"/>
  <c r="AF60" i="7"/>
  <c r="U85" i="7"/>
  <c r="T85" i="7" s="1"/>
  <c r="J53" i="7"/>
  <c r="AF24" i="7"/>
  <c r="C53" i="7"/>
  <c r="AF33" i="7"/>
  <c r="AF32" i="7"/>
  <c r="AF27" i="7"/>
  <c r="Y18" i="7"/>
  <c r="Y15" i="7"/>
  <c r="Y14" i="7"/>
  <c r="Y11" i="7"/>
  <c r="Y10" i="7"/>
  <c r="Y9" i="7"/>
  <c r="Y7" i="7"/>
  <c r="Y6" i="7"/>
  <c r="Y19" i="7"/>
  <c r="Y17" i="7"/>
  <c r="Y16" i="7"/>
  <c r="Y13" i="7"/>
  <c r="Y81" i="7" s="1"/>
  <c r="Y12" i="7"/>
  <c r="Y8" i="7"/>
  <c r="Y5" i="7"/>
  <c r="N36" i="7"/>
  <c r="N18" i="7"/>
  <c r="S95" i="7"/>
  <c r="AA95" i="7"/>
  <c r="V95" i="7"/>
  <c r="X95" i="7"/>
  <c r="AB95" i="7"/>
  <c r="Y95" i="7"/>
  <c r="U95" i="7"/>
  <c r="W95" i="7"/>
  <c r="T95" i="7"/>
  <c r="Z95" i="7"/>
  <c r="AD95" i="7"/>
  <c r="AC95" i="7"/>
  <c r="V85" i="7"/>
  <c r="Y85" i="7" s="1"/>
  <c r="AF62" i="7"/>
  <c r="AF58" i="7"/>
  <c r="AF61" i="7"/>
  <c r="AF59" i="7"/>
  <c r="AF57" i="7"/>
  <c r="AF63" i="7"/>
  <c r="M10" i="7"/>
  <c r="M31" i="7"/>
  <c r="O27" i="7"/>
  <c r="O34" i="7" s="1"/>
  <c r="I53" i="7"/>
  <c r="L36" i="7"/>
  <c r="L19" i="7"/>
  <c r="M17" i="7"/>
  <c r="M5" i="7"/>
  <c r="L18" i="7"/>
  <c r="M6" i="7"/>
  <c r="M7" i="7"/>
  <c r="M9" i="7"/>
  <c r="M16" i="7"/>
  <c r="M34" i="7"/>
  <c r="M23" i="7"/>
  <c r="M22" i="7"/>
  <c r="M30" i="7"/>
  <c r="M24" i="7"/>
  <c r="M33" i="7"/>
  <c r="AE87" i="7"/>
  <c r="AE120" i="7" s="1"/>
  <c r="AF40" i="7"/>
  <c r="AF31" i="7"/>
  <c r="AF28" i="7"/>
  <c r="AF29" i="7"/>
  <c r="AF30" i="7"/>
  <c r="AF39" i="7"/>
  <c r="AF34" i="7"/>
  <c r="AF36" i="7"/>
  <c r="AF25" i="7"/>
  <c r="AF26" i="7"/>
  <c r="AF38" i="7"/>
  <c r="AF35" i="7"/>
  <c r="AF37" i="7"/>
  <c r="M25" i="7"/>
  <c r="M8" i="7"/>
  <c r="M12" i="7"/>
  <c r="M13" i="7"/>
  <c r="M26" i="7"/>
  <c r="M32" i="7"/>
  <c r="AF56" i="7"/>
  <c r="AF64" i="7" s="1"/>
  <c r="M15" i="7"/>
  <c r="O11" i="7"/>
  <c r="O17" i="7" s="1"/>
  <c r="M14" i="7"/>
  <c r="M27" i="7"/>
  <c r="M29" i="7"/>
  <c r="D37" i="5"/>
  <c r="E38" i="5" s="1"/>
  <c r="G30" i="6" l="1"/>
  <c r="G29" i="6"/>
  <c r="F38" i="5"/>
  <c r="C34" i="8"/>
  <c r="K11" i="8"/>
  <c r="L19" i="8"/>
  <c r="G19" i="4"/>
  <c r="G20" i="4" s="1"/>
  <c r="E31" i="4"/>
  <c r="H31" i="4" s="1"/>
  <c r="H34" i="4" s="1"/>
  <c r="L25" i="8"/>
  <c r="L16" i="8"/>
  <c r="L22" i="8"/>
  <c r="L11" i="8"/>
  <c r="L20" i="8"/>
  <c r="L21" i="8"/>
  <c r="L12" i="8"/>
  <c r="L23" i="8"/>
  <c r="L24" i="8"/>
  <c r="L13" i="8"/>
  <c r="L26" i="8"/>
  <c r="L18" i="8"/>
  <c r="L15" i="8"/>
  <c r="L17" i="8"/>
  <c r="L14" i="8"/>
  <c r="G29" i="8"/>
  <c r="E19" i="4"/>
  <c r="E20" i="4" s="1"/>
  <c r="H30" i="6"/>
  <c r="W85" i="7"/>
  <c r="D38" i="5"/>
  <c r="J38" i="6"/>
  <c r="J39" i="6" s="1"/>
  <c r="L36" i="6"/>
  <c r="L38" i="6" s="1"/>
  <c r="L39" i="6" s="1"/>
  <c r="O36" i="7"/>
  <c r="O18" i="7"/>
  <c r="AC18" i="7"/>
  <c r="AC15" i="7"/>
  <c r="AC14" i="7"/>
  <c r="AC11" i="7"/>
  <c r="AC10" i="7"/>
  <c r="AC9" i="7"/>
  <c r="AC7" i="7"/>
  <c r="AC6" i="7"/>
  <c r="AC19" i="7"/>
  <c r="AC17" i="7"/>
  <c r="AC16" i="7"/>
  <c r="AC13" i="7"/>
  <c r="AC81" i="7" s="1"/>
  <c r="AC12" i="7"/>
  <c r="AC8" i="7"/>
  <c r="AC5" i="7"/>
  <c r="AC20" i="7" s="1"/>
  <c r="AA18" i="7"/>
  <c r="AA15" i="7"/>
  <c r="AA14" i="7"/>
  <c r="AA11" i="7"/>
  <c r="AA10" i="7"/>
  <c r="AA9" i="7"/>
  <c r="AA7" i="7"/>
  <c r="AA6" i="7"/>
  <c r="AA19" i="7"/>
  <c r="AA17" i="7"/>
  <c r="AA16" i="7"/>
  <c r="AA13" i="7"/>
  <c r="AA81" i="7" s="1"/>
  <c r="AA12" i="7"/>
  <c r="AA8" i="7"/>
  <c r="AA5" i="7"/>
  <c r="W18" i="7"/>
  <c r="W15" i="7"/>
  <c r="W14" i="7"/>
  <c r="W11" i="7"/>
  <c r="W10" i="7"/>
  <c r="W9" i="7"/>
  <c r="W7" i="7"/>
  <c r="W6" i="7"/>
  <c r="W19" i="7"/>
  <c r="W17" i="7"/>
  <c r="W16" i="7"/>
  <c r="W13" i="7"/>
  <c r="W81" i="7" s="1"/>
  <c r="W12" i="7"/>
  <c r="W8" i="7"/>
  <c r="W5" i="7"/>
  <c r="T19" i="7"/>
  <c r="T17" i="7"/>
  <c r="T16" i="7"/>
  <c r="T13" i="7"/>
  <c r="T81" i="7" s="1"/>
  <c r="T12" i="7"/>
  <c r="T8" i="7"/>
  <c r="T5" i="7"/>
  <c r="T18" i="7"/>
  <c r="T15" i="7"/>
  <c r="T14" i="7"/>
  <c r="T11" i="7"/>
  <c r="T10" i="7"/>
  <c r="T9" i="7"/>
  <c r="T7" i="7"/>
  <c r="T6" i="7"/>
  <c r="S18" i="7"/>
  <c r="S15" i="7"/>
  <c r="S14" i="7"/>
  <c r="S11" i="7"/>
  <c r="S10" i="7"/>
  <c r="S9" i="7"/>
  <c r="S7" i="7"/>
  <c r="S6" i="7"/>
  <c r="S19" i="7"/>
  <c r="S17" i="7"/>
  <c r="S16" i="7"/>
  <c r="S13" i="7"/>
  <c r="S12" i="7"/>
  <c r="S8" i="7"/>
  <c r="S5" i="7"/>
  <c r="Y115" i="7"/>
  <c r="Y110" i="7"/>
  <c r="AE90" i="7"/>
  <c r="Y20" i="7"/>
  <c r="AB19" i="7"/>
  <c r="AB17" i="7"/>
  <c r="AB16" i="7"/>
  <c r="AB13" i="7"/>
  <c r="AB81" i="7" s="1"/>
  <c r="AB12" i="7"/>
  <c r="AB8" i="7"/>
  <c r="AB5" i="7"/>
  <c r="AB18" i="7"/>
  <c r="AB15" i="7"/>
  <c r="AB14" i="7"/>
  <c r="AB11" i="7"/>
  <c r="AB10" i="7"/>
  <c r="AB9" i="7"/>
  <c r="AB7" i="7"/>
  <c r="AB6" i="7"/>
  <c r="V19" i="7"/>
  <c r="V17" i="7"/>
  <c r="V16" i="7"/>
  <c r="V13" i="7"/>
  <c r="V81" i="7" s="1"/>
  <c r="V12" i="7"/>
  <c r="V8" i="7"/>
  <c r="V5" i="7"/>
  <c r="V18" i="7"/>
  <c r="V15" i="7"/>
  <c r="V14" i="7"/>
  <c r="V11" i="7"/>
  <c r="V10" i="7"/>
  <c r="V9" i="7"/>
  <c r="V7" i="7"/>
  <c r="V6" i="7"/>
  <c r="Z19" i="7"/>
  <c r="Z17" i="7"/>
  <c r="Z16" i="7"/>
  <c r="Z13" i="7"/>
  <c r="Z81" i="7" s="1"/>
  <c r="Z12" i="7"/>
  <c r="Z8" i="7"/>
  <c r="Z5" i="7"/>
  <c r="Z18" i="7"/>
  <c r="Z15" i="7"/>
  <c r="Z14" i="7"/>
  <c r="Z11" i="7"/>
  <c r="Z10" i="7"/>
  <c r="Z9" i="7"/>
  <c r="Z7" i="7"/>
  <c r="Z6" i="7"/>
  <c r="AD19" i="7"/>
  <c r="AD17" i="7"/>
  <c r="AD16" i="7"/>
  <c r="AD13" i="7"/>
  <c r="AD81" i="7" s="1"/>
  <c r="AD12" i="7"/>
  <c r="AD8" i="7"/>
  <c r="AD5" i="7"/>
  <c r="AD18" i="7"/>
  <c r="AD15" i="7"/>
  <c r="AD14" i="7"/>
  <c r="AD11" i="7"/>
  <c r="AD10" i="7"/>
  <c r="AD9" i="7"/>
  <c r="AD7" i="7"/>
  <c r="AD6" i="7"/>
  <c r="U18" i="7"/>
  <c r="U15" i="7"/>
  <c r="U14" i="7"/>
  <c r="U11" i="7"/>
  <c r="U10" i="7"/>
  <c r="U9" i="7"/>
  <c r="U7" i="7"/>
  <c r="U6" i="7"/>
  <c r="U19" i="7"/>
  <c r="U17" i="7"/>
  <c r="U16" i="7"/>
  <c r="U13" i="7"/>
  <c r="U81" i="7" s="1"/>
  <c r="U12" i="7"/>
  <c r="U8" i="7"/>
  <c r="U5" i="7"/>
  <c r="X19" i="7"/>
  <c r="X17" i="7"/>
  <c r="X16" i="7"/>
  <c r="X13" i="7"/>
  <c r="X81" i="7" s="1"/>
  <c r="X12" i="7"/>
  <c r="X8" i="7"/>
  <c r="X5" i="7"/>
  <c r="X18" i="7"/>
  <c r="X15" i="7"/>
  <c r="X14" i="7"/>
  <c r="X11" i="7"/>
  <c r="X10" i="7"/>
  <c r="X9" i="7"/>
  <c r="X7" i="7"/>
  <c r="X6" i="7"/>
  <c r="Y102" i="7"/>
  <c r="F12" i="8" l="1"/>
  <c r="F23" i="8"/>
  <c r="J23" i="8" s="1"/>
  <c r="K23" i="8" s="1"/>
  <c r="F14" i="8"/>
  <c r="J14" i="8" s="1"/>
  <c r="K14" i="8" s="1"/>
  <c r="F21" i="8"/>
  <c r="J21" i="8" s="1"/>
  <c r="K21" i="8" s="1"/>
  <c r="F15" i="8"/>
  <c r="J15" i="8" s="1"/>
  <c r="K15" i="8" s="1"/>
  <c r="F24" i="8"/>
  <c r="J24" i="8" s="1"/>
  <c r="K24" i="8" s="1"/>
  <c r="F16" i="8"/>
  <c r="J16" i="8" s="1"/>
  <c r="K16" i="8" s="1"/>
  <c r="F22" i="8"/>
  <c r="J22" i="8" s="1"/>
  <c r="K22" i="8" s="1"/>
  <c r="V20" i="7"/>
  <c r="F19" i="8"/>
  <c r="J19" i="8" s="1"/>
  <c r="K19" i="8" s="1"/>
  <c r="F26" i="8"/>
  <c r="J26" i="8" s="1"/>
  <c r="K26" i="8" s="1"/>
  <c r="F17" i="8"/>
  <c r="J17" i="8" s="1"/>
  <c r="K17" i="8" s="1"/>
  <c r="F25" i="8"/>
  <c r="J25" i="8" s="1"/>
  <c r="K25" i="8" s="1"/>
  <c r="W20" i="7"/>
  <c r="F20" i="8"/>
  <c r="J20" i="8" s="1"/>
  <c r="K20" i="8" s="1"/>
  <c r="F13" i="8"/>
  <c r="J13" i="8" s="1"/>
  <c r="K13" i="8" s="1"/>
  <c r="F18" i="8"/>
  <c r="J18" i="8" s="1"/>
  <c r="K18" i="8" s="1"/>
  <c r="E34" i="4"/>
  <c r="H36" i="4" s="1"/>
  <c r="L27" i="8"/>
  <c r="Z85" i="7"/>
  <c r="AA85" i="7" s="1"/>
  <c r="I40" i="6"/>
  <c r="K40" i="6"/>
  <c r="J40" i="6"/>
  <c r="C8" i="9"/>
  <c r="D8" i="9"/>
  <c r="AD115" i="7"/>
  <c r="AD110" i="7"/>
  <c r="Z102" i="7"/>
  <c r="V115" i="7"/>
  <c r="V110" i="7"/>
  <c r="AB102" i="7"/>
  <c r="Y79" i="7"/>
  <c r="Y82" i="7" s="1"/>
  <c r="AE5" i="7"/>
  <c r="S20" i="7"/>
  <c r="S115" i="7"/>
  <c r="S110" i="7"/>
  <c r="AE12" i="7"/>
  <c r="T102" i="7"/>
  <c r="W79" i="7"/>
  <c r="W115" i="7"/>
  <c r="W110" i="7"/>
  <c r="AA102" i="7"/>
  <c r="AC79" i="7"/>
  <c r="AC115" i="7"/>
  <c r="AC110" i="7"/>
  <c r="AC111" i="7" s="1"/>
  <c r="AE16" i="7"/>
  <c r="AE19" i="7"/>
  <c r="AE7" i="7"/>
  <c r="AE10" i="7"/>
  <c r="AE14" i="7"/>
  <c r="AE18" i="7"/>
  <c r="X115" i="7"/>
  <c r="X110" i="7"/>
  <c r="U102" i="7"/>
  <c r="V79" i="7"/>
  <c r="X102" i="7"/>
  <c r="U115" i="7"/>
  <c r="U110" i="7"/>
  <c r="AD102" i="7"/>
  <c r="Z115" i="7"/>
  <c r="Z110" i="7"/>
  <c r="V102" i="7"/>
  <c r="V82" i="7"/>
  <c r="AB115" i="7"/>
  <c r="AB110" i="7"/>
  <c r="S81" i="7"/>
  <c r="AE13" i="7"/>
  <c r="T115" i="7"/>
  <c r="T110" i="7"/>
  <c r="W102" i="7"/>
  <c r="W82" i="7"/>
  <c r="AA115" i="7"/>
  <c r="AA110" i="7"/>
  <c r="AC102" i="7"/>
  <c r="AC82" i="7"/>
  <c r="X20" i="7"/>
  <c r="AD20" i="7"/>
  <c r="U20" i="7"/>
  <c r="Z20" i="7"/>
  <c r="AB20" i="7"/>
  <c r="AE8" i="7"/>
  <c r="AE17" i="7"/>
  <c r="AE6" i="7"/>
  <c r="AE9" i="7"/>
  <c r="AE11" i="7"/>
  <c r="AE15" i="7"/>
  <c r="T20" i="7"/>
  <c r="AA20" i="7"/>
  <c r="W111" i="7" l="1"/>
  <c r="F27" i="8"/>
  <c r="J12" i="8"/>
  <c r="T79" i="7"/>
  <c r="T82" i="7" s="1"/>
  <c r="Z79" i="7"/>
  <c r="Z82" i="7" s="1"/>
  <c r="AD79" i="7"/>
  <c r="AD82" i="7" s="1"/>
  <c r="AE81" i="7"/>
  <c r="AE110" i="7"/>
  <c r="AE20" i="7"/>
  <c r="AA21" i="7" s="1"/>
  <c r="AA47" i="7" s="1"/>
  <c r="AA79" i="7"/>
  <c r="AA82" i="7" s="1"/>
  <c r="AB22" i="7"/>
  <c r="AB79" i="7"/>
  <c r="AB82" i="7" s="1"/>
  <c r="U79" i="7"/>
  <c r="U82" i="7" s="1"/>
  <c r="V22" i="7"/>
  <c r="X79" i="7"/>
  <c r="X82" i="7" s="1"/>
  <c r="X21" i="7"/>
  <c r="S102" i="7"/>
  <c r="S82" i="7"/>
  <c r="S79" i="7"/>
  <c r="T22" i="7"/>
  <c r="S21" i="7"/>
  <c r="AF6" i="7"/>
  <c r="T111" i="7"/>
  <c r="AB111" i="7"/>
  <c r="Z111" i="7"/>
  <c r="AF7" i="7"/>
  <c r="AE115" i="7"/>
  <c r="Z22" i="7"/>
  <c r="AF15" i="7"/>
  <c r="AF17" i="7"/>
  <c r="AF18" i="7"/>
  <c r="AF10" i="7"/>
  <c r="AF19" i="7"/>
  <c r="Y111" i="7"/>
  <c r="AD22" i="7"/>
  <c r="X22" i="7"/>
  <c r="S111" i="7"/>
  <c r="V111" i="7"/>
  <c r="AD111" i="7"/>
  <c r="K12" i="8" l="1"/>
  <c r="J27" i="8"/>
  <c r="U111" i="7"/>
  <c r="AA111" i="7"/>
  <c r="S51" i="7"/>
  <c r="S50" i="7"/>
  <c r="S49" i="7"/>
  <c r="S47" i="7"/>
  <c r="S46" i="7"/>
  <c r="S45" i="7"/>
  <c r="AA51" i="7"/>
  <c r="AA50" i="7"/>
  <c r="AA49" i="7"/>
  <c r="AA46" i="7"/>
  <c r="AA45" i="7"/>
  <c r="AE79" i="7"/>
  <c r="AF22" i="7"/>
  <c r="AE21" i="7"/>
  <c r="AF4" i="7"/>
  <c r="AE95" i="7"/>
  <c r="Y21" i="7"/>
  <c r="W21" i="7"/>
  <c r="AC21" i="7"/>
  <c r="V21" i="7"/>
  <c r="AF12" i="7"/>
  <c r="AF13" i="7"/>
  <c r="AD21" i="7"/>
  <c r="T21" i="7"/>
  <c r="X51" i="7"/>
  <c r="X50" i="7"/>
  <c r="X49" i="7"/>
  <c r="X47" i="7"/>
  <c r="X46" i="7"/>
  <c r="X45" i="7"/>
  <c r="AE102" i="7"/>
  <c r="AE82" i="7"/>
  <c r="X111" i="7"/>
  <c r="AF9" i="7"/>
  <c r="AF16" i="7"/>
  <c r="AF14" i="7"/>
  <c r="AF8" i="7"/>
  <c r="AF11" i="7"/>
  <c r="AE22" i="7"/>
  <c r="U21" i="7"/>
  <c r="AB21" i="7"/>
  <c r="AB50" i="7" s="1"/>
  <c r="AF5" i="7"/>
  <c r="AE111" i="7"/>
  <c r="Z21" i="7"/>
  <c r="X44" i="7" l="1"/>
  <c r="AA48" i="7"/>
  <c r="Z51" i="7"/>
  <c r="Z50" i="7"/>
  <c r="Z49" i="7"/>
  <c r="Z47" i="7"/>
  <c r="Z46" i="7"/>
  <c r="Z45" i="7"/>
  <c r="T51" i="7"/>
  <c r="T50" i="7"/>
  <c r="T49" i="7"/>
  <c r="T48" i="7" s="1"/>
  <c r="T47" i="7"/>
  <c r="T46" i="7"/>
  <c r="T45" i="7"/>
  <c r="V51" i="7"/>
  <c r="V50" i="7"/>
  <c r="V49" i="7"/>
  <c r="V47" i="7"/>
  <c r="V46" i="7"/>
  <c r="V45" i="7"/>
  <c r="W51" i="7"/>
  <c r="W50" i="7"/>
  <c r="W49" i="7"/>
  <c r="W48" i="7" s="1"/>
  <c r="W47" i="7"/>
  <c r="W46" i="7"/>
  <c r="W45" i="7"/>
  <c r="S48" i="7"/>
  <c r="U51" i="7"/>
  <c r="U50" i="7"/>
  <c r="U49" i="7"/>
  <c r="U47" i="7"/>
  <c r="U46" i="7"/>
  <c r="U45" i="7"/>
  <c r="AB51" i="7"/>
  <c r="AB49" i="7"/>
  <c r="AB47" i="7"/>
  <c r="AB46" i="7"/>
  <c r="AB45" i="7"/>
  <c r="AD51" i="7"/>
  <c r="AD50" i="7"/>
  <c r="AD49" i="7"/>
  <c r="AD47" i="7"/>
  <c r="AD46" i="7"/>
  <c r="AD45" i="7"/>
  <c r="AD44" i="7" s="1"/>
  <c r="AC51" i="7"/>
  <c r="AC50" i="7"/>
  <c r="AC49" i="7"/>
  <c r="AC47" i="7"/>
  <c r="AC46" i="7"/>
  <c r="AC45" i="7"/>
  <c r="Y51" i="7"/>
  <c r="AE51" i="7" s="1"/>
  <c r="Y50" i="7"/>
  <c r="AE50" i="7" s="1"/>
  <c r="Y49" i="7"/>
  <c r="AE49" i="7" s="1"/>
  <c r="Y47" i="7"/>
  <c r="Y46" i="7"/>
  <c r="Y45" i="7"/>
  <c r="Y44" i="7" s="1"/>
  <c r="S44" i="7"/>
  <c r="S52" i="7" s="1"/>
  <c r="S53" i="7" s="1"/>
  <c r="X48" i="7"/>
  <c r="X52" i="7" s="1"/>
  <c r="AF20" i="7"/>
  <c r="AA44" i="7"/>
  <c r="AA52" i="7" s="1"/>
  <c r="AE47" i="7"/>
  <c r="AC44" i="7" l="1"/>
  <c r="AB44" i="7"/>
  <c r="U44" i="7"/>
  <c r="V48" i="7"/>
  <c r="AE46" i="7"/>
  <c r="Z48" i="7"/>
  <c r="X53" i="7"/>
  <c r="X54" i="7" s="1"/>
  <c r="AE48" i="7"/>
  <c r="S54" i="7"/>
  <c r="AA53" i="7"/>
  <c r="AA54" i="7" s="1"/>
  <c r="AE45" i="7"/>
  <c r="AE44" i="7" s="1"/>
  <c r="AE52" i="7" s="1"/>
  <c r="Y48" i="7"/>
  <c r="Y52" i="7" s="1"/>
  <c r="AC48" i="7"/>
  <c r="AC52" i="7" s="1"/>
  <c r="AD48" i="7"/>
  <c r="AD52" i="7" s="1"/>
  <c r="AB48" i="7"/>
  <c r="AB52" i="7" s="1"/>
  <c r="U48" i="7"/>
  <c r="U52" i="7" s="1"/>
  <c r="W44" i="7"/>
  <c r="W52" i="7" s="1"/>
  <c r="V44" i="7"/>
  <c r="V52" i="7" s="1"/>
  <c r="T44" i="7"/>
  <c r="T52" i="7" s="1"/>
  <c r="Z44" i="7"/>
  <c r="Z52" i="7" s="1"/>
  <c r="AD53" i="7" l="1"/>
  <c r="AD54" i="7" s="1"/>
  <c r="U53" i="7"/>
  <c r="U54" i="7" s="1"/>
  <c r="Y53" i="7"/>
  <c r="Y54" i="7" s="1"/>
  <c r="AB53" i="7"/>
  <c r="AB54" i="7" s="1"/>
  <c r="AC53" i="7"/>
  <c r="AC54" i="7" s="1"/>
  <c r="T53" i="7"/>
  <c r="T54" i="7" s="1"/>
  <c r="W53" i="7"/>
  <c r="W54" i="7" s="1"/>
  <c r="Z53" i="7"/>
  <c r="Z54" i="7" s="1"/>
  <c r="V53" i="7"/>
  <c r="V54" i="7" s="1"/>
  <c r="AE54" i="7" l="1"/>
  <c r="AE53" i="7"/>
</calcChain>
</file>

<file path=xl/sharedStrings.xml><?xml version="1.0" encoding="utf-8"?>
<sst xmlns="http://schemas.openxmlformats.org/spreadsheetml/2006/main" count="6425" uniqueCount="2656">
  <si>
    <t>Lei Complementar Federal Nº 101/2000 - Inciso I do Artigo 53</t>
  </si>
  <si>
    <t>DEMONSTRATIVO DA RECEITA CORRENTE LÍQUIDA</t>
  </si>
  <si>
    <t>I - RECEITAS CORRENTES</t>
  </si>
  <si>
    <t>Receitas Correntes</t>
  </si>
  <si>
    <t>(R)  Deduções das Receitas Correntes</t>
  </si>
  <si>
    <t>II - DEDUÇÕES</t>
  </si>
  <si>
    <t>Contribuições para Custeio dos Sistemas Previdenciário e Assistencial</t>
  </si>
  <si>
    <t>Contribuições Sociais Específicas de Estados, DF e Municípios</t>
  </si>
  <si>
    <t>Compensação Previdenciária ao RPPS</t>
  </si>
  <si>
    <t>Receitas do RPPS - Remuneração e Outras Receitas</t>
  </si>
  <si>
    <t>TOTAIS:</t>
  </si>
  <si>
    <t>Período:</t>
  </si>
  <si>
    <t>Receitas do Fundo de Assistência Social Social dos Servidores</t>
  </si>
  <si>
    <t>Remuneração de Depósitos Bancários de Recursos Vinculados - Fundo de Assistência Social</t>
  </si>
  <si>
    <t>Receitas Diretamente Arrecadadas pelo Fundo de Assistência Social dos Servidores</t>
  </si>
  <si>
    <t>Receitas do Fundo de Assistência à Saúde do Servidor</t>
  </si>
  <si>
    <t>Outras Contribuições Sociais</t>
  </si>
  <si>
    <t>Outras Contribuições Sociais (1)</t>
  </si>
  <si>
    <t>( - ) Compensação Previdenciárfia à Prefeitura Municipal</t>
  </si>
  <si>
    <t>( - ) Contribuição dos Inativos e Pensionistas à Prefeitura Municipal</t>
  </si>
  <si>
    <t>( R ) Todas as contas dedutoras de receita correspondentes às utilizadas acima</t>
  </si>
  <si>
    <t>III - SUBTOTAL (III = I - II)</t>
  </si>
  <si>
    <t>IV - ( + ) Perda para o FUNDEB</t>
  </si>
  <si>
    <t>V - RECEITA CORRENTE LÍQUIDA (V = III + V)</t>
  </si>
  <si>
    <t>VI - Valor das Emendas Parlamentares de Individuais</t>
  </si>
  <si>
    <t>VIII - Valor das Emendas Parlamentares de Bancada</t>
  </si>
  <si>
    <t>IX - RECEITA CORRENTE LIQUIDA (Despesas com Pessoal) (IX = VII - VIII)</t>
  </si>
  <si>
    <t>( 1 ) A Natureza de Receita 1.2.9.99.1.0.00.00.00 - Demais Contribuições Socias deverá ser detalhada conforme a necessidade do Orgão para a contabilização das contribuições para Fundos de Assitência Médica dos Servidores Municipais.</t>
  </si>
  <si>
    <t>( 2 ) Valor correspondente à Soma das Receitas Arrecadadas no período com os complementos de recurso vínculado código 3110 - transferências da União decorrentes de Emendas Pralamentares Individuais e 3410 - TransferÊncias da União decorrentes de Emndas Parlamentares Individuais - COVID-19.</t>
  </si>
  <si>
    <t>( 3 ) Valor correspondente à Soma das Receitas Arrecadadas no período com os complementos de recurso vínculado código 3120 - transferências da União decorrentes de Emendas Parlamentares de bancada e 3150 - Transferências da União decorrentes de Mendas Parlamentares de Emndas Parlamentares de Bancada - COVID-19.</t>
  </si>
  <si>
    <t>1.2.1.8.00.0.0.00.00.00</t>
  </si>
  <si>
    <t>1.3.2.1.00.4.0.00.00.00</t>
  </si>
  <si>
    <t>1.9.9.0.99.1.X.01.00.00</t>
  </si>
  <si>
    <t>1.9.9.0.99.1.X.02.00.00</t>
  </si>
  <si>
    <t>1.9.9.0.99.1.X.03.00.00</t>
  </si>
  <si>
    <t>1.2.1.9.00.0.0.00.00.00</t>
  </si>
  <si>
    <t>(1.2.1.9.99.1.X.02.00.00)</t>
  </si>
  <si>
    <t>(1.2.1.9.99.1.X.01.00.00)</t>
  </si>
  <si>
    <t>12º Mês</t>
  </si>
  <si>
    <t>11º mês</t>
  </si>
  <si>
    <t>10º Mês</t>
  </si>
  <si>
    <t>9º Mês</t>
  </si>
  <si>
    <t>8º Mês</t>
  </si>
  <si>
    <t>7º Mês</t>
  </si>
  <si>
    <t>Discriminação</t>
  </si>
  <si>
    <t>Códificação:</t>
  </si>
  <si>
    <t>1.0.0.0.0.00.00.00</t>
  </si>
  <si>
    <t>9.1.0.0.0.00.0.0.00.00.00.00</t>
  </si>
  <si>
    <t>Modelo 2 - Demonstrativo da Despesa com Pessoal</t>
  </si>
  <si>
    <t>Lei Complementar Federal nº 101/2000, artigo 54 e alínea "a" do inciso I do artigo 55</t>
  </si>
  <si>
    <t>Despesa Líquidada</t>
  </si>
  <si>
    <t>I - NATUREZA DE DESPESA</t>
  </si>
  <si>
    <t>Pessoal e encargos sociais</t>
  </si>
  <si>
    <t>Outras Despesas de Pessoal de Contratos de Terceirização - Substituição de mão de obra (art. 18, § 1º da LRF)</t>
  </si>
  <si>
    <t>Pensões do RPPS e do Militar (com Recursos do RPPS)</t>
  </si>
  <si>
    <t>Despesas de Exercícios Anteriores</t>
  </si>
  <si>
    <t>Indenizações e Restituições Trabalhistas</t>
  </si>
  <si>
    <t>III - TOTAL DAS NATUREZAS DE DESPESA (I - II)</t>
  </si>
  <si>
    <t>Recursos para cobertura de Insuficências Financeiras</t>
  </si>
  <si>
    <t>Recursos para cobertura de Déficit Financeiro</t>
  </si>
  <si>
    <t>Cálculo Despesa c/ Pessoal 1º e 2º Quadrimestre/1º Semestre: Emp. Não Liquidados</t>
  </si>
  <si>
    <t>Cálculo Despesa c/ Pessoal 3º Quadrimestre/2º Semestre: Restos a Pagar Não Processados</t>
  </si>
  <si>
    <t>V - TOTAL DOS EMPENHOS NÃO LÍQUIDADOS - RESTOS A PAGAR NÃO PROCESSADOS</t>
  </si>
  <si>
    <t>Informação da Execução do Consórcio p/ consolidação - maio a Dez</t>
  </si>
  <si>
    <t>Informação da Execução do Consórcio p/ consolidação - Exercício atual - 1º Bimestre</t>
  </si>
  <si>
    <t>8.5.3.2.4.01.01</t>
  </si>
  <si>
    <t>8.5.3.2.4.02.01</t>
  </si>
  <si>
    <t>Informação da Execução do Consórcio p/ consolidação - Exercício atual - 2º Bimestre</t>
  </si>
  <si>
    <t>8.5.3.2.4.02.02</t>
  </si>
  <si>
    <t>Contas Aplicáveis ao 1º Quadrimestre (1)</t>
  </si>
  <si>
    <t>Contas Aplicáveis ao 1º Semestre (1)</t>
  </si>
  <si>
    <t>Informação da Execução do Consórcio p/ consolidação - julho a Dez</t>
  </si>
  <si>
    <t>8.5.3.2.4.01.02</t>
  </si>
  <si>
    <t>Informação da Execução do Consórcio p/ consolidação - Exercício atual - 3º Bimestre</t>
  </si>
  <si>
    <t>8.5.3.2.4.02.03</t>
  </si>
  <si>
    <t>Informação da Execução do Consórcio p/ consolidação - Setembro a Dez</t>
  </si>
  <si>
    <t>8.5.3.2.4.01.03</t>
  </si>
  <si>
    <t>8.5.3.2.4.02.04</t>
  </si>
  <si>
    <t>Informação da Execução do Consórcio p/ consolidação - Exercício atual - 4º Bimestre</t>
  </si>
  <si>
    <t>Informação da Execução do Consórcio p/ consolidação - Exercício atual - 5º Bimestre</t>
  </si>
  <si>
    <t>8.5.3.2.4.02.05</t>
  </si>
  <si>
    <t>Informação da Execução do Consórcio p/ consolidação - Exercício atual - 6º Bimestre</t>
  </si>
  <si>
    <t>8.5.3.2.4.02.06</t>
  </si>
  <si>
    <t>VI - TOTAL DAS CONTAS CONTÁBEIS DE CPONTROLE</t>
  </si>
  <si>
    <t>Codificação:</t>
  </si>
  <si>
    <t>Cálculo das contas das naturezas de despesas de pessoal dos Itens I e II</t>
  </si>
  <si>
    <t>IV - TOTAL DAS CONTAS PATRIMONIAIS</t>
  </si>
  <si>
    <t>6º Mês</t>
  </si>
  <si>
    <t>5º Mês</t>
  </si>
  <si>
    <t>4º Mês</t>
  </si>
  <si>
    <t>3º Mês</t>
  </si>
  <si>
    <t>2º Mês</t>
  </si>
  <si>
    <t>1º Mês</t>
  </si>
  <si>
    <t>Total dos últimos</t>
  </si>
  <si>
    <t>12 meses</t>
  </si>
  <si>
    <t>VII - TOTAL DA DESPESA COM PESSOAL ATIVO / INATIVO DA ENTIDADE VII = (III + IV + V - VI)</t>
  </si>
  <si>
    <t>Detalhamento:</t>
  </si>
  <si>
    <t>3.1.9.0.94</t>
  </si>
  <si>
    <t>Aposentadoria do RPPS, Reserva Remunerada e Reformas dos Militares (com recursos do RPPS)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</si>
  <si>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</si>
  <si>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</si>
  <si>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</si>
  <si>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</si>
  <si>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</si>
  <si>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</si>
  <si>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3.1.90.01</t>
  </si>
  <si>
    <t>3.1.90.03</t>
  </si>
  <si>
    <t>3.1.90.92</t>
  </si>
  <si>
    <t>3.5.1.3.2.01.01</t>
  </si>
  <si>
    <t>3.5.1.3.2.02.01</t>
  </si>
  <si>
    <t>3.1.00.00.00.00</t>
  </si>
  <si>
    <t>3.3.XX.34.01.00</t>
  </si>
  <si>
    <t>Aliquotas vigentes em 2021 do FAPS/RPPS</t>
  </si>
  <si>
    <t>ENTE</t>
  </si>
  <si>
    <t>SEGURADO</t>
  </si>
  <si>
    <t>Normal</t>
  </si>
  <si>
    <t>Suplementar</t>
  </si>
  <si>
    <t>Média dos Segurados</t>
  </si>
  <si>
    <t>Janeiro</t>
  </si>
  <si>
    <t>Fevereiro</t>
  </si>
  <si>
    <t>Março</t>
  </si>
  <si>
    <t>Abril</t>
  </si>
  <si>
    <t>7.9.9.0.01.1.1</t>
  </si>
  <si>
    <t>7.9.9.0.01.1.3</t>
  </si>
  <si>
    <t>(- )</t>
  </si>
  <si>
    <t>Valor do déficit para cobertura do Passivo Atuarial:</t>
  </si>
  <si>
    <t>( = )</t>
  </si>
  <si>
    <t>Rendimentos Líquidos Auferidos do Período:</t>
  </si>
  <si>
    <t>Saldo dos Valores Aplicados:</t>
  </si>
  <si>
    <t>Percentual dos Rendimentos em relação ao Saldo:</t>
  </si>
  <si>
    <t>Seq.</t>
  </si>
  <si>
    <t>ÓRGÃOS</t>
  </si>
  <si>
    <t>Dotações:</t>
  </si>
  <si>
    <t>Liquidado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</si>
  <si>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</si>
  <si>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</si>
  <si>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</si>
  <si>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</si>
  <si>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</si>
  <si>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</si>
  <si>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</si>
  <si>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</si>
  <si>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</si>
  <si>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</si>
  <si>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</si>
  <si>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</si>
  <si>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</si>
  <si>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FAPS</t>
  </si>
  <si>
    <t>FASM</t>
  </si>
  <si>
    <t>A Pagar</t>
  </si>
  <si>
    <t>Pref.</t>
  </si>
  <si>
    <t>Total: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</si>
  <si>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</si>
  <si>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</si>
  <si>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</si>
  <si>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</si>
  <si>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</si>
  <si>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</si>
  <si>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</si>
  <si>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</si>
  <si>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</si>
  <si>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Emp</t>
  </si>
  <si>
    <t>Líq</t>
  </si>
  <si>
    <t>Pgtos</t>
  </si>
  <si>
    <t>Saldo Dotações:</t>
  </si>
  <si>
    <t>SubTotais:01</t>
  </si>
  <si>
    <t>SubTotais: 03</t>
  </si>
  <si>
    <t>60% FUNDEB</t>
  </si>
  <si>
    <t>40% FUNDEB:</t>
  </si>
  <si>
    <t>SubTotais:02</t>
  </si>
  <si>
    <t>Livre - 2.248</t>
  </si>
  <si>
    <t>SubTotais: 04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</si>
  <si>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</si>
  <si>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</si>
  <si>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</si>
  <si>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</si>
  <si>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</si>
  <si>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</si>
  <si>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</si>
  <si>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</si>
  <si>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</si>
  <si>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</si>
  <si>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</si>
  <si>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Total Geral:</t>
  </si>
  <si>
    <t>EJA</t>
  </si>
  <si>
    <t>Especial</t>
  </si>
  <si>
    <t>Fonte SIOPE</t>
  </si>
  <si>
    <t>Despesa Liquidada:</t>
  </si>
  <si>
    <t>Percentual s/ Total</t>
  </si>
  <si>
    <t>Repasses FUNDEB</t>
  </si>
  <si>
    <t>Total Liquidado do FUNDEB: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</si>
  <si>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</si>
  <si>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</si>
  <si>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</si>
  <si>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</si>
  <si>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</si>
  <si>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1. NÍVEIS: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</si>
  <si>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</si>
  <si>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</si>
  <si>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</si>
  <si>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</si>
  <si>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</si>
  <si>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</si>
  <si>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</si>
  <si>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</si>
  <si>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1.1.1.3.03.1</t>
  </si>
  <si>
    <t>IRRF</t>
  </si>
  <si>
    <t>1.1.1.8.01.1</t>
  </si>
  <si>
    <t>IPTU</t>
  </si>
  <si>
    <t>1.1.1.8.01.4</t>
  </si>
  <si>
    <t>ITBI</t>
  </si>
  <si>
    <t>1.1.1.8.02.3</t>
  </si>
  <si>
    <t>ISQN</t>
  </si>
  <si>
    <t>1.7.1.8.01.2</t>
  </si>
  <si>
    <t>FPM</t>
  </si>
  <si>
    <t>1.7.1.8.01.3</t>
  </si>
  <si>
    <t>1% FPM</t>
  </si>
  <si>
    <t>1.7.1.8.01.4</t>
  </si>
  <si>
    <t>1.7.1.8.01.5.1</t>
  </si>
  <si>
    <t>ITR</t>
  </si>
  <si>
    <t>1.7.1.8.06.1.1</t>
  </si>
  <si>
    <t>L.C. No 87/96</t>
  </si>
  <si>
    <t>1.7.2.8.01.1.1</t>
  </si>
  <si>
    <t>ICMS</t>
  </si>
  <si>
    <t>1.7.2.8.01.2.1</t>
  </si>
  <si>
    <t>IPVA</t>
  </si>
  <si>
    <t>1.7.2.8.01.3.1</t>
  </si>
  <si>
    <t>IPI Exp.</t>
  </si>
  <si>
    <t>1.7.5.8.01.1.1</t>
  </si>
  <si>
    <t>FUNDEB</t>
  </si>
  <si>
    <t>Percentual da Receita Realizada em relação a Prevista:</t>
  </si>
  <si>
    <t>Verificação:</t>
  </si>
  <si>
    <t>Cálculo:</t>
  </si>
  <si>
    <t>RECURSOS:</t>
  </si>
  <si>
    <t>ASPS</t>
  </si>
  <si>
    <t>LIVRE</t>
  </si>
  <si>
    <t>% da Despesa liquidada sobre a Receita realizada do FUNDEB</t>
  </si>
  <si>
    <t>Total da MDE</t>
  </si>
  <si>
    <t>DESPESA</t>
  </si>
  <si>
    <t>(-) Plus Fundeb</t>
  </si>
  <si>
    <t>MDE</t>
  </si>
  <si>
    <t>(-)Rend. da MDE</t>
  </si>
  <si>
    <t>( - ) 3.1.91.13.20</t>
  </si>
  <si>
    <t>EMPENHADO</t>
  </si>
  <si>
    <t>(-)Rend. do FUNDEB</t>
  </si>
  <si>
    <t>( - ) 3.3.91.08</t>
  </si>
  <si>
    <t>LIQUIDADO</t>
  </si>
  <si>
    <t>( - ) Rendimento</t>
  </si>
  <si>
    <t>PAGO</t>
  </si>
  <si>
    <t>Valor a aplicado</t>
  </si>
  <si>
    <t>( = ) TOTAIS:</t>
  </si>
  <si>
    <t>% Emp.</t>
  </si>
  <si>
    <t>% da Educação</t>
  </si>
  <si>
    <t>índice Apurado:</t>
  </si>
  <si>
    <t>% Liq. + Rep</t>
  </si>
  <si>
    <t>APLICAÇÃO:</t>
  </si>
  <si>
    <t>%pago</t>
  </si>
  <si>
    <t>TOTAIS</t>
  </si>
  <si>
    <t>a Liquidar</t>
  </si>
  <si>
    <t>a Pagar</t>
  </si>
  <si>
    <t>RENDIM.:</t>
  </si>
  <si>
    <t>( - ) Plus do FUNDEB</t>
  </si>
  <si>
    <t>Índice Apurado:</t>
  </si>
  <si>
    <t>ANEXO II DO CRONOGRAMA DE DESEMBOLSO PARA 2021</t>
  </si>
  <si>
    <t>ANEXO III - CRONOGRAMA DE REEMBOLSO E DESEMBOLSO AO MÊS PARA 2021</t>
  </si>
  <si>
    <t>CRONOGRAMA DE DESEMBOLSO POR ORGÃO PARA O EXERCÍCIO DE 2021</t>
  </si>
  <si>
    <t>Cronograma</t>
  </si>
  <si>
    <t>RECEITA CONSOLIDADA REALIZADA</t>
  </si>
  <si>
    <t>PREVISTO</t>
  </si>
  <si>
    <t>REESTIMADA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</si>
  <si>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</si>
  <si>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</si>
  <si>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</si>
  <si>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</si>
  <si>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</si>
  <si>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</si>
  <si>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</si>
  <si>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</si>
  <si>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</si>
  <si>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</si>
  <si>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</si>
  <si>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</si>
  <si>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</si>
  <si>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MESES</t>
  </si>
  <si>
    <t>%</t>
  </si>
  <si>
    <t>Maio</t>
  </si>
  <si>
    <t>Junho</t>
  </si>
  <si>
    <t>Julho</t>
  </si>
  <si>
    <t>Agosto</t>
  </si>
  <si>
    <t>Setembro</t>
  </si>
  <si>
    <t>SMS</t>
  </si>
  <si>
    <t>Outubro</t>
  </si>
  <si>
    <t>Novembro</t>
  </si>
  <si>
    <t>Dezembro</t>
  </si>
  <si>
    <t>Reserva</t>
  </si>
  <si>
    <t>% em relação ao ano anterior</t>
  </si>
  <si>
    <t>DESPESA CONSOLIDA LIQUIDADA</t>
  </si>
  <si>
    <t>=</t>
  </si>
  <si>
    <t>% ao mês</t>
  </si>
  <si>
    <t>Total por Bimestre</t>
  </si>
  <si>
    <t>1º Bimestre</t>
  </si>
  <si>
    <t>2º Bimestre</t>
  </si>
  <si>
    <t>3º Bimestre</t>
  </si>
  <si>
    <t>4º Bimestre</t>
  </si>
  <si>
    <t>5º Bimestre</t>
  </si>
  <si>
    <t>6º Bimestre</t>
  </si>
  <si>
    <t>Superávit</t>
  </si>
  <si>
    <t>A Vertic</t>
  </si>
  <si>
    <t>RECEITA/2021</t>
  </si>
  <si>
    <t>DIFERENÇA</t>
  </si>
  <si>
    <t>DESPESA/2021</t>
  </si>
  <si>
    <t>SUPERÁVIT/DÉFICIT</t>
  </si>
  <si>
    <t>REALIZADA</t>
  </si>
  <si>
    <t>RECEITA</t>
  </si>
  <si>
    <t>EXECUTADA</t>
  </si>
  <si>
    <t>AO MÊS</t>
  </si>
  <si>
    <t>CRONOGRAMA DA DESPESA POR CATEGORIA</t>
  </si>
  <si>
    <t>EXERCÍCIO DE 2021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</si>
  <si>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</si>
  <si>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</si>
  <si>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</si>
  <si>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</si>
  <si>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</si>
  <si>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</si>
  <si>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</si>
  <si>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</si>
  <si>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</si>
  <si>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</si>
  <si>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</si>
  <si>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Investimentos</t>
  </si>
  <si>
    <t>4.5.</t>
  </si>
  <si>
    <t>Inversões Financeira</t>
  </si>
  <si>
    <t>4.6.</t>
  </si>
  <si>
    <t>Amortização da Dívida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</si>
  <si>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</si>
  <si>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</si>
  <si>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</si>
  <si>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</si>
  <si>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</si>
  <si>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</si>
  <si>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Restos a Pagar Processados de Exercícios Anteriores Pagos:</t>
  </si>
  <si>
    <t>a Pagar:</t>
  </si>
  <si>
    <t>Restos a Pagar Não Processados de Exercícios Anteriores Pagos:</t>
  </si>
  <si>
    <t>Totais:</t>
  </si>
  <si>
    <t>Total da Despesa Liquidada:</t>
  </si>
  <si>
    <r>
      <t>Nota:</t>
    </r>
    <r>
      <rPr>
        <sz val="6"/>
        <rFont val="Arial"/>
        <family val="2"/>
      </rPr>
      <t xml:space="preserve"> + Despesa não Liquidada:</t>
    </r>
  </si>
  <si>
    <t>Total da DespesaEmpenhada:</t>
  </si>
  <si>
    <t>EVOLUÇÃO DOS SALDOS DOS RESTOS A PAGAR DO PERÍODO:</t>
  </si>
  <si>
    <t>Ano: 2020</t>
  </si>
  <si>
    <t xml:space="preserve"> Janeiro</t>
  </si>
  <si>
    <t>Ano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</si>
  <si>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</si>
  <si>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</si>
  <si>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</si>
  <si>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</si>
  <si>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</si>
  <si>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</si>
  <si>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</si>
  <si>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</si>
  <si>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</si>
  <si>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</si>
  <si>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A Liquidar</t>
  </si>
  <si>
    <t>Pago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</si>
  <si>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</si>
  <si>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</si>
  <si>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</si>
  <si>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</si>
  <si>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</si>
  <si>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</si>
  <si>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Pagos:</t>
  </si>
  <si>
    <t>Não Process.:</t>
  </si>
  <si>
    <t>% s/ o Total</t>
  </si>
  <si>
    <t>DESPESA REALIZADO POR BIMESTRE NA SAÚDE  EM 2.021</t>
  </si>
  <si>
    <t>COMPARATIVO DA DESPESA PREVISTA COM A REALIZADA MÊS NO EXERCÍCIO DE 2.020</t>
  </si>
  <si>
    <t>DIFERENÇA:</t>
  </si>
  <si>
    <t>SECRETARIA MUNICIPAL DA EDUCAÇÃO - SEDUC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</si>
  <si>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</si>
  <si>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</si>
  <si>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</si>
  <si>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</si>
  <si>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</si>
  <si>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</si>
  <si>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</si>
  <si>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</si>
  <si>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</si>
  <si>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</si>
  <si>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</si>
  <si>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</si>
  <si>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</si>
  <si>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</si>
  <si>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COMPARATIVO DA DESPESA REALIZADA CONSOLIDADA COM A DESPESA REALIZADA NA EDUCAÇÃO</t>
  </si>
  <si>
    <t>% ao mês s/ Total realiz.</t>
  </si>
  <si>
    <t>DESPESA REALIZADO POR BIMESTRE NA EDUCAÇÃO EM 2.021</t>
  </si>
  <si>
    <t>TOTAL DO PERIÓDO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</si>
  <si>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</si>
  <si>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</si>
  <si>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</si>
  <si>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</si>
  <si>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</si>
  <si>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r>
      <t xml:space="preserve">INSTRUMENTO DE CONTROLE: </t>
    </r>
    <r>
      <rPr>
        <b/>
        <sz val="10"/>
        <rFont val="Arial"/>
        <family val="2"/>
      </rPr>
      <t>TERMÔMETRO DE CRUZ</t>
    </r>
  </si>
  <si>
    <t>PREVISTA</t>
  </si>
  <si>
    <t>ATUALIZADA</t>
  </si>
  <si>
    <t>EXERCICIO DE 2021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</si>
  <si>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</si>
  <si>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</si>
  <si>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</si>
  <si>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</si>
  <si>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</si>
  <si>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</si>
  <si>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</si>
  <si>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</si>
  <si>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</si>
  <si>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</si>
  <si>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</si>
  <si>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</si>
  <si>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</si>
  <si>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</si>
  <si>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</si>
  <si>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</si>
  <si>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</si>
  <si>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</si>
  <si>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</si>
  <si>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</si>
  <si>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</si>
  <si>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t xml:space="preserve">[F] </t>
    </r>
    <r>
      <rPr>
        <b/>
        <sz val="8"/>
        <rFont val="Arial"/>
        <family val="2"/>
      </rPr>
      <t>B - C</t>
    </r>
  </si>
  <si>
    <r>
      <t xml:space="preserve">[G]  </t>
    </r>
    <r>
      <rPr>
        <b/>
        <sz val="8"/>
        <rFont val="Arial"/>
        <family val="2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</si>
  <si>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</si>
  <si>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</si>
  <si>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</si>
  <si>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</si>
  <si>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</si>
  <si>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</si>
  <si>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</si>
  <si>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</si>
  <si>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</si>
  <si>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</si>
  <si>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</si>
  <si>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</si>
  <si>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</si>
  <si>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</si>
  <si>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</si>
  <si>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</si>
  <si>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</si>
  <si>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</si>
  <si>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</si>
  <si>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</si>
  <si>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</si>
  <si>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</si>
  <si>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</si>
  <si>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</si>
  <si>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</si>
  <si>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</si>
  <si>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</si>
  <si>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</si>
  <si>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</si>
  <si>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</si>
  <si>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</si>
  <si>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</si>
  <si>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3ª - O déficit é provocado pelo despêndio maior que o previsto para o periodo no Orçamento e Regumentado no Decreto Executivo  nº 3037, de 15 Fevereiro de 2013.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</si>
  <si>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</si>
  <si>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</si>
  <si>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</si>
  <si>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</si>
  <si>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</si>
  <si>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</si>
  <si>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</si>
  <si>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</si>
  <si>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01º Mês</t>
  </si>
  <si>
    <t>1.3.2.1.00.1.1.01.10</t>
  </si>
  <si>
    <t>1.3.2.1.00.1.X.01.10.00</t>
  </si>
  <si>
    <t>1.9.9.0.03.1.1.00.00.00</t>
  </si>
  <si>
    <t>1.3.2.1.00.1.X.01.09</t>
  </si>
  <si>
    <t>Contribuição para o RPPS do Servidor Público</t>
  </si>
  <si>
    <t>1.2.1.8.01</t>
  </si>
  <si>
    <t>Contribuição Social para o Financiamento da Seguridade Social</t>
  </si>
  <si>
    <t>1.2.1.9.99.1.1.03 e .04</t>
  </si>
  <si>
    <t xml:space="preserve">Evolução Mensal da Despesa Liquidada com Pessoal </t>
  </si>
  <si>
    <t>TOTAIS DOS ÚLTIMOS 12 MESES</t>
  </si>
  <si>
    <t>Despesa Liquida c/ Pessoal</t>
  </si>
  <si>
    <t>Receita Corrente Líquida</t>
  </si>
  <si>
    <t>Índice da DCLP s/ a RCL</t>
  </si>
  <si>
    <t>Limite Máximo do Índice</t>
  </si>
  <si>
    <t>Fonte:</t>
  </si>
  <si>
    <t>Ativos/Inativos Poder Executivo/Indiretas</t>
  </si>
  <si>
    <t>Ativos/Inativos Poder Legislativo</t>
  </si>
  <si>
    <t>1.1.1.3.03.1.1.01</t>
  </si>
  <si>
    <t>1.1.1.3.03.1.1.02</t>
  </si>
  <si>
    <t>EXECUÇÃO DOS CONSÓRCIOS PÚBLICOS</t>
  </si>
  <si>
    <t>Página: 1/2</t>
  </si>
  <si>
    <t>Página: 2/2</t>
  </si>
  <si>
    <t>9000 - Prefeitura e Fundos:</t>
  </si>
  <si>
    <t>1.Receita Realizada:</t>
  </si>
  <si>
    <t>70,00% para as aplicaçoes mínimas no FUNDEB</t>
  </si>
  <si>
    <t>Mínimo Anual de 70% do FUNDEB na Remuneração do Magistério</t>
  </si>
  <si>
    <t>Ano: 2021</t>
  </si>
  <si>
    <t>Progressão do Déficit no período</t>
  </si>
  <si>
    <t>MDE: 0020</t>
  </si>
  <si>
    <t>Ens.Especial2021</t>
  </si>
  <si>
    <t>Ens.Especial2120</t>
  </si>
  <si>
    <t>Instrução Normativa TCE/RS nº 18/2020 - índices da Saúde e do Ensino.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</si>
  <si>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</si>
  <si>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</si>
  <si>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</si>
  <si>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</si>
  <si>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</si>
  <si>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</si>
  <si>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</si>
  <si>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Liquidações Orçam. Efetuados</t>
  </si>
  <si>
    <t>Liquidações de Restos Efetuadas</t>
  </si>
  <si>
    <t>Total das Liquidações</t>
  </si>
  <si>
    <t>Transferências Devolvidas</t>
  </si>
  <si>
    <t>Saldo P/Utilização Recurso Vinculado</t>
  </si>
  <si>
    <t>Fonte de Recursos</t>
  </si>
  <si>
    <t>Recurso Livre - Administração Direta Municipal</t>
  </si>
  <si>
    <t>4.682.245,45</t>
  </si>
  <si>
    <t>MDE - Manutenção e Desenvolvimento Ensino</t>
  </si>
  <si>
    <t>21.322,44</t>
  </si>
  <si>
    <t>0,00</t>
  </si>
  <si>
    <t>FUNDEB (a partir de 01/01/2007 - Instituído pela EC n° 53/2006)</t>
  </si>
  <si>
    <t>467.418,85</t>
  </si>
  <si>
    <t>ASPS - Ações de Serviços Públicos de Saúde</t>
  </si>
  <si>
    <t>117.931,20</t>
  </si>
  <si>
    <t>RPPS (instituído como FUNDO dentro da Administração Direta)</t>
  </si>
  <si>
    <t>33.035.663,09</t>
  </si>
  <si>
    <t>COVID-19</t>
  </si>
  <si>
    <t>4,50</t>
  </si>
  <si>
    <t>PROGRAMA NACIONAL DE ALIMENTACAO ESCOLAR PNAE/FNDE.</t>
  </si>
  <si>
    <t>232.186,33</t>
  </si>
  <si>
    <t>SALARIO EDUCACAO</t>
  </si>
  <si>
    <t>516.318,48</t>
  </si>
  <si>
    <t>6.200,55</t>
  </si>
  <si>
    <t>TRANSPORTE ESCOLAR</t>
  </si>
  <si>
    <t>228.138,49</t>
  </si>
  <si>
    <t>CONVENIO UNIAO FUNDACAO NACIONAL DE DESENVOLVIMENTO DA EDUCACAO - FNDE</t>
  </si>
  <si>
    <t>1.350.359,29</t>
  </si>
  <si>
    <t>Recursos do PEATE/RS</t>
  </si>
  <si>
    <t>378.419,89</t>
  </si>
  <si>
    <t>RECURSOS CREDITO EDUCATIVO FUNCRED</t>
  </si>
  <si>
    <t>13.638,11</t>
  </si>
  <si>
    <t>CEF-DESENVOLVIMENTO DA AGROPECUÁRIA</t>
  </si>
  <si>
    <t>1.145,32</t>
  </si>
  <si>
    <t>SERVIÇOS AGROPECUARIOS</t>
  </si>
  <si>
    <t>1.377,23</t>
  </si>
  <si>
    <t>APOIO E DESENVOLVIMENTO DA AGRICULTURA FAMILIAR</t>
  </si>
  <si>
    <t>58.626,35</t>
  </si>
  <si>
    <t>CONVÊNIO-UNIÃO C/ FUNDO DE ASSISTÊNCIA SOCIAL</t>
  </si>
  <si>
    <t>677.697,48</t>
  </si>
  <si>
    <t>CONVÊNIO-ESTADO C/ FUNDO DE ASSISTÊNCIA SOCIAL</t>
  </si>
  <si>
    <t>41.300,11</t>
  </si>
  <si>
    <t>Programa Habitacional Minha Casa do ERGSul.</t>
  </si>
  <si>
    <t>104.353,76</t>
  </si>
  <si>
    <t>Fundo Municipal da Criança e do Adolescente</t>
  </si>
  <si>
    <t>151.781,09</t>
  </si>
  <si>
    <t>Programa Habitar Brasil</t>
  </si>
  <si>
    <t>19,98</t>
  </si>
  <si>
    <t>RECURSOS DA INFRA-ESTRUTURA</t>
  </si>
  <si>
    <t>161,04</t>
  </si>
  <si>
    <t>COTA-PARTE DA MULTA DE TRANSITO</t>
  </si>
  <si>
    <t>71.752,12</t>
  </si>
  <si>
    <t>2.057,18</t>
  </si>
  <si>
    <t>77.244,06</t>
  </si>
  <si>
    <t>79.301,24</t>
  </si>
  <si>
    <t>Recursos destinados a açoes valtadas ao meio ambiente e a infra infraestrutura.</t>
  </si>
  <si>
    <t>282.488,18</t>
  </si>
  <si>
    <t>35.154,64</t>
  </si>
  <si>
    <t>Construção, Ampliação, Moderniação e Reforma de Modulos Esportivos</t>
  </si>
  <si>
    <t>191.950,46</t>
  </si>
  <si>
    <t>Estacionamento Rotativo</t>
  </si>
  <si>
    <t>0,59</t>
  </si>
  <si>
    <t>FUNREBOM</t>
  </si>
  <si>
    <t>128.285,26</t>
  </si>
  <si>
    <t>CONVENIO COM O ESTADO PARA INFRA-ESTRUTU</t>
  </si>
  <si>
    <t>12.203,37</t>
  </si>
  <si>
    <t>1.950.753,30</t>
  </si>
  <si>
    <t>Exec. de Ações de prev. e preparação p/ emergências e desastres</t>
  </si>
  <si>
    <t>42.376,47</t>
  </si>
  <si>
    <t>Obras /plano Estadual de Enfrentamento de Desastres Amientais</t>
  </si>
  <si>
    <t>9.141,61</t>
  </si>
  <si>
    <t>Recursos do Estado para Infra-Estrutura</t>
  </si>
  <si>
    <t>331.552,33</t>
  </si>
  <si>
    <t>Pavimentação Ruas Ijuí, Dagoberto e Retaxerxes</t>
  </si>
  <si>
    <t>128.134,73</t>
  </si>
  <si>
    <t>Aquisição de veículos, máquinas e equipamentos.</t>
  </si>
  <si>
    <t>42,48</t>
  </si>
  <si>
    <t>Pavimentação Rua Silva Jardim</t>
  </si>
  <si>
    <t>10.483,93</t>
  </si>
  <si>
    <t>Passeio público e ciclovia</t>
  </si>
  <si>
    <t>4.567,79</t>
  </si>
  <si>
    <t>0,85</t>
  </si>
  <si>
    <t>4.568,64</t>
  </si>
  <si>
    <t>Ações de recuperação de emergência - Recuperação de pontes</t>
  </si>
  <si>
    <t>8.158,55</t>
  </si>
  <si>
    <t>32,01</t>
  </si>
  <si>
    <t>8.190,56</t>
  </si>
  <si>
    <t>8.201,01</t>
  </si>
  <si>
    <t>-10,45</t>
  </si>
  <si>
    <t>Pavimentação da Rua do Aterro</t>
  </si>
  <si>
    <t>43.744,11</t>
  </si>
  <si>
    <t>38.687,22</t>
  </si>
  <si>
    <t>Pavimentação da Rua Xiru Meireles</t>
  </si>
  <si>
    <t>44.752,93</t>
  </si>
  <si>
    <t>11.781,54</t>
  </si>
  <si>
    <t>Pav. Rua Tiradentes</t>
  </si>
  <si>
    <t>32,10</t>
  </si>
  <si>
    <t>Recuperação e Manutenção de Estradas Vicinais</t>
  </si>
  <si>
    <t>GESTÃO DO SUS</t>
  </si>
  <si>
    <t>8,92</t>
  </si>
  <si>
    <t>Outras receitas municipais aplicadas em Saúde</t>
  </si>
  <si>
    <t>Atenção Básica - PIES / Núcleo de Apoio à Atenção Básica - NAAB / Oficinas Terapêuticas / Redução de Danos / Rede Cegonha - exames pré-natais / Tele D</t>
  </si>
  <si>
    <t>8.937,98</t>
  </si>
  <si>
    <t>INVERNO GAUCHO</t>
  </si>
  <si>
    <t>12,44</t>
  </si>
  <si>
    <t>Farmácia Básica / Plantas Medicinais e Fitoterápicos / Diabetes Mellitus / Fraldas e outros insumos</t>
  </si>
  <si>
    <t>116.737,74</t>
  </si>
  <si>
    <t>Recursos para Medicamentos de Mellitus</t>
  </si>
  <si>
    <t>496,55</t>
  </si>
  <si>
    <t>PACS</t>
  </si>
  <si>
    <t>49,53</t>
  </si>
  <si>
    <t>PSF / NASF / ESF Quilombola / ESF Indígena / Saúde Bucal / Saúde Bucal Indígena / PACS / ESF Prisional / Residência Médica / Combate ao Racismo Instit</t>
  </si>
  <si>
    <t>44.713,15</t>
  </si>
  <si>
    <t>PIM - Primeira Infância Melhor</t>
  </si>
  <si>
    <t>42.137,29</t>
  </si>
  <si>
    <t>SAMU / UPA - Urgências - Remoção PAC</t>
  </si>
  <si>
    <t>167,75</t>
  </si>
  <si>
    <t>Vigilância em Saúde / Laboratório de Entomologia / Dengue / Desastres Ambientais</t>
  </si>
  <si>
    <t>3.830,35</t>
  </si>
  <si>
    <t>CAPS - Centro de Atenção Psicossocial</t>
  </si>
  <si>
    <t>4.119,97</t>
  </si>
  <si>
    <t>REGIONALIZAÇÃO - aquisição de ambulância</t>
  </si>
  <si>
    <t>69,73</t>
  </si>
  <si>
    <t>CUCA LEGAL (CAPS)</t>
  </si>
  <si>
    <t>493,04</t>
  </si>
  <si>
    <t>SANEAMENTO BÁSICO</t>
  </si>
  <si>
    <t>33,24</t>
  </si>
  <si>
    <t>Aquisição de Veículos</t>
  </si>
  <si>
    <t>350,10</t>
  </si>
  <si>
    <t>Aquisição de Equipamentos e Material Permanente</t>
  </si>
  <si>
    <t>2.361,23</t>
  </si>
  <si>
    <t>Construções ou Ampliações</t>
  </si>
  <si>
    <t>7.094,50</t>
  </si>
  <si>
    <t>Reformas</t>
  </si>
  <si>
    <t>128.066,89</t>
  </si>
  <si>
    <t>CUSTEIO - Atenção Básica</t>
  </si>
  <si>
    <t>1.056.175,18</t>
  </si>
  <si>
    <t>CUSTEIO - Atenção de média e alta complexidade ambulatorial e hospitalar</t>
  </si>
  <si>
    <t>43.996,69</t>
  </si>
  <si>
    <t>CUSTEIO - Vigilância em Saúde</t>
  </si>
  <si>
    <t>123.504,85</t>
  </si>
  <si>
    <t xml:space="preserve">CUSTEIO - Assistência Farmacêutica </t>
  </si>
  <si>
    <t>111.690,86</t>
  </si>
  <si>
    <t>CUSTEIO - Gestão do SUS</t>
  </si>
  <si>
    <t>49.532,13</t>
  </si>
  <si>
    <t>INVESTIMENTO - Atenção Básica</t>
  </si>
  <si>
    <t>738.533,21</t>
  </si>
  <si>
    <t>INVESTIMENTO - Atenção Especializada</t>
  </si>
  <si>
    <t>13.841,54</t>
  </si>
  <si>
    <t>INVESTIMENTO - Vigilância em Saúde</t>
  </si>
  <si>
    <t>304,55</t>
  </si>
  <si>
    <t>INVESTIMENTO - Gestão do SUS</t>
  </si>
  <si>
    <t>89.898,28</t>
  </si>
  <si>
    <t>CUSTEIO - Outros programas financiados por transferências fundo a fundo</t>
  </si>
  <si>
    <t>1.224.328,57</t>
  </si>
  <si>
    <t>2.000,00</t>
  </si>
  <si>
    <t>INVESTIMENTO - Outras transferências</t>
  </si>
  <si>
    <t>17.375,00</t>
  </si>
  <si>
    <t>Recurso Federal - CAPS</t>
  </si>
  <si>
    <t>134,34</t>
  </si>
  <si>
    <t>Recursos Extraorçamentários</t>
  </si>
  <si>
    <t>1.087.925,73</t>
  </si>
  <si>
    <t>RECURSO-EXTRAORÇAMENTÁRIO - TRANSPORTE ESCOLAR</t>
  </si>
  <si>
    <t>390,63</t>
  </si>
  <si>
    <t>RECURSO EXTRAORÇAMENTÁRIO DO RPPS</t>
  </si>
  <si>
    <t>671.158,65</t>
  </si>
  <si>
    <t>51.253.703,33</t>
  </si>
  <si>
    <t>3.677,69</t>
  </si>
  <si>
    <t>49.278,40</t>
  </si>
  <si>
    <t>11.009,20</t>
  </si>
  <si>
    <t>31.046,85</t>
  </si>
  <si>
    <t>Pagamentos Orçam. Efetuados</t>
  </si>
  <si>
    <t>Pagamentos de Restos Efetuados</t>
  </si>
  <si>
    <t>Total dos Pagamentos</t>
  </si>
  <si>
    <t>249.391,86</t>
  </si>
  <si>
    <t>65.062,83</t>
  </si>
  <si>
    <t>28.661,56</t>
  </si>
  <si>
    <t>1.785,40</t>
  </si>
  <si>
    <t>78.624,06</t>
  </si>
  <si>
    <t>2.363,16</t>
  </si>
  <si>
    <t>50.220,00</t>
  </si>
  <si>
    <t>3.435,16</t>
  </si>
  <si>
    <t>53.583,02</t>
  </si>
  <si>
    <t>19.945,08</t>
  </si>
  <si>
    <t>382,00</t>
  </si>
  <si>
    <t>Empenhos de restos a Pagar</t>
  </si>
  <si>
    <r>
      <t xml:space="preserve">Outras Receitas Receitas Diretamente Arrecadadas pelo RPPS </t>
    </r>
    <r>
      <rPr>
        <sz val="6"/>
        <color theme="1"/>
        <rFont val="Calibri"/>
        <family val="2"/>
        <scheme val="minor"/>
      </rPr>
      <t>(1.2.1.8.03.1.1) 326</t>
    </r>
  </si>
  <si>
    <t>1. Dotações:</t>
  </si>
  <si>
    <t>VII - RECEITA CORRENTE LÍQUIDA Endividamento) (VIII = V - VI)</t>
  </si>
  <si>
    <t>30,00% para as aplicaçoes maximas no FUNDEB</t>
  </si>
  <si>
    <t>Contas Aplicáveis ao 2º Quadrimestre (1)</t>
  </si>
  <si>
    <t>Contas Aplicáveis ao 3º Quadrimestre e ao 2º Semestre (1)</t>
  </si>
  <si>
    <t>³ 6.3.2.2 - RP PROCESSADOS PAGOS</t>
  </si>
  <si>
    <t>² 6.3.2.1 - RP PROCESSADOS A PAGAR</t>
  </si>
  <si>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6.3.2.9. - RP PROCESSADOS CANCELADOS</t>
    </r>
  </si>
  <si>
    <t>6.3.1.9 - RP NÃO PROCESSADOS CANCELADOS</t>
  </si>
  <si>
    <t xml:space="preserve"> 6.3.1.4 - RP NÃO PROCESSADOS PAGOS</t>
  </si>
  <si>
    <t>70.111,19</t>
  </si>
  <si>
    <t>81.892,73</t>
  </si>
  <si>
    <t>616,00</t>
  </si>
  <si>
    <t>Metodologia de Cálculo realizado, conforme Ofício Circ DCF Nº 33/2021 do TCE/RS.</t>
  </si>
  <si>
    <t>Receitas Diretamente Arrecadadas pelo Fundo de Assistência à Saúde dos Servidores (343)</t>
  </si>
  <si>
    <t xml:space="preserve"> Amortiz Deficit Atuarial</t>
  </si>
  <si>
    <t>Aportes Periodicos</t>
  </si>
  <si>
    <t>Deficit Atuarial - Div Ativa</t>
  </si>
  <si>
    <t>1. Receitas Totais</t>
  </si>
  <si>
    <t>2. Total da Despesa Paga</t>
  </si>
  <si>
    <t>3. Resultado: 1. - 2. =</t>
  </si>
  <si>
    <t>L. M. Nº 4.244  de 22/07/2021 - Art. 4º - Aliquota do Passivo Atuarial.</t>
  </si>
  <si>
    <t>L. M. Nº 4167  de 04/08/2020 - Art. 4º - Aliquota do Passivo Atuarial.</t>
  </si>
  <si>
    <t>Verificação dos saldos Contábeis com o Relatório "Situacao de Empenhos de Restos a Pagar"</t>
  </si>
  <si>
    <t>3.Desp. Liquidada</t>
  </si>
  <si>
    <t>4.Despesa Paga:</t>
  </si>
  <si>
    <t>2. Empenhado</t>
  </si>
  <si>
    <t>5.Resultado: 1-4</t>
  </si>
  <si>
    <t>6.A Pagar: 3-4</t>
  </si>
  <si>
    <t>2. Empenhado:</t>
  </si>
  <si>
    <t>3. Liquidado</t>
  </si>
  <si>
    <t>4. Pago:</t>
  </si>
  <si>
    <t>5. A Pagar = 3 - 4</t>
  </si>
  <si>
    <t>6.Empenhado¹</t>
  </si>
  <si>
    <t>7. Liquidado</t>
  </si>
  <si>
    <r>
      <t>8. Cancelado</t>
    </r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</t>
    </r>
  </si>
  <si>
    <t>9. Pago³</t>
  </si>
  <si>
    <t>30% - 361 - 2.014</t>
  </si>
  <si>
    <t>30% PRE 2.016</t>
  </si>
  <si>
    <t>30% CRECHE 2.018</t>
  </si>
  <si>
    <t>30% EJA 2.023</t>
  </si>
  <si>
    <t>30%-361-2.023MDE</t>
  </si>
  <si>
    <t>70% - 361 - 2.013</t>
  </si>
  <si>
    <t>70% - PRE - 2.015</t>
  </si>
  <si>
    <t>70% CRECHE 2.017</t>
  </si>
  <si>
    <t>70% Especial 2.021</t>
  </si>
  <si>
    <t>70% EJA 2.022</t>
  </si>
  <si>
    <t>(-) 3.3.91.08</t>
  </si>
  <si>
    <t>Empenhos Orçam. Efetuados</t>
  </si>
  <si>
    <t>Empenhos Restos em 31/12/2020</t>
  </si>
  <si>
    <t>Total Empenhado</t>
  </si>
  <si>
    <t>14.582.056,70</t>
  </si>
  <si>
    <t>4.165.008,25</t>
  </si>
  <si>
    <t>FUNDEF</t>
  </si>
  <si>
    <t>57,84</t>
  </si>
  <si>
    <t>-57,84</t>
  </si>
  <si>
    <t>492.837,01</t>
  </si>
  <si>
    <t>7.343.277,16</t>
  </si>
  <si>
    <t>33.584,90</t>
  </si>
  <si>
    <t>66.203,55</t>
  </si>
  <si>
    <t>900,00</t>
  </si>
  <si>
    <t>1.809,10</t>
  </si>
  <si>
    <t>29.842,20</t>
  </si>
  <si>
    <t>98.199,00</t>
  </si>
  <si>
    <t>879,82</t>
  </si>
  <si>
    <t>105.233,58</t>
  </si>
  <si>
    <t>1.789,00</t>
  </si>
  <si>
    <t>81.604,06</t>
  </si>
  <si>
    <t>83.661,24</t>
  </si>
  <si>
    <t>876.112,78</t>
  </si>
  <si>
    <t>2.918,21</t>
  </si>
  <si>
    <t>81.343,88</t>
  </si>
  <si>
    <t>2.801,48</t>
  </si>
  <si>
    <t>334.353,81</t>
  </si>
  <si>
    <t>99.356,58</t>
  </si>
  <si>
    <t>23,24</t>
  </si>
  <si>
    <t>52.340,23</t>
  </si>
  <si>
    <t>52.363,47</t>
  </si>
  <si>
    <t>20,00</t>
  </si>
  <si>
    <t>8.221,01</t>
  </si>
  <si>
    <t>-30,45</t>
  </si>
  <si>
    <t>Pavimentação da Av. João Manuel de Lima e Silva</t>
  </si>
  <si>
    <t>695.673,71</t>
  </si>
  <si>
    <t>-695.673,71</t>
  </si>
  <si>
    <t>240.343,30</t>
  </si>
  <si>
    <t>178.439,66</t>
  </si>
  <si>
    <t>44.417,48</t>
  </si>
  <si>
    <t>222.857,14</t>
  </si>
  <si>
    <t>216.380,95</t>
  </si>
  <si>
    <t>Pav. João Batista Poglia</t>
  </si>
  <si>
    <t>Drenagem Av. Castelo Branco</t>
  </si>
  <si>
    <t>50.480,48</t>
  </si>
  <si>
    <t>320,03</t>
  </si>
  <si>
    <t>5.585,16</t>
  </si>
  <si>
    <t>101,44</t>
  </si>
  <si>
    <t>261,87</t>
  </si>
  <si>
    <t>203,76</t>
  </si>
  <si>
    <t>127.807,41</t>
  </si>
  <si>
    <t>55.280,96</t>
  </si>
  <si>
    <t>22.924,78</t>
  </si>
  <si>
    <t>762,00</t>
  </si>
  <si>
    <t>6.531,75</t>
  </si>
  <si>
    <t>3,80</t>
  </si>
  <si>
    <t>PAB  Fixo / Telessaúde / Acolhimento Infanto Juvenil</t>
  </si>
  <si>
    <t>1.990,00</t>
  </si>
  <si>
    <t>-1.990,00</t>
  </si>
  <si>
    <t>Limite financeiro da Vigilância em Saúde -  Incentivo para ações de prevenção de acidentes e violência / Ações práticas corporais - atividade física</t>
  </si>
  <si>
    <t>467,00</t>
  </si>
  <si>
    <t>-467,00</t>
  </si>
  <si>
    <t>1.170,02</t>
  </si>
  <si>
    <t>-1.170,02</t>
  </si>
  <si>
    <t>29.440.639,33</t>
  </si>
  <si>
    <t>399.857,31</t>
  </si>
  <si>
    <t>80.681,24</t>
  </si>
  <si>
    <t>162.391,68</t>
  </si>
  <si>
    <t>Demonstrativos apurados pela Contabilidade da Receita Corrente Realizada e da Despesa Líquidada Orçamentarias.</t>
  </si>
  <si>
    <t>Consolidadas</t>
  </si>
  <si>
    <t>Rec. Corrente - Deduções</t>
  </si>
  <si>
    <t>Análise da relação da Despesa Corrente Liquidada em relação a Receita Orçamentária sem os valores das Receitas Intraorçamentária e de Capital</t>
  </si>
  <si>
    <t>Saldo sem Deduções dos Cancelamentos</t>
  </si>
  <si>
    <t>Despesas Corr. Líquidada</t>
  </si>
  <si>
    <t>Compensação Financeira entre o Regime Geral e os Regimes Próprios de Previdência dos Servidores (312)</t>
  </si>
  <si>
    <t>Remuneração dos Recurso do Regime Próprio de Previdências Social - RPPS (310)</t>
  </si>
  <si>
    <t>Remuneração de Depósito Bancários de Recursos Vínculados - Fundo de Assistência à Saúde do Servidor (341)</t>
  </si>
  <si>
    <t>600,38</t>
  </si>
  <si>
    <t>59.226,73</t>
  </si>
  <si>
    <t>6.920,75</t>
  </si>
  <si>
    <t>6.924,55</t>
  </si>
  <si>
    <t>172.156,18</t>
  </si>
  <si>
    <t>222.376,18</t>
  </si>
  <si>
    <t>Relatório Resumido da Execução Orçamentária</t>
  </si>
  <si>
    <t>-</t>
  </si>
  <si>
    <t>Cancelados:</t>
  </si>
  <si>
    <t>Nota:  Na SMA o valor de R$ 38.828,30 e na SEDUC o valor de R$ 49.517,46 dos Restos Liquidados consta a maior que no mês de Setembro de 2021 - Resultado de liquidação de Não Processado.</t>
  </si>
  <si>
    <t xml:space="preserve">OBS.: </t>
  </si>
  <si>
    <t>No Valor da RCL foi deduzidos os valores das Emendandas Parlamentares do Período.</t>
  </si>
  <si>
    <t>26.462,00</t>
  </si>
  <si>
    <t>30.139,69</t>
  </si>
  <si>
    <t>Orçamento Fiscal e da Seguridade Social</t>
  </si>
  <si>
    <t>Prefeitura Municipal de Cacapava do Sul-RS</t>
  </si>
  <si>
    <t>Página 1 de 2</t>
  </si>
  <si>
    <t>RECEITAS CORRENTES (I)</t>
  </si>
  <si>
    <t>Impostos, Taxas e Contribuições de Melhoria</t>
  </si>
  <si>
    <t>16.660.976,72</t>
  </si>
  <si>
    <t>4.037.453,83</t>
  </si>
  <si>
    <t>ISS</t>
  </si>
  <si>
    <t>5.723.855,79</t>
  </si>
  <si>
    <t>1.078.358,27</t>
  </si>
  <si>
    <t>3.488.232,14</t>
  </si>
  <si>
    <t>2.333.076,69</t>
  </si>
  <si>
    <t>Contribuições</t>
  </si>
  <si>
    <t>6.515.567,25</t>
  </si>
  <si>
    <t>Receita Patrimonial</t>
  </si>
  <si>
    <t>6.420.844,14</t>
  </si>
  <si>
    <t>6.263.908,76</t>
  </si>
  <si>
    <t>Outras Receitas Patrimoniais</t>
  </si>
  <si>
    <t>156.935,38</t>
  </si>
  <si>
    <t>Receita Agropecuária</t>
  </si>
  <si>
    <t>403.236,70</t>
  </si>
  <si>
    <t>Receita de Serviços</t>
  </si>
  <si>
    <t>475.566,36</t>
  </si>
  <si>
    <t>Transferências Correntes</t>
  </si>
  <si>
    <t>Cota-Parte do FPM</t>
  </si>
  <si>
    <t>Cota-Parte do ICMS</t>
  </si>
  <si>
    <t>28.012.287,51</t>
  </si>
  <si>
    <t>Cota-Parte do IPVA</t>
  </si>
  <si>
    <t>2.904.733,75</t>
  </si>
  <si>
    <t>Cota-Parte do ITR</t>
  </si>
  <si>
    <t>920.400,00</t>
  </si>
  <si>
    <t>Transferências da LC 87/1996</t>
  </si>
  <si>
    <t>163.489,31</t>
  </si>
  <si>
    <t>Transferências da LC 61/1989</t>
  </si>
  <si>
    <t>364.667,51</t>
  </si>
  <si>
    <t>Transferências do FUNDEB</t>
  </si>
  <si>
    <t>Outras Transferências Correntes</t>
  </si>
  <si>
    <t>Outras Receitas Correntes</t>
  </si>
  <si>
    <t>6.877.380,05</t>
  </si>
  <si>
    <t>3.941.823,91</t>
  </si>
  <si>
    <t>4ª - Percentual da Despesa Corrente sobre a Receita a Receita Corrente, exceto a Receita Intra-Orçamentária:</t>
  </si>
  <si>
    <t>Fonte: Demonstrativo da Despesa Orçamentária Empenhada e liquidada ao Mês e a Metodologia a  fonte é o TCE/RS.</t>
  </si>
  <si>
    <t>Nota Explicativa: Nos Meses de julho e agosto de 2021 foi retificado os campos: "31 - Pessoal e Encargos Sociais" e "Cálculo Despesa c/ Pessoal 1º e 2º Quadrimestre/1º Semestre: Emp. Não Liquidados"  este ajuste impactou em 0,11% a menos o indice da Despesa em outubro, após a retificação.</t>
  </si>
  <si>
    <t>Dedução a Menor para o FUNDEB no ICMS em R$ 19.373,83</t>
  </si>
  <si>
    <t>30%-361 -2.014 Livre</t>
  </si>
  <si>
    <t>Programa PRODESA/MAPA</t>
  </si>
  <si>
    <t>2.836,72</t>
  </si>
  <si>
    <t>130.971,45</t>
  </si>
  <si>
    <t>0,75</t>
  </si>
  <si>
    <t>43,23</t>
  </si>
  <si>
    <t>49.583,47</t>
  </si>
  <si>
    <t>60.067,40</t>
  </si>
  <si>
    <t>7.703,93</t>
  </si>
  <si>
    <t>AUXÍLIO À CULTURA</t>
  </si>
  <si>
    <t>7.311,60</t>
  </si>
  <si>
    <t>123.659,85</t>
  </si>
  <si>
    <t>90.149,80</t>
  </si>
  <si>
    <t>61.327,95</t>
  </si>
  <si>
    <t>65.268,93</t>
  </si>
  <si>
    <t>Inversões Financeiras</t>
  </si>
  <si>
    <t>7.Empenhado¹</t>
  </si>
  <si>
    <t>8. Liquidado</t>
  </si>
  <si>
    <t>10. A Pagar²= 7 - 9</t>
  </si>
  <si>
    <t>Fonte da Metodologia TCE/RS. (OBS.: Foi deduzidos os valores das Emendas Parlamentares)</t>
  </si>
  <si>
    <t>1º de Janeiro a 31 de Dezembro de 2021</t>
  </si>
  <si>
    <t>ANÁLISE DO EXERCÍCIO ENCERRADO DE 2021 DAS MOVIMENTAÇÕES FINANCEIRAS DO FAPS/RPPS:</t>
  </si>
  <si>
    <t>A PM de Caçapava do Sul repassou ao FAPS/RPPS para recuperação do Passivo Atuarial:</t>
  </si>
  <si>
    <t>O saldo final das aplicações do FAPS/RPPS em 31 de dezembro de 2021 nos bancos totalizam o montante de:</t>
  </si>
  <si>
    <t>1.</t>
  </si>
  <si>
    <t>2.</t>
  </si>
  <si>
    <t>5.</t>
  </si>
  <si>
    <t>O Passivo Atuarial que deveria ter sido recuperado no mínimo no valor constante no item "1." foi recuperado só:</t>
  </si>
  <si>
    <t>6.</t>
  </si>
  <si>
    <t>Inflação</t>
  </si>
  <si>
    <t>Os Rendimentos das aplicações renderam durante o ano, somente 3,79% e este percentual ficou abaixo, por exemplo que os rendimentos da poupança</t>
  </si>
  <si>
    <t>Fonte: Fabrício de Castro do UOL, em Brasília de 13/01/2022 17h25</t>
  </si>
  <si>
    <t>Período:Janeiro a Dezembro</t>
  </si>
  <si>
    <t>Restos a Pagar de exercícios anteriores pagos no período de Janeiro a Dezembro de 2021, totalizou:</t>
  </si>
  <si>
    <t>com a Educação representa 26,32% e de Nº 10 que lida com a Saúde 21,88%, respectivamente da Despesa Total Líquidada.</t>
  </si>
  <si>
    <t>Execução orçamentária</t>
  </si>
  <si>
    <t>Execução dos Restos a Pagar Processados e não Processados</t>
  </si>
  <si>
    <t>10. A Pagar²= 9 - 10</t>
  </si>
  <si>
    <t>11. Resultado:</t>
  </si>
  <si>
    <t>6.3.2.9.0 RP PROCESSADOS CANCELADOS (3111) R$ 32.792,56</t>
  </si>
  <si>
    <t>¹ 5.3.0.0 - INSCRIÇÃO DE RESTOS A PAGAR do exercício anterior</t>
  </si>
  <si>
    <t>Prefeitura Municipal de Cacapava do Sul - RS</t>
  </si>
  <si>
    <t>Demonstrativo Simplificado do Relatório Resumido da Execução Orçamentária</t>
  </si>
  <si>
    <t>Orçamentos Fiscal e da Seguridade Social</t>
  </si>
  <si>
    <t>Janeiro a Dezembro 2021/Bimestre Novembro-Dezembro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</si>
  <si>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</si>
  <si>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</si>
  <si>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</si>
  <si>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</si>
  <si>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</si>
  <si>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</si>
  <si>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</si>
  <si>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</si>
  <si>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</si>
  <si>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</si>
  <si>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</si>
  <si>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</si>
  <si>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</si>
  <si>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</si>
  <si>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</si>
  <si>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</si>
  <si>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</si>
  <si>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</si>
  <si>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</si>
  <si>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</si>
  <si>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</si>
  <si>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</si>
  <si>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</si>
  <si>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</si>
  <si>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</si>
  <si>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</si>
  <si>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</si>
  <si>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</si>
  <si>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</si>
  <si>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</si>
  <si>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</si>
  <si>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</si>
  <si>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</si>
  <si>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</si>
  <si>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</si>
  <si>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</si>
  <si>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</si>
  <si>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</si>
  <si>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</si>
  <si>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</si>
  <si>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</si>
  <si>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</si>
  <si>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</si>
  <si>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</si>
  <si>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</si>
  <si>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RESTOS A PAGAR PROCESSADOS</t>
  </si>
  <si>
    <t>Poder Executivo</t>
  </si>
  <si>
    <t>Poder Legislativo</t>
  </si>
  <si>
    <t>RESTOS A PAGAR NÃO-PROCESSADOS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</si>
  <si>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</si>
  <si>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</si>
  <si>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</si>
  <si>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</si>
  <si>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</si>
  <si>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</si>
  <si>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</si>
  <si>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</si>
  <si>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</si>
  <si>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</si>
  <si>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</si>
  <si>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</si>
  <si>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</si>
  <si>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</si>
  <si>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</si>
  <si>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</si>
  <si>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</si>
  <si>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</si>
  <si>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</si>
  <si>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</si>
  <si>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Previdenciário</t>
  </si>
  <si>
    <t>Receitas Previdenciárias</t>
  </si>
  <si>
    <t>Despesas Previdenciárias</t>
  </si>
  <si>
    <t>Plano Financeiro</t>
  </si>
  <si>
    <t>RECEITA DA ALIENAÇÃO DE ATIVOS E APLICAÇÃO DOS RECURSOS</t>
  </si>
  <si>
    <t>Valor Apurado Até o bimestre</t>
  </si>
  <si>
    <t>Saldo a Realizar</t>
  </si>
  <si>
    <t>Receita de Capital Resultante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</si>
  <si>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</si>
  <si>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</si>
  <si>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</si>
  <si>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</si>
  <si>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</si>
  <si>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</si>
  <si>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</si>
  <si>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</si>
  <si>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</si>
  <si>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O FASM utilizou saldo do exercício anterior para poder cobrir suas despesas que foram maiores que as receitas realizadas no exercício.</t>
  </si>
  <si>
    <t>Rend. p/Poupança</t>
  </si>
  <si>
    <t>Perda:</t>
  </si>
  <si>
    <t>O resultado apurado na tabela acima é sobre a despesa paga, sobre a despesa liquidada o resultado é</t>
  </si>
  <si>
    <t>Diferença apurado nos RPNP =</t>
  </si>
  <si>
    <t>POSIÇÃO DAS OBRIGAÇÕES REALIZADAS ATÉ DEZEMBRO DE 2021.</t>
  </si>
  <si>
    <t>Fonte: Relatório Consolidado da "Situacao de Empenhos de Restos a Pagar por Orgãos -  Posicão até Dezembro/21"</t>
  </si>
  <si>
    <t>O saldo dos Restos a Pagar em 31 de dez/21 ficou em</t>
  </si>
  <si>
    <t>Demonstrativo dos Restos a Pagar por Poder e Órgão</t>
  </si>
  <si>
    <t>RREO - ANEXO 7 (LRF, art.53, inciso V)</t>
  </si>
  <si>
    <t>R$ 1,00</t>
  </si>
  <si>
    <t>PODER/ÓRGÃO</t>
  </si>
  <si>
    <t>RESTOS A PAGAR NÃO PROCESSADOS</t>
  </si>
  <si>
    <t>Saldo Total</t>
  </si>
  <si>
    <t>Inscritos</t>
  </si>
  <si>
    <t>Pagos</t>
  </si>
  <si>
    <t>Cancelados</t>
  </si>
  <si>
    <t>Liquidados</t>
  </si>
  <si>
    <t>Em Exercícios</t>
  </si>
  <si>
    <t>Em 31 de</t>
  </si>
  <si>
    <t>Anteriores</t>
  </si>
  <si>
    <t>dezembro de 2020</t>
  </si>
  <si>
    <t>(c)</t>
  </si>
  <si>
    <t>(d)</t>
  </si>
  <si>
    <t>e=(a+b)-(c+d)</t>
  </si>
  <si>
    <t>(f)</t>
  </si>
  <si>
    <t>(g)</t>
  </si>
  <si>
    <t>(h)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</si>
  <si>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</si>
  <si>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</si>
  <si>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</si>
  <si>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</si>
  <si>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</si>
  <si>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</si>
  <si>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</si>
  <si>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CAMARA MUNICIPAL CACAPAVA DO SUL</t>
  </si>
  <si>
    <t>RESTOS A PAGAR(INTRA-ORÇAMENTÁRIOS) (II)</t>
  </si>
  <si>
    <t>TOTAL (III) = (I+II)</t>
  </si>
  <si>
    <t>a Pagar¹</t>
  </si>
  <si>
    <t>Bimestre ²</t>
  </si>
  <si>
    <t>²Obs.: O SIAFIC apurou 25,20 o percedntual aplicado em MDE.</t>
  </si>
  <si>
    <t>parcelas por longo período.</t>
  </si>
  <si>
    <t>¹Obs.: Do valor dos restos a Pagar, R$ 18.226.474,58 são intra-orçamentários e são referentes a transfereências atrasadas que foram  reprogramadas para ser repassados em</t>
  </si>
  <si>
    <t>PREFEITURA MUNICIPAL DE CACAPAVA DO SUL - RS - PODER EXECUTIVO</t>
  </si>
  <si>
    <t>RELATÓRIO DE GESTÃO FISCAL</t>
  </si>
  <si>
    <t>DEMONSTRATIVO DA DESPESA COM PESSOAL</t>
  </si>
  <si>
    <t>ORÇAMENTOS FISCAL E DA SEGURIDADE SOCIAL</t>
  </si>
  <si>
    <t>JANEIRO/2021 A DEZEMBRO/2021</t>
  </si>
  <si>
    <t>RGF - ANEXO I (LRF, art. 55, inciso I, alínea "a")</t>
  </si>
  <si>
    <t>DESPESA COM PESSOAL</t>
  </si>
  <si>
    <t>DESPESAS EXECUTADAS</t>
  </si>
  <si>
    <t>(Últimos 12 Meses)</t>
  </si>
  <si>
    <t>LIQUIDADAS</t>
  </si>
  <si>
    <t>INSCRITAS EM
RESTOS A
PAGAR
NÃO
PROCESSADOS¹</t>
  </si>
  <si>
    <t>DESPESA BRUTA COM PESSOAL (I)</t>
  </si>
  <si>
    <t>Pessoal Ativo</t>
  </si>
  <si>
    <t>Vencimentos, Vantagens e Outras Despesas Variáveis</t>
  </si>
  <si>
    <t>Obrigações Patronais</t>
  </si>
  <si>
    <t>Pessoal Inativo e Pensionistas</t>
  </si>
  <si>
    <t>Aposentadorias, Reserva e Reformas</t>
  </si>
  <si>
    <t>Pensões</t>
  </si>
  <si>
    <t>Outras despesas de pessoal decorrentes de contratos de terceirização ou de contratação de forma 
 indireta (§ 1º do art. 18 da LRF)</t>
  </si>
  <si>
    <t>Despesa com Pessoal não Executada Orçamentariamente</t>
  </si>
  <si>
    <t>DESPESAS NÃO COMPUTADAS(II)(§ 1º do art. 19 da LRF)</t>
  </si>
  <si>
    <t>Indenizações por Demissão e Incentivos à Demissão Voluntária</t>
  </si>
  <si>
    <t>Decorrentes de Decisão Judicial de período anterior ao da apuração</t>
  </si>
  <si>
    <t>Despesas de Exercícios Anteriores de período anterior ao da apuração</t>
  </si>
  <si>
    <t>Inativos e Pensionistas com Recursos Vinculados</t>
  </si>
  <si>
    <t>APURAÇÃO DO CUMPRIMENTO DO LIMITE LEGAL</t>
  </si>
  <si>
    <t>VALOR</t>
  </si>
  <si>
    <t>% SOBRE A RCL AJUSTADA</t>
  </si>
  <si>
    <t>RECEITA CORRENTE LÍQUIDA - RCL (IV)</t>
  </si>
  <si>
    <t xml:space="preserve"> (-) Transferências obrigatórias da União relativas às emendas individuais (art. 166-A, §1º, da CF) (V)</t>
  </si>
  <si>
    <t xml:space="preserve"> (-) Transferências obrigatórias da União relativas às emendas de bancada (art. 166, § 16 da CF) (VI)</t>
  </si>
  <si>
    <t>DESPESA TOTAL COM PESSOAL - DTP (VIII) = (III a + III b)</t>
  </si>
  <si>
    <t>LIMITE MÁXIMO (IX) (incisos I, II e III, art. 20 da LRF)</t>
  </si>
  <si>
    <t>LIMITE PRUDENCIAL (X) = (0,95 x IX) (parágrafo único do art. 22 da LRF)</t>
  </si>
  <si>
    <t xml:space="preserve">LIMITE DE ALERTA (XI) = (0,90 x IX) (inciso II do §1º do art. 59 da LRF) </t>
  </si>
  <si>
    <t>1.Nos demonstrativos elaborados no primeiro e no segundo quadrimestre de cada exercício, os valores de restos a pagar não processados incritos em 31 de dezembro</t>
  </si>
  <si>
    <t>do exercício anterior continuarão a ser informados nesse campo. Esses valores não sofrem alteração pelo seu processamento, e somente no caso de cancelamento</t>
  </si>
  <si>
    <t>podem ser excluídos.</t>
  </si>
  <si>
    <t>Nota:</t>
  </si>
  <si>
    <t xml:space="preserve"> = RECEITA CORRENTE LÍQUIDA AJUSTADA PARA CÁLCULO DOS LIMITES DA DESPESA     COM PESSOAL (VII) = (IV - V - VI)</t>
  </si>
  <si>
    <t>3.1.X.X.91</t>
  </si>
  <si>
    <t>INSTRUÇÃO NORMATIVA nº 18/2021 - TCE/RS.</t>
  </si>
  <si>
    <t>Sentenças Judiciais</t>
  </si>
  <si>
    <t>*DESPESA LÍQUIDA COM PESSOAL (III) = (I - II)</t>
  </si>
  <si>
    <t>*Valor a maior na Despesa Líquida de Pessoal no SIAFIC em relação ao apurado pela Contabilidade:</t>
  </si>
  <si>
    <t>Disponibilidade Financeira do Recurso Vinculado - Dezembro de 2021</t>
  </si>
  <si>
    <t>53.969.344,16</t>
  </si>
  <si>
    <t>4.189.000,00</t>
  </si>
  <si>
    <t>62.840.589,61</t>
  </si>
  <si>
    <t>41.120.281,09</t>
  </si>
  <si>
    <t>55.702.337,79</t>
  </si>
  <si>
    <t>2.949.251,82</t>
  </si>
  <si>
    <t>7.506.868,73</t>
  </si>
  <si>
    <t>7.528.191,17</t>
  </si>
  <si>
    <t>8.165.315,88</t>
  </si>
  <si>
    <t>12.330.324,13</t>
  </si>
  <si>
    <t>-4.802.132,96</t>
  </si>
  <si>
    <t>26.943.628,79</t>
  </si>
  <si>
    <t>27.411.047,64</t>
  </si>
  <si>
    <t>26.400.715,65</t>
  </si>
  <si>
    <t>26.893.552,66</t>
  </si>
  <si>
    <t>517.494,98</t>
  </si>
  <si>
    <t>12.800.160,66</t>
  </si>
  <si>
    <t>12.918.091,86</t>
  </si>
  <si>
    <t>19.560.962,63</t>
  </si>
  <si>
    <t>26.904.239,79</t>
  </si>
  <si>
    <t>-13.986.147,93</t>
  </si>
  <si>
    <t>32.953.972,89</t>
  </si>
  <si>
    <t>65.989.635,98</t>
  </si>
  <si>
    <t>24.226.086,52</t>
  </si>
  <si>
    <t>24.259.671,42</t>
  </si>
  <si>
    <t>41.729.964,56</t>
  </si>
  <si>
    <t>435.902,28</t>
  </si>
  <si>
    <t>668.088,61</t>
  </si>
  <si>
    <t>562.650,30</t>
  </si>
  <si>
    <t>105.438,31</t>
  </si>
  <si>
    <t>1.611.651,99</t>
  </si>
  <si>
    <t>2.127.970,47</t>
  </si>
  <si>
    <t>681.704,84</t>
  </si>
  <si>
    <t>747.908,39</t>
  </si>
  <si>
    <t>1.380.062,08</t>
  </si>
  <si>
    <t>181.637,74</t>
  </si>
  <si>
    <t>409.776,23</t>
  </si>
  <si>
    <t>212.311,50</t>
  </si>
  <si>
    <t>197.464,73</t>
  </si>
  <si>
    <t>39.881,17</t>
  </si>
  <si>
    <t>1.390.240,46</t>
  </si>
  <si>
    <t>1.089.684,58</t>
  </si>
  <si>
    <t>1.468.104,47</t>
  </si>
  <si>
    <t>1.393.558,75</t>
  </si>
  <si>
    <t>1.394.458,75</t>
  </si>
  <si>
    <t>73.645,72</t>
  </si>
  <si>
    <t>342,97</t>
  </si>
  <si>
    <t>13.981,08</t>
  </si>
  <si>
    <t>30,39</t>
  </si>
  <si>
    <t>1.175,71</t>
  </si>
  <si>
    <t>86.219,69</t>
  </si>
  <si>
    <t>87.596,92</t>
  </si>
  <si>
    <t>78.990,74</t>
  </si>
  <si>
    <t>80.799,84</t>
  </si>
  <si>
    <t>6.797,08</t>
  </si>
  <si>
    <t>336.663,41</t>
  </si>
  <si>
    <t>1.014.360,89</t>
  </si>
  <si>
    <t>661.833,92</t>
  </si>
  <si>
    <t>691.676,12</t>
  </si>
  <si>
    <t>322.684,77</t>
  </si>
  <si>
    <t>10.841,98</t>
  </si>
  <si>
    <t>52.142,09</t>
  </si>
  <si>
    <t>-46.056,91</t>
  </si>
  <si>
    <t>56.084,32</t>
  </si>
  <si>
    <t>207.865,41</t>
  </si>
  <si>
    <t>130.571,15</t>
  </si>
  <si>
    <t>132.360,15</t>
  </si>
  <si>
    <t>75.505,26</t>
  </si>
  <si>
    <t>3,84</t>
  </si>
  <si>
    <t>164,88</t>
  </si>
  <si>
    <t>5.813,01</t>
  </si>
  <si>
    <t>77.565,13</t>
  </si>
  <si>
    <t>-6.096,11</t>
  </si>
  <si>
    <t>534.106,13</t>
  </si>
  <si>
    <t>816.594,31</t>
  </si>
  <si>
    <t>770.498,35</t>
  </si>
  <si>
    <t>1.646.611,13</t>
  </si>
  <si>
    <t>-830.016,82</t>
  </si>
  <si>
    <t>4.575,93</t>
  </si>
  <si>
    <t>196.526,39</t>
  </si>
  <si>
    <t>0,15</t>
  </si>
  <si>
    <t>0,74</t>
  </si>
  <si>
    <t>11.672,48</t>
  </si>
  <si>
    <t>139.957,74</t>
  </si>
  <si>
    <t>78.776,46</t>
  </si>
  <si>
    <t>81.694,67</t>
  </si>
  <si>
    <t>58.263,07</t>
  </si>
  <si>
    <t>18.083,87</t>
  </si>
  <si>
    <t>30.287,24</t>
  </si>
  <si>
    <t>147,55</t>
  </si>
  <si>
    <t>4.795.705,11</t>
  </si>
  <si>
    <t>6.746.458,41</t>
  </si>
  <si>
    <t>5.706.797,51</t>
  </si>
  <si>
    <t>5.756.075,91</t>
  </si>
  <si>
    <t>990.382,50</t>
  </si>
  <si>
    <t>1.124,22</t>
  </si>
  <si>
    <t>43.500,69</t>
  </si>
  <si>
    <t>-37.843,19</t>
  </si>
  <si>
    <t>206,54</t>
  </si>
  <si>
    <t>9.348,15</t>
  </si>
  <si>
    <t>143.250,00</t>
  </si>
  <si>
    <t>58.390,92</t>
  </si>
  <si>
    <t>157.747,50</t>
  </si>
  <si>
    <t>-26.776,05</t>
  </si>
  <si>
    <t>80.880,89</t>
  </si>
  <si>
    <t>124.625,00</t>
  </si>
  <si>
    <t>-115.718,30</t>
  </si>
  <si>
    <t>180.315,01</t>
  </si>
  <si>
    <t>225.067,94</t>
  </si>
  <si>
    <t>2.210,80</t>
  </si>
  <si>
    <t>165.458,37</t>
  </si>
  <si>
    <t>165.490,47</t>
  </si>
  <si>
    <t>-50.890,48</t>
  </si>
  <si>
    <t>101.029,31</t>
  </si>
  <si>
    <t>203.513,54</t>
  </si>
  <si>
    <t>101.756,75</t>
  </si>
  <si>
    <t>88.598,61</t>
  </si>
  <si>
    <t>87.432,00</t>
  </si>
  <si>
    <t>1.166,61</t>
  </si>
  <si>
    <t>Emenda Parlamentar - Investimento Público</t>
  </si>
  <si>
    <t>100.016,98</t>
  </si>
  <si>
    <t>2.385,39</t>
  </si>
  <si>
    <t>102.402,37</t>
  </si>
  <si>
    <t>224.686,95</t>
  </si>
  <si>
    <t>252,40</t>
  </si>
  <si>
    <t>224.939,35</t>
  </si>
  <si>
    <t>222.636,66</t>
  </si>
  <si>
    <t>2.302,69</t>
  </si>
  <si>
    <t>875.306,87</t>
  </si>
  <si>
    <t>884.244,85</t>
  </si>
  <si>
    <t>451.518,50</t>
  </si>
  <si>
    <t>451.838,53</t>
  </si>
  <si>
    <t>432.406,32</t>
  </si>
  <si>
    <t>354.571,92</t>
  </si>
  <si>
    <t>471.309,66</t>
  </si>
  <si>
    <t>245.037,09</t>
  </si>
  <si>
    <t>250.622,25</t>
  </si>
  <si>
    <t>220.687,41</t>
  </si>
  <si>
    <t>14,02</t>
  </si>
  <si>
    <t>510,57</t>
  </si>
  <si>
    <t>713.339,96</t>
  </si>
  <si>
    <t>758.053,11</t>
  </si>
  <si>
    <t>444.812,96</t>
  </si>
  <si>
    <t>444.914,40</t>
  </si>
  <si>
    <t>313.138,71</t>
  </si>
  <si>
    <t>90.307,51</t>
  </si>
  <si>
    <t>132.444,80</t>
  </si>
  <si>
    <t>286.773,66</t>
  </si>
  <si>
    <t>286.941,41</t>
  </si>
  <si>
    <t>278.807,12</t>
  </si>
  <si>
    <t>8.134,29</t>
  </si>
  <si>
    <t>95,03</t>
  </si>
  <si>
    <t>3.925,38</t>
  </si>
  <si>
    <t>3.309,38</t>
  </si>
  <si>
    <t>360.633,35</t>
  </si>
  <si>
    <t>364.753,32</t>
  </si>
  <si>
    <t>304.259,34</t>
  </si>
  <si>
    <t>60.493,98</t>
  </si>
  <si>
    <t>13,91</t>
  </si>
  <si>
    <t>506,95</t>
  </si>
  <si>
    <t>245,08</t>
  </si>
  <si>
    <t>51.254,43</t>
  </si>
  <si>
    <t>51.604,53</t>
  </si>
  <si>
    <t>66,66</t>
  </si>
  <si>
    <t>2.427,89</t>
  </si>
  <si>
    <t>200,34</t>
  </si>
  <si>
    <t>7.294,84</t>
  </si>
  <si>
    <t>7.091,08</t>
  </si>
  <si>
    <t>2.722,43</t>
  </si>
  <si>
    <t>130.789,32</t>
  </si>
  <si>
    <t>2.981,91</t>
  </si>
  <si>
    <t>5.061.975,53</t>
  </si>
  <si>
    <t>6.118.150,71</t>
  </si>
  <si>
    <t>5.223.066,58</t>
  </si>
  <si>
    <t>5.278.347,54</t>
  </si>
  <si>
    <t>839.803,17</t>
  </si>
  <si>
    <t>930.101,63</t>
  </si>
  <si>
    <t>974.098,32</t>
  </si>
  <si>
    <t>944.785,66</t>
  </si>
  <si>
    <t>967.710,44</t>
  </si>
  <si>
    <t>6.387,88</t>
  </si>
  <si>
    <t>119.836,81</t>
  </si>
  <si>
    <t>243.341,66</t>
  </si>
  <si>
    <t>182.375,96</t>
  </si>
  <si>
    <t>183.137,96</t>
  </si>
  <si>
    <t>60.203,70</t>
  </si>
  <si>
    <t>225.565,98</t>
  </si>
  <si>
    <t>337.256,84</t>
  </si>
  <si>
    <t>213.062,94</t>
  </si>
  <si>
    <t>224.072,14</t>
  </si>
  <si>
    <t>113.184,70</t>
  </si>
  <si>
    <t>13.450,43</t>
  </si>
  <si>
    <t>62.982,56</t>
  </si>
  <si>
    <t>56.058,01</t>
  </si>
  <si>
    <t>116.998,07</t>
  </si>
  <si>
    <t>855.531,28</t>
  </si>
  <si>
    <t>393.666,95</t>
  </si>
  <si>
    <t>461.864,33</t>
  </si>
  <si>
    <t>323,70</t>
  </si>
  <si>
    <t>14.165,24</t>
  </si>
  <si>
    <t>14.005,63</t>
  </si>
  <si>
    <t>159,61</t>
  </si>
  <si>
    <t>7,26</t>
  </si>
  <si>
    <t>311,81</t>
  </si>
  <si>
    <t>2.144,05</t>
  </si>
  <si>
    <t>92.042,33</t>
  </si>
  <si>
    <t>164.164,95</t>
  </si>
  <si>
    <t>1.388.493,52</t>
  </si>
  <si>
    <t>1.341.842,86</t>
  </si>
  <si>
    <t>1.372.889,71</t>
  </si>
  <si>
    <t>15.603,81</t>
  </si>
  <si>
    <t>406,10</t>
  </si>
  <si>
    <t>17.781,10</t>
  </si>
  <si>
    <t>2,05</t>
  </si>
  <si>
    <t>136,39</t>
  </si>
  <si>
    <t>153.888.659,43</t>
  </si>
  <si>
    <t>209.331.362,76</t>
  </si>
  <si>
    <t>141.056.689,89</t>
  </si>
  <si>
    <t>170.497.329,22</t>
  </si>
  <si>
    <t>34.645.033,54</t>
  </si>
  <si>
    <t>40.971.358,93</t>
  </si>
  <si>
    <t>351.809,81</t>
  </si>
  <si>
    <t>41.323.168,74</t>
  </si>
  <si>
    <t>17.328.420,87</t>
  </si>
  <si>
    <t>7.024.672,24</t>
  </si>
  <si>
    <t>307.294,71</t>
  </si>
  <si>
    <t>7.331.966,95</t>
  </si>
  <si>
    <t>196.224,22</t>
  </si>
  <si>
    <t>26.074.204,53</t>
  </si>
  <si>
    <t>1.336.843,11</t>
  </si>
  <si>
    <t>19.548.351,86</t>
  </si>
  <si>
    <t>19.948.209,17</t>
  </si>
  <si>
    <t>-7.030.117,31</t>
  </si>
  <si>
    <t>24.216.286,52</t>
  </si>
  <si>
    <t>41.773.349,46</t>
  </si>
  <si>
    <t>680.648,84</t>
  </si>
  <si>
    <t>686.849,39</t>
  </si>
  <si>
    <t>1.441.121,08</t>
  </si>
  <si>
    <t>74.545,72</t>
  </si>
  <si>
    <t>77.522,04</t>
  </si>
  <si>
    <t>10.074,88</t>
  </si>
  <si>
    <t>659.748,92</t>
  </si>
  <si>
    <t>354.611,97</t>
  </si>
  <si>
    <t>77.294,26</t>
  </si>
  <si>
    <t>-1.736,11</t>
  </si>
  <si>
    <t>702.414,49</t>
  </si>
  <si>
    <t>737.569,13</t>
  </si>
  <si>
    <t>79.025,18</t>
  </si>
  <si>
    <t>61.181,28</t>
  </si>
  <si>
    <t>3.825,24</t>
  </si>
  <si>
    <t>1.039.660,90</t>
  </si>
  <si>
    <t>-17.747,31</t>
  </si>
  <si>
    <t>40.643,61</t>
  </si>
  <si>
    <t>90.327,84</t>
  </si>
  <si>
    <t>42.885,32</t>
  </si>
  <si>
    <t>81.739,68</t>
  </si>
  <si>
    <t>75.340,67</t>
  </si>
  <si>
    <t>52.783,17</t>
  </si>
  <si>
    <t>432.726,35</t>
  </si>
  <si>
    <t>226.272,57</t>
  </si>
  <si>
    <t>313.240,15</t>
  </si>
  <si>
    <t>272.296,69</t>
  </si>
  <si>
    <t>14.644,72</t>
  </si>
  <si>
    <t>69.461,37</t>
  </si>
  <si>
    <t>5.216.828,01</t>
  </si>
  <si>
    <t>901.322,70</t>
  </si>
  <si>
    <t>29.312,66</t>
  </si>
  <si>
    <t>182.350,96</t>
  </si>
  <si>
    <t>60.990,70</t>
  </si>
  <si>
    <t>124.193,90</t>
  </si>
  <si>
    <t>56.061,81</t>
  </si>
  <si>
    <t>353.146,95</t>
  </si>
  <si>
    <t>502.384,33</t>
  </si>
  <si>
    <t>1.341.242,86</t>
  </si>
  <si>
    <t>1.343.242,86</t>
  </si>
  <si>
    <t>45.250,66</t>
  </si>
  <si>
    <t>139.225.135,18</t>
  </si>
  <si>
    <t>1.391.606,60</t>
  </si>
  <si>
    <t>140.616.741,78</t>
  </si>
  <si>
    <t>64.525.620,98</t>
  </si>
  <si>
    <t>38.666.374,88</t>
  </si>
  <si>
    <t>3.667.017,90</t>
  </si>
  <si>
    <t>42.333.392,78</t>
  </si>
  <si>
    <t>16.318.196,83</t>
  </si>
  <si>
    <t>6.181.927,69</t>
  </si>
  <si>
    <t>1.182.054,77</t>
  </si>
  <si>
    <t>7.363.982,46</t>
  </si>
  <si>
    <t>164.208,71</t>
  </si>
  <si>
    <t>25.557.370,78</t>
  </si>
  <si>
    <t>25.806.762,64</t>
  </si>
  <si>
    <t>1.604.285,00</t>
  </si>
  <si>
    <t>18.637.144,97</t>
  </si>
  <si>
    <t>2.496.179,73</t>
  </si>
  <si>
    <t>21.133.324,70</t>
  </si>
  <si>
    <t>-8.215.232,84</t>
  </si>
  <si>
    <t>24.214.397,41</t>
  </si>
  <si>
    <t>654,00</t>
  </si>
  <si>
    <t>24.215.051,41</t>
  </si>
  <si>
    <t>41.774.584,57</t>
  </si>
  <si>
    <t>650.648,45</t>
  </si>
  <si>
    <t>715.711,28</t>
  </si>
  <si>
    <t>1.412.259,19</t>
  </si>
  <si>
    <t>192.211,72</t>
  </si>
  <si>
    <t>217.564,51</t>
  </si>
  <si>
    <t>1.128.620,43</t>
  </si>
  <si>
    <t>150,00</t>
  </si>
  <si>
    <t>1.128.770,43</t>
  </si>
  <si>
    <t>339.334,04</t>
  </si>
  <si>
    <t>74.914,04</t>
  </si>
  <si>
    <t>599,10</t>
  </si>
  <si>
    <t>75.513,14</t>
  </si>
  <si>
    <t>12.083,78</t>
  </si>
  <si>
    <t>605.875,61</t>
  </si>
  <si>
    <t>634.537,17</t>
  </si>
  <si>
    <t>379.823,72</t>
  </si>
  <si>
    <t>130.418,56</t>
  </si>
  <si>
    <t>132.203,96</t>
  </si>
  <si>
    <t>75.661,45</t>
  </si>
  <si>
    <t>-3.116,11</t>
  </si>
  <si>
    <t>612.068,61</t>
  </si>
  <si>
    <t>774.460,29</t>
  </si>
  <si>
    <t>42.134,02</t>
  </si>
  <si>
    <t>74.306,32</t>
  </si>
  <si>
    <t>76.669,48</t>
  </si>
  <si>
    <t>63.288,26</t>
  </si>
  <si>
    <t>5.670.514,35</t>
  </si>
  <si>
    <t>5.719.792,75</t>
  </si>
  <si>
    <t>1.026.665,66</t>
  </si>
  <si>
    <t>85.937,78</t>
  </si>
  <si>
    <t>143.175,21</t>
  </si>
  <si>
    <t>163.686,88</t>
  </si>
  <si>
    <t>1.803,59</t>
  </si>
  <si>
    <t>77.032,00</t>
  </si>
  <si>
    <t>11.566,61</t>
  </si>
  <si>
    <t>2.563,17</t>
  </si>
  <si>
    <t>248.472,25</t>
  </si>
  <si>
    <t>222.837,41</t>
  </si>
  <si>
    <t>271.197,19</t>
  </si>
  <si>
    <t>15.744,22</t>
  </si>
  <si>
    <t>303.684,45</t>
  </si>
  <si>
    <t>61.068,87</t>
  </si>
  <si>
    <t>5.010.079,93</t>
  </si>
  <si>
    <t>5.063.662,95</t>
  </si>
  <si>
    <t>1.054.487,76</t>
  </si>
  <si>
    <t>909.247,91</t>
  </si>
  <si>
    <t>929.192,99</t>
  </si>
  <si>
    <t>44.905,33</t>
  </si>
  <si>
    <t>145.955,31</t>
  </si>
  <si>
    <t>146.337,31</t>
  </si>
  <si>
    <t>97.004,35</t>
  </si>
  <si>
    <t>211.319,54</t>
  </si>
  <si>
    <t>222.328,74</t>
  </si>
  <si>
    <t>114.928,10</t>
  </si>
  <si>
    <t>56.450,81</t>
  </si>
  <si>
    <t>110.750,29</t>
  </si>
  <si>
    <t>744.780,99</t>
  </si>
  <si>
    <t>1.335.145,80</t>
  </si>
  <si>
    <t>1.366.192,65</t>
  </si>
  <si>
    <t>22.300,87</t>
  </si>
  <si>
    <t>133.480.989,17</t>
  </si>
  <si>
    <t>8.489.278,25</t>
  </si>
  <si>
    <t>141.970.267,42</t>
  </si>
  <si>
    <t>63.172.095,34</t>
  </si>
  <si>
    <t>Página 1 de 3</t>
  </si>
  <si>
    <t>Balanço Orçamentário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</si>
  <si>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</si>
  <si>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</si>
  <si>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</si>
  <si>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</si>
  <si>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</si>
  <si>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</si>
  <si>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</si>
  <si>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</si>
  <si>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</si>
  <si>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INTRAORÇAMENTÁRIAS) (I)</t>
  </si>
  <si>
    <t>122.816.285,74</t>
  </si>
  <si>
    <t>131.656.939,46</t>
  </si>
  <si>
    <t>27.878.249,29</t>
  </si>
  <si>
    <t>21,17</t>
  </si>
  <si>
    <t>126.457.481,26</t>
  </si>
  <si>
    <t>96,05</t>
  </si>
  <si>
    <t>5.199.458,20</t>
  </si>
  <si>
    <t>121.126.571,23</t>
  </si>
  <si>
    <t>129.964.620,36</t>
  </si>
  <si>
    <t>27.714.605,52</t>
  </si>
  <si>
    <t>21,32</t>
  </si>
  <si>
    <t>125.445.484,10</t>
  </si>
  <si>
    <t>96,52</t>
  </si>
  <si>
    <t>4.519.136,26</t>
  </si>
  <si>
    <t>3.415.559,28</t>
  </si>
  <si>
    <t>20,50</t>
  </si>
  <si>
    <t>14.496.960,08</t>
  </si>
  <si>
    <t>87,01</t>
  </si>
  <si>
    <t>2.164.016,64</t>
  </si>
  <si>
    <t>Impostos</t>
  </si>
  <si>
    <t>14.327.900,03</t>
  </si>
  <si>
    <t>3.351.978,72</t>
  </si>
  <si>
    <t>23,39</t>
  </si>
  <si>
    <t>13.927.190,60</t>
  </si>
  <si>
    <t>97,20</t>
  </si>
  <si>
    <t>400.709,43</t>
  </si>
  <si>
    <t>Taxas</t>
  </si>
  <si>
    <t>1.336.827,53</t>
  </si>
  <si>
    <t>63.580,44</t>
  </si>
  <si>
    <t>4,76</t>
  </si>
  <si>
    <t>567.791,67</t>
  </si>
  <si>
    <t>42,47</t>
  </si>
  <si>
    <t>769.035,86</t>
  </si>
  <si>
    <t>Contribuição de Melhoria</t>
  </si>
  <si>
    <t>996.249,16</t>
  </si>
  <si>
    <t>0,12</t>
  </si>
  <si>
    <t>1.977,81</t>
  </si>
  <si>
    <t>0,20</t>
  </si>
  <si>
    <t>994.271,35</t>
  </si>
  <si>
    <t>1.700.078,26</t>
  </si>
  <si>
    <t>26,09</t>
  </si>
  <si>
    <t>7.921.649,35</t>
  </si>
  <si>
    <t>121,58</t>
  </si>
  <si>
    <t>(1.406.082,10)</t>
  </si>
  <si>
    <t>Contribuições Sociais</t>
  </si>
  <si>
    <t>5.583.836,41</t>
  </si>
  <si>
    <t>1.505.134,61</t>
  </si>
  <si>
    <t>26,96</t>
  </si>
  <si>
    <t>6.853.164,98</t>
  </si>
  <si>
    <t>122,73</t>
  </si>
  <si>
    <t>(1.269.328,57)</t>
  </si>
  <si>
    <t>Contribuição para o Custeio do Serviço de Iluminação Pública</t>
  </si>
  <si>
    <t>931.730,84</t>
  </si>
  <si>
    <t>194.943,65</t>
  </si>
  <si>
    <t>20,92</t>
  </si>
  <si>
    <t>1.068.484,37</t>
  </si>
  <si>
    <t>114,68</t>
  </si>
  <si>
    <t>(136.753,53)</t>
  </si>
  <si>
    <t>1.195.620,89</t>
  </si>
  <si>
    <t>18,62</t>
  </si>
  <si>
    <t>1.937.842,34</t>
  </si>
  <si>
    <t>30,18</t>
  </si>
  <si>
    <t>4.483.001,80</t>
  </si>
  <si>
    <t>Exploração do Patrimônio Imobiliário do Estado</t>
  </si>
  <si>
    <t>6.378,97</t>
  </si>
  <si>
    <t>4,06</t>
  </si>
  <si>
    <t>22.260,18</t>
  </si>
  <si>
    <t>14,18</t>
  </si>
  <si>
    <t>134.675,20</t>
  </si>
  <si>
    <t>Valores Mobiliários</t>
  </si>
  <si>
    <t>1.189.241,92</t>
  </si>
  <si>
    <t>18,99</t>
  </si>
  <si>
    <t>1.915.582,16</t>
  </si>
  <si>
    <t>30,58</t>
  </si>
  <si>
    <t>4.348.326,60</t>
  </si>
  <si>
    <t>30.660,53</t>
  </si>
  <si>
    <t>7,60</t>
  </si>
  <si>
    <t>91.170,54</t>
  </si>
  <si>
    <t>22,61</t>
  </si>
  <si>
    <t>312.066,16</t>
  </si>
  <si>
    <t>72.465,44</t>
  </si>
  <si>
    <t>15,24</t>
  </si>
  <si>
    <t>430.634,17</t>
  </si>
  <si>
    <t>90,55</t>
  </si>
  <si>
    <t>44.932,19</t>
  </si>
  <si>
    <t>Serviços e Atividades Referentes à Saúde</t>
  </si>
  <si>
    <t>83.773.000,01</t>
  </si>
  <si>
    <t>92.611.049,14</t>
  </si>
  <si>
    <t>20.834.709,68</t>
  </si>
  <si>
    <t>22,50</t>
  </si>
  <si>
    <t>98.215.493,00</t>
  </si>
  <si>
    <t>106,05</t>
  </si>
  <si>
    <t>(5.604.443,86)</t>
  </si>
  <si>
    <t>Transferências da União e de suas Entidades</t>
  </si>
  <si>
    <t>32.545.737,49</t>
  </si>
  <si>
    <t>33.632.509,71</t>
  </si>
  <si>
    <t>7.228.448,83</t>
  </si>
  <si>
    <t>21,49</t>
  </si>
  <si>
    <t>34.683.169,40</t>
  </si>
  <si>
    <t>103,12</t>
  </si>
  <si>
    <t>(1.050.659,69)</t>
  </si>
  <si>
    <t>Transf dos Estados e do Distrito Federal e de suas Entidades</t>
  </si>
  <si>
    <t>28.750.978,52</t>
  </si>
  <si>
    <t>29.348.216,43</t>
  </si>
  <si>
    <t>8.538.438,60</t>
  </si>
  <si>
    <t>29,09</t>
  </si>
  <si>
    <t>36.615.185,03</t>
  </si>
  <si>
    <t>124,76</t>
  </si>
  <si>
    <t>(7.266.968,60)</t>
  </si>
  <si>
    <t>Transferências dos Municípios e de suas Entidades</t>
  </si>
  <si>
    <t>3.100.000,00</t>
  </si>
  <si>
    <t>5.611,14</t>
  </si>
  <si>
    <t>0,18</t>
  </si>
  <si>
    <t>33.651,84</t>
  </si>
  <si>
    <t>1,09</t>
  </si>
  <si>
    <t>3.066.348,16</t>
  </si>
  <si>
    <t>Transferências de Instituições Privadas</t>
  </si>
  <si>
    <t>4,00</t>
  </si>
  <si>
    <t>Transferências de Outras Instituições Públicas</t>
  </si>
  <si>
    <t>19.076.280,00</t>
  </si>
  <si>
    <t>26.230.319,00</t>
  </si>
  <si>
    <t>5.062.211,11</t>
  </si>
  <si>
    <t>19,30</t>
  </si>
  <si>
    <t>26.879.636,73</t>
  </si>
  <si>
    <t>102,48</t>
  </si>
  <si>
    <t>(649.317,73)</t>
  </si>
  <si>
    <t>Transferências de Pessoas Físicas</t>
  </si>
  <si>
    <t>300.000,00</t>
  </si>
  <si>
    <t>3.850,00</t>
  </si>
  <si>
    <t>1,28</t>
  </si>
  <si>
    <t>296.150,00</t>
  </si>
  <si>
    <t>465.511,44</t>
  </si>
  <si>
    <t>6,77</t>
  </si>
  <si>
    <t>2.351.734,62</t>
  </si>
  <si>
    <t>34,20</t>
  </si>
  <si>
    <t>4.525.645,43</t>
  </si>
  <si>
    <t>Multas Administrativas, Contratuais e Judiciais</t>
  </si>
  <si>
    <t>80.000,00</t>
  </si>
  <si>
    <t>17.661,53</t>
  </si>
  <si>
    <t>22,08</t>
  </si>
  <si>
    <t>78.970,46</t>
  </si>
  <si>
    <t>98,71</t>
  </si>
  <si>
    <t>1.029,54</t>
  </si>
  <si>
    <t>Indenizações, Restituições e Ressarcimentos</t>
  </si>
  <si>
    <t>3.720.664,90</t>
  </si>
  <si>
    <t>34.783,49</t>
  </si>
  <si>
    <t>0,93</t>
  </si>
  <si>
    <t>241.787,48</t>
  </si>
  <si>
    <t>6,50</t>
  </si>
  <si>
    <t>3.478.877,42</t>
  </si>
  <si>
    <t>Demais Receitas Correntes</t>
  </si>
  <si>
    <t>3.076.715,15</t>
  </si>
  <si>
    <t>413.066,42</t>
  </si>
  <si>
    <t>13,43</t>
  </si>
  <si>
    <t>2.030.976,68</t>
  </si>
  <si>
    <t>66,01</t>
  </si>
  <si>
    <t>1.045.738,47</t>
  </si>
  <si>
    <t>Receitas de Capital</t>
  </si>
  <si>
    <t>1.689.714,51</t>
  </si>
  <si>
    <t>1.692.319,10</t>
  </si>
  <si>
    <t>163.643,77</t>
  </si>
  <si>
    <t>9,67</t>
  </si>
  <si>
    <t>1.011.997,16</t>
  </si>
  <si>
    <t>59,80</t>
  </si>
  <si>
    <t>680.321,94</t>
  </si>
  <si>
    <t>Amortização de Empréstimos</t>
  </si>
  <si>
    <t>60.000,00</t>
  </si>
  <si>
    <t>351,80</t>
  </si>
  <si>
    <t>879,50</t>
  </si>
  <si>
    <t>1,47</t>
  </si>
  <si>
    <t>59.120,50</t>
  </si>
  <si>
    <t>Transferências de Capital</t>
  </si>
  <si>
    <t>1.618.818,66</t>
  </si>
  <si>
    <t>145.037,43</t>
  </si>
  <si>
    <t>8,96</t>
  </si>
  <si>
    <t>963.515,27</t>
  </si>
  <si>
    <t>59,52</t>
  </si>
  <si>
    <t>655.303,39</t>
  </si>
  <si>
    <t>1.598.818,66</t>
  </si>
  <si>
    <t>9,07</t>
  </si>
  <si>
    <t>913.515,27</t>
  </si>
  <si>
    <t>57,14</t>
  </si>
  <si>
    <t>685.303,39</t>
  </si>
  <si>
    <t>20.000,00</t>
  </si>
  <si>
    <t>50.000,00</t>
  </si>
  <si>
    <t>250,00</t>
  </si>
  <si>
    <t>(30.000,00)</t>
  </si>
  <si>
    <t>Outras Receitas de Capital</t>
  </si>
  <si>
    <t>10.895,85</t>
  </si>
  <si>
    <t>13.500,44</t>
  </si>
  <si>
    <t>18.254,54</t>
  </si>
  <si>
    <t>135,21</t>
  </si>
  <si>
    <t>47.602,39</t>
  </si>
  <si>
    <t>352,60</t>
  </si>
  <si>
    <t>(34.101,95)</t>
  </si>
  <si>
    <t>Demais Receitas de Capital</t>
  </si>
  <si>
    <t>Receitas de Capital Intraorçamentárias</t>
  </si>
  <si>
    <t>16.100,00</t>
  </si>
  <si>
    <t>RECEITAS (INTRAORÇAMENTÁRIAS) (II)</t>
  </si>
  <si>
    <t>17.545.424,53</t>
  </si>
  <si>
    <t>6.048.712,19</t>
  </si>
  <si>
    <t>34,47</t>
  </si>
  <si>
    <t>27.431.178,17</t>
  </si>
  <si>
    <t>156,34</t>
  </si>
  <si>
    <t>(9.885.753,64)</t>
  </si>
  <si>
    <t>SUBTOTAL DAS RECEITAS (III) = (I + II)</t>
  </si>
  <si>
    <t>140.361.710,27</t>
  </si>
  <si>
    <t>149.202.363,99</t>
  </si>
  <si>
    <t>33.926.961,48</t>
  </si>
  <si>
    <t>22,74</t>
  </si>
  <si>
    <t>103,14</t>
  </si>
  <si>
    <t>(4.686.295,44)</t>
  </si>
  <si>
    <t>FONTE: GOVBR - Responsabilidade Fiscal, SECRETARIA DE MUNICÍPIO DA FAZENDA, 27/Jan/2022, 13h e 17m.</t>
  </si>
  <si>
    <t>Página 2 de 3</t>
  </si>
  <si>
    <t>OPERAÇÕES DE CRÉDITO / REFINANCIAMENTO (IV)</t>
  </si>
  <si>
    <t>Operações de Crédito - Mercado Interno</t>
  </si>
  <si>
    <t>Operações de Crédito - Mercado Externo</t>
  </si>
  <si>
    <t>TOTAL DAS RECEITAS (V) = (III + IV)</t>
  </si>
  <si>
    <t>DÉFICIT (VI)¹</t>
  </si>
  <si>
    <t>TOTAL COM DÉFICIT (VII) = (V + VI)</t>
  </si>
  <si>
    <t>SALDOS DE EXERCÍCIOS ANTERIORES</t>
  </si>
  <si>
    <t>7.327.192,94</t>
  </si>
  <si>
    <t>Superávit Financeiro Utilizado para Créditos Adicionais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</si>
  <si>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</si>
  <si>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</si>
  <si>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</si>
  <si>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</si>
  <si>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</si>
  <si>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</si>
  <si>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</si>
  <si>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</si>
  <si>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</si>
  <si>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</si>
  <si>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</si>
  <si>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</si>
  <si>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110.886.712,01</t>
  </si>
  <si>
    <t>130.353.118,20</t>
  </si>
  <si>
    <t>23.853.505,53</t>
  </si>
  <si>
    <t>116.934.253,63</t>
  </si>
  <si>
    <t>13.418.864,57</t>
  </si>
  <si>
    <t>26.477.674,84</t>
  </si>
  <si>
    <t>115.102.698,92</t>
  </si>
  <si>
    <t>15.250.419,28</t>
  </si>
  <si>
    <t>110.922.787,80</t>
  </si>
  <si>
    <t>1.831.554,71</t>
  </si>
  <si>
    <t>DESPESAS CORRENTES</t>
  </si>
  <si>
    <t>106.197.640,80</t>
  </si>
  <si>
    <t>122.223.892,41</t>
  </si>
  <si>
    <t>22.666.031,65</t>
  </si>
  <si>
    <t>114.223.101,07</t>
  </si>
  <si>
    <t>8.000.791,34</t>
  </si>
  <si>
    <t>25.728.014,54</t>
  </si>
  <si>
    <t>113.262.489,95</t>
  </si>
  <si>
    <t>8.961.402,46</t>
  </si>
  <si>
    <t>109.349.368,31</t>
  </si>
  <si>
    <t>960.611,12</t>
  </si>
  <si>
    <t>PESSOAL E ENCARGOS SOCIAIS</t>
  </si>
  <si>
    <t>73.555.477,31</t>
  </si>
  <si>
    <t>78.710.268,49</t>
  </si>
  <si>
    <t>17.909.464,45</t>
  </si>
  <si>
    <t>75.529.351,36</t>
  </si>
  <si>
    <t>3.180.917,13</t>
  </si>
  <si>
    <t>17.966.734,93</t>
  </si>
  <si>
    <t>74.657.076,84</t>
  </si>
  <si>
    <t>JUROS E ENCARGOS DA DÍVIDA</t>
  </si>
  <si>
    <t>48.629,00</t>
  </si>
  <si>
    <t>73.524,60</t>
  </si>
  <si>
    <t>66.949,44</t>
  </si>
  <si>
    <t>6.575,16</t>
  </si>
  <si>
    <t>11.158,24</t>
  </si>
  <si>
    <t>OUTRAS DESPESAS CORRENTES</t>
  </si>
  <si>
    <t>32.593.534,49</t>
  </si>
  <si>
    <t>43.440.099,32</t>
  </si>
  <si>
    <t>4.756.567,20</t>
  </si>
  <si>
    <t>38.626.800,27</t>
  </si>
  <si>
    <t>4.813.299,05</t>
  </si>
  <si>
    <t>7.750.121,37</t>
  </si>
  <si>
    <t>37.666.189,15</t>
  </si>
  <si>
    <t>5.773.910,17</t>
  </si>
  <si>
    <t>34.625.342,03</t>
  </si>
  <si>
    <t>DESPESAS DE CAPITAL</t>
  </si>
  <si>
    <t>3.375.300,70</t>
  </si>
  <si>
    <t>8.129.224,61</t>
  </si>
  <si>
    <t>1.187.473,88</t>
  </si>
  <si>
    <t>2.711.152,56</t>
  </si>
  <si>
    <t>5.418.072,05</t>
  </si>
  <si>
    <t>749.660,30</t>
  </si>
  <si>
    <t>1.840.208,97</t>
  </si>
  <si>
    <t>6.289.015,64</t>
  </si>
  <si>
    <t>1.573.419,49</t>
  </si>
  <si>
    <t>870.943,59</t>
  </si>
  <si>
    <t>INVESTIMENTOS</t>
  </si>
  <si>
    <t>3.113.464,32</t>
  </si>
  <si>
    <t>8.116.820,23</t>
  </si>
  <si>
    <t>5.405.667,67</t>
  </si>
  <si>
    <t>6.276.611,26</t>
  </si>
  <si>
    <t>INVERSÕES FINANCEIRAS</t>
  </si>
  <si>
    <t>12.563,00</t>
  </si>
  <si>
    <t>11.583,00</t>
  </si>
  <si>
    <t>AMORTIZAÇÃO DA DÍVIDA</t>
  </si>
  <si>
    <t>249.273,38</t>
  </si>
  <si>
    <t>RESERVA DE CONTINGÊNCIA</t>
  </si>
  <si>
    <t>1.313.770,51</t>
  </si>
  <si>
    <t>DESPESAS (INTRAORÇAMENTÁRIAS) (IX)</t>
  </si>
  <si>
    <t>26.505.978,60</t>
  </si>
  <si>
    <t>25.802.688,22</t>
  </si>
  <si>
    <t>5.421.939,88</t>
  </si>
  <si>
    <t>24.122.436,26</t>
  </si>
  <si>
    <t>1.680.251,96</t>
  </si>
  <si>
    <t>22.558.201,37</t>
  </si>
  <si>
    <t>SUBTOTAL DAS DESPESAS (X) = (VIII + IX)</t>
  </si>
  <si>
    <t>137.392.690,61</t>
  </si>
  <si>
    <t>156.155.806,42</t>
  </si>
  <si>
    <t>29.275.445,41</t>
  </si>
  <si>
    <t>15.099.116,53</t>
  </si>
  <si>
    <t>31.899.614,72</t>
  </si>
  <si>
    <t>16.930.671,24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</si>
  <si>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</si>
  <si>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</si>
  <si>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</si>
  <si>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</si>
  <si>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</si>
  <si>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12.831.969,54</t>
  </si>
  <si>
    <t>14.663.524,25</t>
  </si>
  <si>
    <t>20.407.670,26</t>
  </si>
  <si>
    <t>TOTAL COM SUPERÁVIT (XIV) = (XII + XIII)</t>
  </si>
  <si>
    <t>RESERVA DO RPPS</t>
  </si>
  <si>
    <t>2.985.119,66</t>
  </si>
  <si>
    <t>1.523.281,66</t>
  </si>
  <si>
    <t>Página 3 de 3</t>
  </si>
  <si>
    <t>RECEITAS INTRAORÇAMENTÁRIAS</t>
  </si>
  <si>
    <t>Receitas Correntes Intraorçamentárias</t>
  </si>
  <si>
    <t>17.003.424,53</t>
  </si>
  <si>
    <t>35,57</t>
  </si>
  <si>
    <t>27.409.106,68</t>
  </si>
  <si>
    <t>(10.405.682,15)</t>
  </si>
  <si>
    <t>7.617.038,59</t>
  </si>
  <si>
    <t>2.545.806,57</t>
  </si>
  <si>
    <t>33,42</t>
  </si>
  <si>
    <t>12.293.558,97</t>
  </si>
  <si>
    <t>(4.676.520,38)</t>
  </si>
  <si>
    <t>9.386.385,94</t>
  </si>
  <si>
    <t>3.502.905,62</t>
  </si>
  <si>
    <t>37,32</t>
  </si>
  <si>
    <t>15.115.547,71</t>
  </si>
  <si>
    <t>(5.729.161,77)</t>
  </si>
  <si>
    <t>542.000,00</t>
  </si>
  <si>
    <t>22.071,49</t>
  </si>
  <si>
    <t>519.928,51</t>
  </si>
  <si>
    <t>DESPESAS INTRAORÇAMENTÁRIAS</t>
  </si>
  <si>
    <t>26.505.934,60</t>
  </si>
  <si>
    <t>25.802.644,22</t>
  </si>
  <si>
    <t>1.680.207,96</t>
  </si>
  <si>
    <t>24.634.803,56</t>
  </si>
  <si>
    <t>24.028.177,46</t>
  </si>
  <si>
    <t>5.149.759,13</t>
  </si>
  <si>
    <t>22.497.634,54</t>
  </si>
  <si>
    <t>1.530.542,92</t>
  </si>
  <si>
    <t>21.073.700,45</t>
  </si>
  <si>
    <t>2,00</t>
  </si>
  <si>
    <t>1.871.129,04</t>
  </si>
  <si>
    <t>1.774.464,76</t>
  </si>
  <si>
    <t>272.180,75</t>
  </si>
  <si>
    <t>1.624.801,72</t>
  </si>
  <si>
    <t>149.663,04</t>
  </si>
  <si>
    <t>1.484.500,92</t>
  </si>
  <si>
    <t>44,00</t>
  </si>
  <si>
    <t>1 O déficit será apurado pela diferença entre a receita realizada e a despesa liquidada nos cinco primeiros bimestres e a despesa empenhada no último bimestre.</t>
  </si>
  <si>
    <t>Página 1 de 5</t>
  </si>
  <si>
    <t>RELATÓRIO RESUMIDO DA EXECUÇÃO ORÇAMENTÁRIA</t>
  </si>
  <si>
    <t>DEMONSTRATIVO DAS RECEITAS E DESPESAS PREVIDENCIÁRIAS E DAS RECEITAS E DESPESAS ASSOCIADAS ÀS PENSÕES E INATIVOS MILITARES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</si>
  <si>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</si>
  <si>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</si>
  <si>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</si>
  <si>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</si>
  <si>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</si>
  <si>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</si>
  <si>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</si>
  <si>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25.237.106,94</t>
  </si>
  <si>
    <t>32.738.837,78</t>
  </si>
  <si>
    <t>Receita de Contribuições dos Segurados</t>
  </si>
  <si>
    <t>5.206.384,08</t>
  </si>
  <si>
    <t>Ativo</t>
  </si>
  <si>
    <t>3.914.085,33</t>
  </si>
  <si>
    <t>3.970.048,29</t>
  </si>
  <si>
    <t>Inativo</t>
  </si>
  <si>
    <t>20.075,63</t>
  </si>
  <si>
    <t>997.693,95</t>
  </si>
  <si>
    <t>Pensionista</t>
  </si>
  <si>
    <t>7.662,95</t>
  </si>
  <si>
    <t>238.641,84</t>
  </si>
  <si>
    <t>Receita de Contribuições Patronais</t>
  </si>
  <si>
    <t>6.266.399,10</t>
  </si>
  <si>
    <t>10.498.808,64</t>
  </si>
  <si>
    <t>6.217.865,80</t>
  </si>
  <si>
    <t>8.578.891,03</t>
  </si>
  <si>
    <t>34.754,23</t>
  </si>
  <si>
    <t>1.690.905,79</t>
  </si>
  <si>
    <t>13.779,07</t>
  </si>
  <si>
    <t>229.011,82</t>
  </si>
  <si>
    <t>5.623.474,12</t>
  </si>
  <si>
    <t>1.456.072,10</t>
  </si>
  <si>
    <t>Receitas Imobiliárias</t>
  </si>
  <si>
    <t>Receitas de Valores Mobiliários</t>
  </si>
  <si>
    <t>9.405.409,81</t>
  </si>
  <si>
    <t>15.577.572,96</t>
  </si>
  <si>
    <t>Compensação Financeira entre os regimes</t>
  </si>
  <si>
    <t>10.000,00</t>
  </si>
  <si>
    <t>462.025,25</t>
  </si>
  <si>
    <t>Aportes Periódicos para Amortização de Déficit Atuarial do RPPS (II)¹</t>
  </si>
  <si>
    <t>9.023,87</t>
  </si>
  <si>
    <t>RECEITAS DE CAPITAL (III)</t>
  </si>
  <si>
    <t>Alienação de Bens, Direitos e Ativos</t>
  </si>
  <si>
    <t>TOTAL DAS RECEITAS DO FUNDO EM CAPITALIZAÇÃO - (IV) = (I+III-II)</t>
  </si>
  <si>
    <t>15.850.721,00</t>
  </si>
  <si>
    <t>17.623.290,07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</si>
  <si>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</si>
  <si>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</si>
  <si>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</si>
  <si>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</si>
  <si>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</si>
  <si>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</si>
  <si>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</si>
  <si>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24.197.418,90</t>
  </si>
  <si>
    <t>24.197.417,52</t>
  </si>
  <si>
    <t>24.196.319,26</t>
  </si>
  <si>
    <t>Aposentadorias</t>
  </si>
  <si>
    <t>21.412.073,30</t>
  </si>
  <si>
    <t>21.412.072,82</t>
  </si>
  <si>
    <t>21.411.549,06</t>
  </si>
  <si>
    <t>Pensões por Morte</t>
  </si>
  <si>
    <t>2.785.345,60</t>
  </si>
  <si>
    <t>2.785.344,70</t>
  </si>
  <si>
    <t>2.784.770,20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</si>
  <si>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</si>
  <si>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</si>
  <si>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</si>
  <si>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</si>
  <si>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(8.346.697,90)</t>
  </si>
  <si>
    <t>(6.574.127,45)</t>
  </si>
  <si>
    <t>(6.573.029,19)</t>
  </si>
  <si>
    <t>FONTE: GOVBR - Responsabilidade Fiscal, SECRETARIA DE MUNICÍPIO DA FAZENDA, 27/Jan/2022, 13h e 20m.</t>
  </si>
  <si>
    <t>Página 2 de 5</t>
  </si>
  <si>
    <t>RECURSOS RPPS ARRECADADOS EM EXERCÍCIOS ANTERIORES</t>
  </si>
  <si>
    <t>PREVISÃO ORÇAMENTÁRIA</t>
  </si>
  <si>
    <t>RESERVA ORÇAMENTÁRIA DO RPPS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</si>
  <si>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</si>
  <si>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</si>
  <si>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</si>
  <si>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</si>
  <si>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</si>
  <si>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</si>
  <si>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</si>
  <si>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</si>
  <si>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</si>
  <si>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(57.970,57)</t>
  </si>
  <si>
    <t>Investimentos e Aplicações</t>
  </si>
  <si>
    <t>40.962.776,23</t>
  </si>
  <si>
    <t>Outros Bens e Direitos</t>
  </si>
  <si>
    <t>7.614.903,71</t>
  </si>
  <si>
    <t>Página 3 de 5</t>
  </si>
  <si>
    <t>FUNDO EM REPARTIÇÃO (PLANO FINANCEIRO)</t>
  </si>
  <si>
    <t>RECEITAS PREVIDENCIÁRIAS - RPPS (FUNDO EM REPARTIÇÃO)</t>
  </si>
  <si>
    <t>RECEITAS CORRENTES (VII)</t>
  </si>
  <si>
    <t>Compensação Previdenciária entre os regimes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</si>
  <si>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</si>
  <si>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</si>
  <si>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</si>
  <si>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</si>
  <si>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</si>
  <si>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</si>
  <si>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</si>
  <si>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</si>
  <si>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</si>
  <si>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</si>
  <si>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ADMINISTRAÇÃO DO REGIME PRÓPRIO DE PREVIDÊNICA DOS SERVIDORES - RPPS</t>
  </si>
  <si>
    <t>RECEITAS DA ADMINISTRAÇÃO - RPPS</t>
  </si>
  <si>
    <t>135.493,62</t>
  </si>
  <si>
    <t>193.063,62</t>
  </si>
  <si>
    <t>TOTAL DAS RECEITAS DA ADMINISTRAÇÃO RPPS (XII)</t>
  </si>
  <si>
    <t>DESPESAS DA ADMINISTRAÇÃO - RPPS</t>
  </si>
  <si>
    <t>DOTAÇÃO 
ATUALIZADA
(c)</t>
  </si>
  <si>
    <t>Despesas Correntes (XIII)</t>
  </si>
  <si>
    <t>71.520,00</t>
  </si>
  <si>
    <t>28.669,00</t>
  </si>
  <si>
    <t>18.869,00</t>
  </si>
  <si>
    <t>18.078,15</t>
  </si>
  <si>
    <t>9.800,00</t>
  </si>
  <si>
    <t>Pessoal e Encargos Sociais</t>
  </si>
  <si>
    <t>Demais Despesas Correntes</t>
  </si>
  <si>
    <t>71.510,00</t>
  </si>
  <si>
    <t>Despesas de Capital (XIV)</t>
  </si>
  <si>
    <t>18.480,00</t>
  </si>
  <si>
    <t>TOTAL DAS DESPESAS DA ADMINISTRAÇÃO RPPS (XV) = (XIII + XIV)</t>
  </si>
  <si>
    <t>90.000,00</t>
  </si>
  <si>
    <t>RESULTADO DA ADMINISTRAÇÃO RPPS (XVI) = (XII – XV)²</t>
  </si>
  <si>
    <t>45.493,62</t>
  </si>
  <si>
    <t>164.394,62</t>
  </si>
  <si>
    <t>174.194,62</t>
  </si>
  <si>
    <t>174.985,47</t>
  </si>
  <si>
    <t>Página 5 de 5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</si>
  <si>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</si>
  <si>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</si>
  <si>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</si>
  <si>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</si>
  <si>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</si>
  <si>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DESPESAS PREVIDENCIARIAS (BENEFÍCIOS MANTIDOS PELO TESOURO)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</si>
  <si>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</si>
  <si>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</si>
  <si>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</si>
  <si>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Demonstrativo dos Resultados Primário e Nominal</t>
  </si>
  <si>
    <t>RREO - ANEXO VI(LRF, art. 53, inciso III)</t>
  </si>
  <si>
    <t>ACIMA DA LINHA</t>
  </si>
  <si>
    <t>RECEITAS PRIMÁRIAS</t>
  </si>
  <si>
    <t>Até o Bimestre/2021</t>
  </si>
  <si>
    <t>RECEITAS CORRENTES(I)</t>
  </si>
  <si>
    <t>3.921.591,65</t>
  </si>
  <si>
    <t>4.395.729,66</t>
  </si>
  <si>
    <t>1.945.055,63</t>
  </si>
  <si>
    <t>3.664.813,66</t>
  </si>
  <si>
    <t>Outros Impostos, Taxas, e Contribuições de Melhoria</t>
  </si>
  <si>
    <t>569.769,48</t>
  </si>
  <si>
    <t>Aplicações Financeiras (II)</t>
  </si>
  <si>
    <t>21.148.856,54</t>
  </si>
  <si>
    <t>24.287.745,38</t>
  </si>
  <si>
    <t>22.409.830,01</t>
  </si>
  <si>
    <t>29.111.532,12</t>
  </si>
  <si>
    <t>2.323.787,00</t>
  </si>
  <si>
    <t>2.940.423,27</t>
  </si>
  <si>
    <t>736.320,00</t>
  </si>
  <si>
    <t>915.324,69</t>
  </si>
  <si>
    <t>130.791,45</t>
  </si>
  <si>
    <t>291.734,01</t>
  </si>
  <si>
    <t>314.187,94</t>
  </si>
  <si>
    <t>19.339.411,13</t>
  </si>
  <si>
    <t>13.766.642,87</t>
  </si>
  <si>
    <t>7.756.183,11</t>
  </si>
  <si>
    <t>2.873.539,33</t>
  </si>
  <si>
    <t>Outras Receitas Financeiras (III)</t>
  </si>
  <si>
    <t>697.164,51</t>
  </si>
  <si>
    <t>33.689,51</t>
  </si>
  <si>
    <t>Receitas Correntes Restantes</t>
  </si>
  <si>
    <t>7.059.018,60</t>
  </si>
  <si>
    <t>2.839.849,82</t>
  </si>
  <si>
    <t>RECEITAS PRIMÁRIAS CORRENTES (IV) = (I - II - III)</t>
  </si>
  <si>
    <t>123.003.547,09</t>
  </si>
  <si>
    <t>123.496.212,43</t>
  </si>
  <si>
    <t>RECEITAS DE CAPITAL (V)</t>
  </si>
  <si>
    <t>Operações de Crédito (VI)</t>
  </si>
  <si>
    <t>Amortização de Empréstimos (VII)</t>
  </si>
  <si>
    <t>Alienação de Bens</t>
  </si>
  <si>
    <t>Receitas de Alienação de Investimentos Temporários (VIII)</t>
  </si>
  <si>
    <t>Receitas de Alienação de Investimentos Permanentes (IX)</t>
  </si>
  <si>
    <t>Outras Alienações de Bens</t>
  </si>
  <si>
    <t>Convênios</t>
  </si>
  <si>
    <t>1.368.818,66</t>
  </si>
  <si>
    <t>Outras Transferências de Capital</t>
  </si>
  <si>
    <t>250.000,00</t>
  </si>
  <si>
    <t>Outras Receitas de Capital Não Primárias (X)</t>
  </si>
  <si>
    <t>Outras Receitas de Capital Primárias</t>
  </si>
  <si>
    <t>RECEITAS PRIMÁRIAS DE CAPITAL (XI) = (V - VI - VII - VIII - IX - X)</t>
  </si>
  <si>
    <t>1.632.319,10</t>
  </si>
  <si>
    <t>1.011.117,66</t>
  </si>
  <si>
    <t>RECEITA PRIMÁRIA TOTAL (XII) = (IV + XI)</t>
  </si>
  <si>
    <t>124.635.866,19</t>
  </si>
  <si>
    <t>124.507.330,09</t>
  </si>
  <si>
    <t>DESPESAS PRIMÁRIAS</t>
  </si>
  <si>
    <t>Restos a Pagar Processados Pagos</t>
  </si>
  <si>
    <t>Restos a Pagar não Processados</t>
  </si>
  <si>
    <t>Pagos (c)</t>
  </si>
  <si>
    <t>DESPESAS CORRENTES (XIII)</t>
  </si>
  <si>
    <t>1.905.930,47</t>
  </si>
  <si>
    <t>107.829,35</t>
  </si>
  <si>
    <t>223.114,49</t>
  </si>
  <si>
    <t>Juros e Encargos da Dívida (XIV)</t>
  </si>
  <si>
    <t>Outras Despesas Correntes</t>
  </si>
  <si>
    <t>1.682.815,98</t>
  </si>
  <si>
    <t>DESPESAS PRIMÁRIAS CORRENTES (XV) = (XIII - XIV)</t>
  </si>
  <si>
    <t>122.150.367,81</t>
  </si>
  <si>
    <t>114.156.151,63</t>
  </si>
  <si>
    <t>113.195.540,51</t>
  </si>
  <si>
    <t>109.282.418,87</t>
  </si>
  <si>
    <t>DESPESAS DE CAPITAL (XVI)</t>
  </si>
  <si>
    <t>340.646,18</t>
  </si>
  <si>
    <t>1.316.569,81</t>
  </si>
  <si>
    <t>1.262.199,66</t>
  </si>
  <si>
    <t>1.019.465,05</t>
  </si>
  <si>
    <t>965.094,90</t>
  </si>
  <si>
    <t>Concessão de Empréstimos e Financiamentos (XVII)</t>
  </si>
  <si>
    <t>101,00</t>
  </si>
  <si>
    <t>Aquisição de Título de Capital já Integralizado (XVIII)</t>
  </si>
  <si>
    <t>Aquisição de Título de Crédito (XIX)</t>
  </si>
  <si>
    <t>Demais Inversões Financeiras</t>
  </si>
  <si>
    <t>11.482,00</t>
  </si>
  <si>
    <t>Amortização da Dívida (XX)</t>
  </si>
  <si>
    <t>821,38</t>
  </si>
  <si>
    <t>297.104,76</t>
  </si>
  <si>
    <t>DESPESAS PRIMÁRIAS DE CAPITAL (XXI) = (XVI - XVII - XVIII - XIX - XX)</t>
  </si>
  <si>
    <t>8.128.302,23</t>
  </si>
  <si>
    <t>FONTE: GOVBR - Responsabilidade Fiscal, SECRETARIA DE MUNICÍPIO DA FAZENDA, 27/Jan/2022, 13h e 28m.</t>
  </si>
  <si>
    <t>Página 2 de 2</t>
  </si>
  <si>
    <t>RESERVA DE CONTINGÊNCIA (XXII)</t>
  </si>
  <si>
    <t>1,18</t>
  </si>
  <si>
    <t>DESPESA PRIMÁRIA TOTAL (XXIII) = (XV + XXI + XXII)</t>
  </si>
  <si>
    <t>130.278.671,22</t>
  </si>
  <si>
    <t>116.867.304,19</t>
  </si>
  <si>
    <t>115.035.749,48</t>
  </si>
  <si>
    <t>110.855.838,36</t>
  </si>
  <si>
    <t>2.246.576,65</t>
  </si>
  <si>
    <t>1.127.294,40</t>
  </si>
  <si>
    <t>1.072.924,25</t>
  </si>
  <si>
    <t>RESULTADO PRIMÁRIO - Acima da Linha (XXIV) = [XIIa - (XXIIIa +XXIIIb + XXIIIc)]</t>
  </si>
  <si>
    <t>10.331.990,83</t>
  </si>
  <si>
    <t>META FISCAL PARA O RESULTADO PRIMÁRIO</t>
  </si>
  <si>
    <t>VALOR CORRENTE</t>
  </si>
  <si>
    <t>Meta fixada no Anexo de Metas Fiscais da LDO para o exercício de referência</t>
  </si>
  <si>
    <t>126.749.255,05</t>
  </si>
  <si>
    <t>JUROS NOMINAIS</t>
  </si>
  <si>
    <t>VALOR INCORRIDO</t>
  </si>
  <si>
    <t>Juros, Encargos e Variações Monetárias Ativos (XXV)</t>
  </si>
  <si>
    <t>511.555,98</t>
  </si>
  <si>
    <t>Juros, Encargos e Variações Monetárias Passivos (XXVI)</t>
  </si>
  <si>
    <t>RESULTADO NOMINAL - Acima da Linha (XXVII) =  XXIV + (XXV - XXVI)</t>
  </si>
  <si>
    <t>10.776.597,37</t>
  </si>
  <si>
    <t>META FISCAL PARA O RESULTADO NOMINAL</t>
  </si>
  <si>
    <t>5.797.498,65</t>
  </si>
  <si>
    <t>ABAIXO DA LINHA</t>
  </si>
  <si>
    <t>CÁLCULO DO RESULTADO NOMINAL</t>
  </si>
  <si>
    <t>SALDO</t>
  </si>
  <si>
    <t>Em 31/Dez/2020</t>
  </si>
  <si>
    <t>Até o 6º Bimestre</t>
  </si>
  <si>
    <t>DÍVIDA CONSOLIDADA (XXVIII)</t>
  </si>
  <si>
    <t>1.674.324,20</t>
  </si>
  <si>
    <t>938.163,67</t>
  </si>
  <si>
    <t>DEDUÇÕES (XXIX)</t>
  </si>
  <si>
    <t>636.417,72</t>
  </si>
  <si>
    <t>632.454,62</t>
  </si>
  <si>
    <t>Disponibilidade de Caixa</t>
  </si>
  <si>
    <t>Disponibilidade de Caixa Bruta</t>
  </si>
  <si>
    <t>17.546.881,59</t>
  </si>
  <si>
    <t>20.648.054,22</t>
  </si>
  <si>
    <t>(-) Restos a Pagar Processados (XXX)</t>
  </si>
  <si>
    <t>26.650.439,28</t>
  </si>
  <si>
    <t>25.295.678,53</t>
  </si>
  <si>
    <t>Demais Haveres Financeiros</t>
  </si>
  <si>
    <t>DÍVIDA CONSOLIDADA LÍQUIDA (XXXI) = (XXVIII - XXIX)</t>
  </si>
  <si>
    <t>1.037.906,48</t>
  </si>
  <si>
    <t>305.709,05</t>
  </si>
  <si>
    <t>RESULTADO NOMINAL - Abaixo da Linha (XXXII) = (XXXIa - XXXIb)</t>
  </si>
  <si>
    <t>732.197,43</t>
  </si>
  <si>
    <t>AJUSTE METODOLÓGICO</t>
  </si>
  <si>
    <t>VARIAÇÃO SALDO RPP = (XXXIII) = (XXXa - XXXb)</t>
  </si>
  <si>
    <t>1.354.760,75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</si>
  <si>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</si>
  <si>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</si>
  <si>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</si>
  <si>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</si>
  <si>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AJUSTES RELATIVOS AO RPPS (XXXVII)</t>
  </si>
  <si>
    <t>OUTROS AJUSTES (XXXVIII)</t>
  </si>
  <si>
    <t>RESULTADO NOMINAL AJUSTADO - Abaixo da Linha (XXXIX) = (XXXII - XXXIII - IX + XXXIV + XXXV - XXXVI + XXXVII + XXXVIII)</t>
  </si>
  <si>
    <t>-622.563,32</t>
  </si>
  <si>
    <t>RESULTADO PRIMÁRIO - Abaixo da Linha (XL) = XXXIX - (XXV - XXVI)</t>
  </si>
  <si>
    <t>-1.067.169,86</t>
  </si>
  <si>
    <t>INFORMAÇÕES ADICIONAIS</t>
  </si>
  <si>
    <t>SALDO DE EXERCÍCIOS ANTERIORES</t>
  </si>
  <si>
    <t>Recursos Arrecadados em Exercícios Anteriores - RPPS</t>
  </si>
  <si>
    <t>Superávit Financeiro Utilizado para Abertura e Reabertura de Créditos Adicionais</t>
  </si>
  <si>
    <t>Página 1 de 1</t>
  </si>
  <si>
    <t>PREFEITURA MUNICIPAL DE CACAPAVA DO SUL-RS</t>
  </si>
  <si>
    <t>DEMONSTRATIVO DAS RECEITAS DE OPERAÇÕES DE CRÉDITO E DESPESAS DE CAPITAL (REGRA DE OURO)</t>
  </si>
  <si>
    <t>JANEIRO A DEZEMBRO 2021/BIMESTRE NOVEMBRO-DEZEMBRO</t>
  </si>
  <si>
    <t>RREO – ANEXO 9 (LRF, art.53, § 1º, inciso I)</t>
  </si>
  <si>
    <t>PREVISÃO ATUALIZADA</t>
  </si>
  <si>
    <t>SALDO NÃO REALIZADO</t>
  </si>
  <si>
    <t>(c) = (a-b)</t>
  </si>
  <si>
    <t>RECEITAS DE OPERAÇÕES DE CRÉDITO¹ (I)</t>
  </si>
  <si>
    <t>DOTAÇÃO ATUALIZADA</t>
  </si>
  <si>
    <t>SALDO NÃO EXECUTADO</t>
  </si>
  <si>
    <t>EMPENHADAS</t>
  </si>
  <si>
    <t>(e)</t>
  </si>
  <si>
    <t>(f)=(d-e)</t>
  </si>
  <si>
    <t>8.129.268,61</t>
  </si>
  <si>
    <t>5.418.116,05</t>
  </si>
  <si>
    <t>(-)Incentivos Fiscais a Contribuinte</t>
  </si>
  <si>
    <t>(-)Incentivos Fiscais a Contribuinte por Instituições Financeiras</t>
  </si>
  <si>
    <t>DESPESAS DE CAPITAL LÍQUIDA (II)</t>
  </si>
  <si>
    <t>RESULTADO PARA APURAÇÃO DA REGRA DE OURO (III)=(II–I)</t>
  </si>
  <si>
    <t>Notas:
¹ Operações de Crédito descritas na CF, art. 167, inciso III</t>
  </si>
  <si>
    <t>FONTE: GOVBR - Responsabilidade Fiscal, SECRETARIA DE MUNICÍPIO DA FAZENDA, 27/Jan/2022, 13h e 48m.</t>
  </si>
  <si>
    <t>Demonstrativo das Receitas e Despesas com Ações e Serviços Públicos de Saúde</t>
  </si>
  <si>
    <t>Janeiro a Dezembro 2021/Meses Janeiro-Dezembro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</si>
  <si>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</si>
  <si>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</si>
  <si>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</si>
  <si>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</si>
  <si>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</si>
  <si>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</si>
  <si>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97,13</t>
  </si>
  <si>
    <t>3.167.486,58</t>
  </si>
  <si>
    <t>3.176.327,65</t>
  </si>
  <si>
    <t>100,28</t>
  </si>
  <si>
    <t>Multas, Juros de Mora, Divida Ativa e Outros Encargos do IPTU</t>
  </si>
  <si>
    <t>869.967,25</t>
  </si>
  <si>
    <t>745.264,00</t>
  </si>
  <si>
    <t>85,67</t>
  </si>
  <si>
    <t>Receita Resultante do Imposto sobre Transmissão Inter Vivos - ITBI</t>
  </si>
  <si>
    <t>180,37</t>
  </si>
  <si>
    <t>1.060.847,40</t>
  </si>
  <si>
    <t>183,35</t>
  </si>
  <si>
    <t>Multas, Juros de Mora, Dívida Ativa e Outros Encargos do ITBI</t>
  </si>
  <si>
    <t>17.510,87</t>
  </si>
  <si>
    <t>Receita Resultante do Imposto sobre Serviços de Qualquer Natureza - ISS</t>
  </si>
  <si>
    <t>76,80</t>
  </si>
  <si>
    <t>5.602.856,40</t>
  </si>
  <si>
    <t>3.979.156,19</t>
  </si>
  <si>
    <t>71,02</t>
  </si>
  <si>
    <t>Multas, Juros de Mora, Dívida Ativa e Outros Encargos do ISS</t>
  </si>
  <si>
    <t>120.999,39</t>
  </si>
  <si>
    <t>416.573,47</t>
  </si>
  <si>
    <t>344,28</t>
  </si>
  <si>
    <t>Receita Resultante do Imposto sobre a Renda e Proventos de Qualquer Natureza Retido na Fonte – IRRF</t>
  </si>
  <si>
    <t>105,06</t>
  </si>
  <si>
    <t>RECEITA DE TRANSFERÊNCIAS CONSTITUCIONAIS E LEGAIS (II)</t>
  </si>
  <si>
    <t>55.930.423,28</t>
  </si>
  <si>
    <t>69.146.035,66</t>
  </si>
  <si>
    <t>123,63</t>
  </si>
  <si>
    <t>Cota-Parte FPM</t>
  </si>
  <si>
    <t>23.564.845,20</t>
  </si>
  <si>
    <t>27.519.983,01</t>
  </si>
  <si>
    <t>116,78</t>
  </si>
  <si>
    <t>Cota-Parte ITR</t>
  </si>
  <si>
    <t>1.144.155,65</t>
  </si>
  <si>
    <t>124,31</t>
  </si>
  <si>
    <t>Cota-Parte IPVA</t>
  </si>
  <si>
    <t>3.675.529,43</t>
  </si>
  <si>
    <t>126,54</t>
  </si>
  <si>
    <t>Cota-Parte ICMS</t>
  </si>
  <si>
    <t>36.413.632,58</t>
  </si>
  <si>
    <t>129,99</t>
  </si>
  <si>
    <t>Cota-Parte IPI-Exportação</t>
  </si>
  <si>
    <t>392.734,99</t>
  </si>
  <si>
    <t>107,70</t>
  </si>
  <si>
    <t>Compensações Financeiras Provenientes de Impostos e Transferências Constitucionais</t>
  </si>
  <si>
    <t>Desoneração ICMS - LC 87/1996</t>
  </si>
  <si>
    <t>Outras</t>
  </si>
  <si>
    <t>TOTAL DAS RECEITAS RESULTANTES DE IMPOSTOS E TRANFERÊNCIAS CONSTITUCIONAIS E LEGAIS - (III) = (I) + (II)</t>
  </si>
  <si>
    <t>70.258.323,31</t>
  </si>
  <si>
    <t>83.073.226,26</t>
  </si>
  <si>
    <t>118,24</t>
  </si>
  <si>
    <t>DESPESAS COM AÇÕES E SERVIÇOS PÚBLICOS DE SAÚDE (ASPS) –  POR SUBFUNÇÃO E CATEGORIA ECONÔMICA</t>
  </si>
  <si>
    <t>DOTAÇÃO
INICIAL</t>
  </si>
  <si>
    <t>DESPESAS PAGAS</t>
  </si>
  <si>
    <t>Inscritas em Restos a Pagar não Processados      (g)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</si>
  <si>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</si>
  <si>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</si>
  <si>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</si>
  <si>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</si>
  <si>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</si>
  <si>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</si>
  <si>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</si>
  <si>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3.376.172,48</t>
  </si>
  <si>
    <t>3.676.371,41</t>
  </si>
  <si>
    <t>3.676.358,74</t>
  </si>
  <si>
    <t>100,00</t>
  </si>
  <si>
    <t>3.666.744,15</t>
  </si>
  <si>
    <t>99,74</t>
  </si>
  <si>
    <t>Despesas Correntes</t>
  </si>
  <si>
    <t>Despesas de Capital</t>
  </si>
  <si>
    <t>ASSISTÊNCIA HOSPITALAR E AMBULATORIAL  (V)</t>
  </si>
  <si>
    <t>8.766.283,95</t>
  </si>
  <si>
    <t>9.409.563,85</t>
  </si>
  <si>
    <t>8.906.050,67</t>
  </si>
  <si>
    <t>94,65</t>
  </si>
  <si>
    <t>8.894.482,50</t>
  </si>
  <si>
    <t>94,53</t>
  </si>
  <si>
    <t>8.456.516,14</t>
  </si>
  <si>
    <t>89,87</t>
  </si>
  <si>
    <t>11.568,17</t>
  </si>
  <si>
    <t>8.766.279,95</t>
  </si>
  <si>
    <t>9.393.392,68</t>
  </si>
  <si>
    <t>8.890.007,17</t>
  </si>
  <si>
    <t>94,64</t>
  </si>
  <si>
    <t>8.452.040,81</t>
  </si>
  <si>
    <t>89,98</t>
  </si>
  <si>
    <t>16.171,17</t>
  </si>
  <si>
    <t>16.043,50</t>
  </si>
  <si>
    <t>99,21</t>
  </si>
  <si>
    <t>4.475,33</t>
  </si>
  <si>
    <t>27,67</t>
  </si>
  <si>
    <t>SUPORTE PROFILÁTICO E TERAPÊUTICO  (VI)</t>
  </si>
  <si>
    <t>403.453,40</t>
  </si>
  <si>
    <t>433.596,40</t>
  </si>
  <si>
    <t>431.283,23</t>
  </si>
  <si>
    <t>99,47</t>
  </si>
  <si>
    <t>418.253,15</t>
  </si>
  <si>
    <t>96,46</t>
  </si>
  <si>
    <t>VIGILÂNCIA SANITÁRIA  (VII)</t>
  </si>
  <si>
    <t>30.008,00</t>
  </si>
  <si>
    <t>50.008,00</t>
  </si>
  <si>
    <t>39,99</t>
  </si>
  <si>
    <t>30.007,00</t>
  </si>
  <si>
    <t>50.007,00</t>
  </si>
  <si>
    <t>1,00</t>
  </si>
  <si>
    <t>FONTE: GOVBR - Responsabilidade Fiscal, SECRETARIA DE MUNICÍPIO DA FAZENDA, 27/Jan/2022, 13h e 52m.</t>
  </si>
  <si>
    <t>VIGILÂNCIA EPIDEMIOLÓGICA (VIII)</t>
  </si>
  <si>
    <t>432.648,90</t>
  </si>
  <si>
    <t>375.260,90</t>
  </si>
  <si>
    <t>374.790,99</t>
  </si>
  <si>
    <t>99,87</t>
  </si>
  <si>
    <t>374.232,73</t>
  </si>
  <si>
    <t>99,73</t>
  </si>
  <si>
    <t>ALIMENTAÇÃO E NUTRIÇÃO (IX)</t>
  </si>
  <si>
    <t>OUTRAS SUBFUNÇÕES (X)</t>
  </si>
  <si>
    <t>7.143.703,20</t>
  </si>
  <si>
    <t>6.207.469,37</t>
  </si>
  <si>
    <t>6.152.479,00</t>
  </si>
  <si>
    <t>99,11</t>
  </si>
  <si>
    <t>6.151.436,40</t>
  </si>
  <si>
    <t>99,10</t>
  </si>
  <si>
    <t>5.701.398,80</t>
  </si>
  <si>
    <t>91,85</t>
  </si>
  <si>
    <t>1.042,60</t>
  </si>
  <si>
    <t>6.977.226,16</t>
  </si>
  <si>
    <t>6.045.991,33</t>
  </si>
  <si>
    <t>5.995.838,36</t>
  </si>
  <si>
    <t>99,17</t>
  </si>
  <si>
    <t>5.994.795,76</t>
  </si>
  <si>
    <t>99,15</t>
  </si>
  <si>
    <t>5.593.758,16</t>
  </si>
  <si>
    <t>92,52</t>
  </si>
  <si>
    <t>166.477,04</t>
  </si>
  <si>
    <t>161.478,04</t>
  </si>
  <si>
    <t>156.640,64</t>
  </si>
  <si>
    <t>97,00</t>
  </si>
  <si>
    <t>107.640,64</t>
  </si>
  <si>
    <t>TOTAL (XI) = (IV + V + VI + VII + VIII + IX + X)</t>
  </si>
  <si>
    <t>20.152.269,93</t>
  </si>
  <si>
    <t>97,07</t>
  </si>
  <si>
    <t>92,48</t>
  </si>
  <si>
    <t>12.610,77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</si>
  <si>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</si>
  <si>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</si>
  <si>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</si>
  <si>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</si>
  <si>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</si>
  <si>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</si>
  <si>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</si>
  <si>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</si>
  <si>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</si>
  <si>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</si>
  <si>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12.460.983,94</t>
  </si>
  <si>
    <t>Despesa Mínima a ser Aplicada em ASPS (XVII) = (III) x % (Lei Orgânica Municipal)</t>
  </si>
  <si>
    <t>Diferença entre o Valor Aplicado e a Despesa Mínima a ser Aplicada (XVIII) = (XVI (d ou e) - XVII)1</t>
  </si>
  <si>
    <t>7.099.978,69</t>
  </si>
  <si>
    <t>6.176.161,03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</si>
  <si>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</si>
  <si>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</si>
  <si>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23,55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</si>
  <si>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</si>
  <si>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</si>
  <si>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</si>
  <si>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</si>
  <si>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</si>
  <si>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</si>
  <si>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</si>
  <si>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</si>
  <si>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2020</t>
  </si>
  <si>
    <t>Diferença de limite não cumprido em 2019</t>
  </si>
  <si>
    <t>Diferença de limite não cumprido em Exercícios Anteriores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</si>
  <si>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</si>
  <si>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</si>
  <si>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</si>
  <si>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</si>
  <si>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>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</si>
  <si>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</si>
  <si>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</si>
  <si>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</si>
  <si>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</si>
  <si>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</si>
  <si>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</si>
  <si>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</si>
  <si>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</si>
  <si>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2021</t>
  </si>
  <si>
    <t>Empenhos de 2020</t>
  </si>
  <si>
    <t>Empenhos de 2019</t>
  </si>
  <si>
    <t>Empenhos de 2018</t>
  </si>
  <si>
    <t>Empenhos de 2017</t>
  </si>
  <si>
    <t>Empenhos de 2016</t>
  </si>
  <si>
    <t>Empenhos de 2015</t>
  </si>
  <si>
    <t>Empenhos de 2014</t>
  </si>
  <si>
    <t>Empenhos de 2013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</si>
  <si>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</si>
  <si>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</si>
  <si>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</si>
  <si>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</si>
  <si>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</si>
  <si>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</si>
  <si>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</si>
  <si>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</si>
  <si>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</si>
  <si>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</si>
  <si>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2020 a serem compensados (XXIV)</t>
  </si>
  <si>
    <t>Restos a pagar cancelados ou prescritos em 2019 a serem compensados (XXV)</t>
  </si>
  <si>
    <t>(8.249,07)</t>
  </si>
  <si>
    <t>Restos a pagar cancelados ou prescritos em exercícios anteriores a serem compensados (XXVI)</t>
  </si>
  <si>
    <t>(196.497,12)</t>
  </si>
  <si>
    <t>TOTAL DE RESTOS A PAGAR CANCELADOS OU PRESCRITOS A COMPENSAR (XXVII)</t>
  </si>
  <si>
    <t>(204.746,19)</t>
  </si>
  <si>
    <t>RECEITAS ADICIONAIS PARA O FINANCIAMENTO DA SAÚDE NÃO COMPUTADAS NO CÁLCULO DO MÍNIMO</t>
  </si>
  <si>
    <t>RECEITAS DE TRANSFERÊNCIAS PARA A SAÚDE  (XXVIII)</t>
  </si>
  <si>
    <t>4.921.837,12</t>
  </si>
  <si>
    <t>6.431.147,25</t>
  </si>
  <si>
    <t>8.087.506,87</t>
  </si>
  <si>
    <t>125,76</t>
  </si>
  <si>
    <t>Proveniente da União</t>
  </si>
  <si>
    <t>3.673.796,32</t>
  </si>
  <si>
    <t>4.685.868,54</t>
  </si>
  <si>
    <t>5.370.449,79</t>
  </si>
  <si>
    <t>114,61</t>
  </si>
  <si>
    <t>Proveniente dos Estados</t>
  </si>
  <si>
    <t>1.248.040,80</t>
  </si>
  <si>
    <t>1.745.278,71</t>
  </si>
  <si>
    <t>2.717.057,08</t>
  </si>
  <si>
    <t>155,68</t>
  </si>
  <si>
    <t>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</si>
  <si>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</si>
  <si>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</si>
  <si>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</si>
  <si>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</si>
  <si>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</si>
  <si>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Inscritas em Restos a Pagar não Processados (g)</t>
  </si>
  <si>
    <t>ATENÇÃO BÁSICA (XXXII)</t>
  </si>
  <si>
    <t>4.300.007,99</t>
  </si>
  <si>
    <t>6.183.063,67</t>
  </si>
  <si>
    <t>5.683.952,89</t>
  </si>
  <si>
    <t>91,93</t>
  </si>
  <si>
    <t>5.669.394,32</t>
  </si>
  <si>
    <t>91,69</t>
  </si>
  <si>
    <t>5.481.766,50</t>
  </si>
  <si>
    <t>88,66</t>
  </si>
  <si>
    <t>14.558,57</t>
  </si>
  <si>
    <t>4.182.900,79</t>
  </si>
  <si>
    <t>6.034.758,47</t>
  </si>
  <si>
    <t>5.647.970,22</t>
  </si>
  <si>
    <t>93,59</t>
  </si>
  <si>
    <t>5.641.731,65</t>
  </si>
  <si>
    <t>93,49</t>
  </si>
  <si>
    <t>5.454.103,83</t>
  </si>
  <si>
    <t>90,38</t>
  </si>
  <si>
    <t>6.238,57</t>
  </si>
  <si>
    <t>117.107,20</t>
  </si>
  <si>
    <t>148.305,20</t>
  </si>
  <si>
    <t>35.982,67</t>
  </si>
  <si>
    <t>24,26</t>
  </si>
  <si>
    <t>27.662,67</t>
  </si>
  <si>
    <t>18,65</t>
  </si>
  <si>
    <t>8.320,00</t>
  </si>
  <si>
    <t>ASSISTÊNCIA HOSPITALAR E AMBULATORIAL (XXXIII)</t>
  </si>
  <si>
    <t>1.240.090,51</t>
  </si>
  <si>
    <t>1.959.942,05</t>
  </si>
  <si>
    <t>1.896.009,20</t>
  </si>
  <si>
    <t>96,74</t>
  </si>
  <si>
    <t>1.823.019,31</t>
  </si>
  <si>
    <t>93,01</t>
  </si>
  <si>
    <t>1.545.457,50</t>
  </si>
  <si>
    <t>78,85</t>
  </si>
  <si>
    <t>72.989,89</t>
  </si>
  <si>
    <t>1.240.068,62</t>
  </si>
  <si>
    <t>1.832.029,20</t>
  </si>
  <si>
    <t>1.768.201,79</t>
  </si>
  <si>
    <t>1.761.691,36</t>
  </si>
  <si>
    <t>96,16</t>
  </si>
  <si>
    <t>1.484.129,55</t>
  </si>
  <si>
    <t>81,01</t>
  </si>
  <si>
    <t>6.510,43</t>
  </si>
  <si>
    <t>21,89</t>
  </si>
  <si>
    <t>127.912,85</t>
  </si>
  <si>
    <t>99,92</t>
  </si>
  <si>
    <t>47,95</t>
  </si>
  <si>
    <t>66.479,46</t>
  </si>
  <si>
    <t>SUPORTE PROFILÁTICO E TERAPÊUTICO (XXXIV)</t>
  </si>
  <si>
    <t>487.164,07</t>
  </si>
  <si>
    <t>545.164,07</t>
  </si>
  <si>
    <t>463.601,48</t>
  </si>
  <si>
    <t>85,04</t>
  </si>
  <si>
    <t>463.353,63</t>
  </si>
  <si>
    <t>84,99</t>
  </si>
  <si>
    <t>VIGILÂNCIA SANITÁRIA (XXXV)</t>
  </si>
  <si>
    <t>14.002,00</t>
  </si>
  <si>
    <t>31.002,00</t>
  </si>
  <si>
    <t>22.022,68</t>
  </si>
  <si>
    <t>71,04</t>
  </si>
  <si>
    <t>21.997,68</t>
  </si>
  <si>
    <t>70,96</t>
  </si>
  <si>
    <t>25,00</t>
  </si>
  <si>
    <t>VIGILÂNCIA EPIDEMIOLÓGICA (XXXVI)</t>
  </si>
  <si>
    <t>817.547,99</t>
  </si>
  <si>
    <t>2.470.676,17</t>
  </si>
  <si>
    <t>2.104.093,55</t>
  </si>
  <si>
    <t>85,16</t>
  </si>
  <si>
    <t>2.103.493,55</t>
  </si>
  <si>
    <t>85,14</t>
  </si>
  <si>
    <t>2.077.186,17</t>
  </si>
  <si>
    <t>84,07</t>
  </si>
  <si>
    <t>600,00</t>
  </si>
  <si>
    <t>817.545,69</t>
  </si>
  <si>
    <t>2.403.299,87</t>
  </si>
  <si>
    <t>2.066.623,55</t>
  </si>
  <si>
    <t>85,99</t>
  </si>
  <si>
    <t>2.066.023,55</t>
  </si>
  <si>
    <t>85,97</t>
  </si>
  <si>
    <t>2.039.716,17</t>
  </si>
  <si>
    <t>84,87</t>
  </si>
  <si>
    <t>2,30</t>
  </si>
  <si>
    <t>67.376,30</t>
  </si>
  <si>
    <t>37.470,00</t>
  </si>
  <si>
    <t>55,61</t>
  </si>
  <si>
    <t>ALIMENTAÇÃO E NUTRIÇÃO (XXXVII)</t>
  </si>
  <si>
    <t>OUTRAS SUBFUNÇÕES (XXXVIII)</t>
  </si>
  <si>
    <t>204.761,22</t>
  </si>
  <si>
    <t>723.833,91</t>
  </si>
  <si>
    <t>175.062,13</t>
  </si>
  <si>
    <t>24,19</t>
  </si>
  <si>
    <t>142.862,13</t>
  </si>
  <si>
    <t>19,74</t>
  </si>
  <si>
    <t>89.619,37</t>
  </si>
  <si>
    <t>12,38</t>
  </si>
  <si>
    <t>32.200,00</t>
  </si>
  <si>
    <t>12.281,35</t>
  </si>
  <si>
    <t>35.281,35</t>
  </si>
  <si>
    <t>19,62</t>
  </si>
  <si>
    <t>18,51</t>
  </si>
  <si>
    <t>192.479,87</t>
  </si>
  <si>
    <t>688.552,56</t>
  </si>
  <si>
    <t>168.141,38</t>
  </si>
  <si>
    <t>24,42</t>
  </si>
  <si>
    <t>135.941,38</t>
  </si>
  <si>
    <t>83.087,62</t>
  </si>
  <si>
    <t>12,07</t>
  </si>
  <si>
    <t>TOTAL DAS DESPESAS NÃO COMPUTADAS NO CÁLCULO DO MÍNIMO  (XXXIX) = (XXXII + XXXIII + XXXIV + XXXV + XXXVI + XXXVII + XXXVIII)</t>
  </si>
  <si>
    <t>7.063.573,78</t>
  </si>
  <si>
    <t>11.913.681,87</t>
  </si>
  <si>
    <t>10.344.741,93</t>
  </si>
  <si>
    <t>86,83</t>
  </si>
  <si>
    <t>10.224.368,47</t>
  </si>
  <si>
    <t>85,82</t>
  </si>
  <si>
    <t>9.679.380,85</t>
  </si>
  <si>
    <t>81,25</t>
  </si>
  <si>
    <t>120.373,46</t>
  </si>
  <si>
    <t>DESPESAS TOTAIS COM SAÚDE EXECUTADAS COM RECURSOS PRÓPRIOS E COM RECURSOS TRANSFERIDOS DE OUTROS ENTES</t>
  </si>
  <si>
    <t>ATENÇÃO BÁSICA (XL) = (IV + XXXII)</t>
  </si>
  <si>
    <t>7.676.180,47</t>
  </si>
  <si>
    <t>9.859.435,08</t>
  </si>
  <si>
    <t>9.360.311,63</t>
  </si>
  <si>
    <t>94,94</t>
  </si>
  <si>
    <t>9.345.753,06</t>
  </si>
  <si>
    <t>94,79</t>
  </si>
  <si>
    <t>9.148.510,65</t>
  </si>
  <si>
    <t>92,79</t>
  </si>
  <si>
    <t>ASSISTÊNCIA HOSPITALAR E AMBULATORIAL (XLI) = (V + XXXIII)</t>
  </si>
  <si>
    <t>10.006.374,46</t>
  </si>
  <si>
    <t>11.369.505,90</t>
  </si>
  <si>
    <t>10.802.059,87</t>
  </si>
  <si>
    <t>95,01</t>
  </si>
  <si>
    <t>10.717.501,81</t>
  </si>
  <si>
    <t>94,27</t>
  </si>
  <si>
    <t>10.001.973,64</t>
  </si>
  <si>
    <t>87,97</t>
  </si>
  <si>
    <t>84.558,06</t>
  </si>
  <si>
    <t>SUPORTE PROFILÁTICO E TERAPÊUTICO (XLII) = (VI + XXXIV)</t>
  </si>
  <si>
    <t>890.617,47</t>
  </si>
  <si>
    <t>978.760,47</t>
  </si>
  <si>
    <t>894.884,71</t>
  </si>
  <si>
    <t>91,43</t>
  </si>
  <si>
    <t>881.606,78</t>
  </si>
  <si>
    <t>90,07</t>
  </si>
  <si>
    <t>VIGILÂNCIA SANITÁRIA (XLIII) = (VII + XXXV)</t>
  </si>
  <si>
    <t>44.010,00</t>
  </si>
  <si>
    <t>81.010,00</t>
  </si>
  <si>
    <t>42.022,68</t>
  </si>
  <si>
    <t>51,87</t>
  </si>
  <si>
    <t>41.997,68</t>
  </si>
  <si>
    <t>51,84</t>
  </si>
  <si>
    <t>VIGILÂNCIA EPIDEMIOLÓGICA (XLIV) = (VIII + XXXVI)</t>
  </si>
  <si>
    <t>1.250.196,89</t>
  </si>
  <si>
    <t>2.845.937,07</t>
  </si>
  <si>
    <t>2.478.884,54</t>
  </si>
  <si>
    <t>87,10</t>
  </si>
  <si>
    <t>2.478.284,54</t>
  </si>
  <si>
    <t>87,08</t>
  </si>
  <si>
    <t>2.451.418,90</t>
  </si>
  <si>
    <t>86,14</t>
  </si>
  <si>
    <t>ALIMENTAÇÃO E NUTRIÇÃO (XLV) = (XIX + XXXVII)</t>
  </si>
  <si>
    <t>7.348.464,42</t>
  </si>
  <si>
    <t>6.931.303,28</t>
  </si>
  <si>
    <t>6.327.541,13</t>
  </si>
  <si>
    <t>91,29</t>
  </si>
  <si>
    <t>6.294.298,53</t>
  </si>
  <si>
    <t>90,81</t>
  </si>
  <si>
    <t>5.791.018,17</t>
  </si>
  <si>
    <t>83,55</t>
  </si>
  <si>
    <t>33.242,60</t>
  </si>
  <si>
    <t>TOTAL DAS DESPESAS COM SAÚDE (XLVII) = (XI + XXXIX)</t>
  </si>
  <si>
    <t>27.215.843,71</t>
  </si>
  <si>
    <t>32.065.951,80</t>
  </si>
  <si>
    <t>29.905.704,56</t>
  </si>
  <si>
    <t>93,26</t>
  </si>
  <si>
    <t>29.772.720,33</t>
  </si>
  <si>
    <t>92,85</t>
  </si>
  <si>
    <t>28.316.525,82</t>
  </si>
  <si>
    <t>88,31</t>
  </si>
  <si>
    <t>132.984,23</t>
  </si>
  <si>
    <t>(-) Despesas executadas com recursos provenientes das transferências de recursos de outros entes³</t>
  </si>
  <si>
    <t>7.063.564,78</t>
  </si>
  <si>
    <t>11.913.672,87</t>
  </si>
  <si>
    <t>TOTAL DAS DESPESAS EXECUTADAS COM RECURSOS PRÓPRIOS (XLVIII)</t>
  </si>
  <si>
    <t>20.152.278,93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</si>
  <si>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</si>
  <si>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</si>
  <si>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</si>
  <si>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³Essas despesas são consideradas executadas pelo ente transferidor.</t>
  </si>
  <si>
    <t>DEMONSTRATIVO DAS PARCERIAS PÚBLICO-PRIVADAS</t>
  </si>
  <si>
    <t>Janeiro a Dezembro/2021</t>
  </si>
  <si>
    <t>RREO - Anexo 13 (Lei nº 11.079, de 30.12.2004, arts. 22, 25 e 28)</t>
  </si>
  <si>
    <t>Em reais</t>
  </si>
  <si>
    <t>IMPACTOS DAS CONTRATAÇÕES DE PPP</t>
  </si>
  <si>
    <t>SALDO TOTAL EM</t>
  </si>
  <si>
    <t>REGISTROS EFETUADOS EM</t>
  </si>
  <si>
    <t>31 DE DEZEMBRO DO</t>
  </si>
  <si>
    <t>EXERCÍCIO ANTERIOR</t>
  </si>
  <si>
    <t>No bimestre</t>
  </si>
  <si>
    <t>TOTAL DE ATIVOS</t>
  </si>
  <si>
    <t xml:space="preserve">   Ativos Constituídos pela SPE</t>
  </si>
  <si>
    <t>TOTAL DE PASSIVOS</t>
  </si>
  <si>
    <t xml:space="preserve">   Obrigações decorrentes de Ativos Constituídos pela SPE</t>
  </si>
  <si>
    <t xml:space="preserve">   Provisões de PPP</t>
  </si>
  <si>
    <t xml:space="preserve">   Outros Passivos</t>
  </si>
  <si>
    <t>ATOS POTENCIAIS PASSIVOS</t>
  </si>
  <si>
    <t xml:space="preserve">   Obrigações contratuais</t>
  </si>
  <si>
    <t xml:space="preserve">   Riscos não Provisionados</t>
  </si>
  <si>
    <t xml:space="preserve">   Garantias concedidas</t>
  </si>
  <si>
    <t xml:space="preserve">   Outros Passivos Contingentes</t>
  </si>
  <si>
    <t>DESPESAS DE PPP</t>
  </si>
  <si>
    <t>EXERCÍCIO</t>
  </si>
  <si>
    <t>ANTERIOR</t>
  </si>
  <si>
    <t>CORRENTE</t>
  </si>
  <si>
    <t>DO ENTE FEDERADO, EXCETO ESTATAIS NÃO DEPENDENTES (I) = (I.1 + I.2)</t>
  </si>
  <si>
    <t xml:space="preserve">   Contratadas(I.1)</t>
  </si>
  <si>
    <t xml:space="preserve">   A contratar (I.2)</t>
  </si>
  <si>
    <t>DAS ESTATAIS NÃO-DEPENDENTES (II) = (II.1 + II.2)</t>
  </si>
  <si>
    <t xml:space="preserve">   Contratadas (II.1)</t>
  </si>
  <si>
    <t xml:space="preserve"> 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</si>
  <si>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</si>
  <si>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</si>
  <si>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</si>
  <si>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</si>
  <si>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PREFEITURA MUNICIPAL DE CACAPAVA DO SUL - RS</t>
  </si>
  <si>
    <t>DEMONSTRATIVO DA RECEITA DE ALIENAÇÃO DE ATIVOS E APLICAÇÃO DOS RECURSOS</t>
  </si>
  <si>
    <t>RREO - ANEXO 11 (LRF, art. 53, § 1º, inciso III)</t>
  </si>
  <si>
    <t>(c)=(a-b)</t>
  </si>
  <si>
    <t>RECEITAS DE ALIENAÇÃO DE ATIVOS (I)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</si>
  <si>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</si>
  <si>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</si>
  <si>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</si>
  <si>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</si>
  <si>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PAGAMENTO</t>
  </si>
  <si>
    <t>PAGAS</t>
  </si>
  <si>
    <t>INSCRITAS EM RESTOS A</t>
  </si>
  <si>
    <t>DE RESTOS A PAGAR</t>
  </si>
  <si>
    <t>PAGAR NÃO PROCESSADOS</t>
  </si>
  <si>
    <t>(h)=(d-e)</t>
  </si>
  <si>
    <t>APLICAÇÃO DOS RECURSOS DA ALIENAÇÃO DE ATIVOS (II)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</si>
  <si>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</si>
  <si>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</si>
  <si>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</si>
  <si>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</si>
  <si>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</si>
  <si>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</si>
  <si>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30% - 2245 MDE</t>
  </si>
  <si>
    <t>2.123 Reforma</t>
  </si>
  <si>
    <t>O saldo inicial das aplicações do FAPS/RPPS em 1º de janeiro de 2021 nos bancos totalizavam o montante de:</t>
  </si>
  <si>
    <t>Os Rendimemtos líquidos das aplicações finanaceiras do FAPS/RPPS totalizaram em 31 de dezembro/2021:</t>
  </si>
  <si>
    <t>temos a Perda de</t>
  </si>
  <si>
    <t>Num Aplicação:</t>
  </si>
  <si>
    <t>Portanto nas aplicaçôes do FAPS tivemos perdas maiores que se tivessem sidos aplicados na Poupança.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</si>
</sst>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_(* #,##0.00_);_(* \(#,##0.00\);_(* &quot;-&quot;??_);_(@_)"/>
    <numFmt numFmtId="165" formatCode="###,###,###,##0.00"/>
    <numFmt numFmtId="166" formatCode="##0.00"/>
    <numFmt numFmtId="167" formatCode="_(\ #,##0.00_);_(\ \-#,##0.00_);_(\ \-\ ??_);_(@_)"/>
    <numFmt numFmtId="168" formatCode="#,##0.00_ ;\-#,##0.00\ "/>
    <numFmt numFmtId="169" formatCode="#,##0.00;\(#,##0.00\)"/>
    <numFmt numFmtId="170" formatCode="&quot;R$&quot;#,##0.00;\(&quot;R$&quot;#,##0.00\)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name val="Arial"/>
      <family val="2"/>
    </font>
    <font>
      <sz val="8"/>
      <color indexed="63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6"/>
      <name val="Arial"/>
      <family val="2"/>
    </font>
    <font>
      <sz val="6"/>
      <color rgb="FFFF0000"/>
      <name val="Arial"/>
      <family val="2"/>
    </font>
    <font>
      <u/>
      <sz val="6"/>
      <name val="Arial"/>
      <family val="2"/>
    </font>
    <font>
      <b/>
      <u/>
      <sz val="6"/>
      <name val="Arial"/>
      <family val="2"/>
    </font>
    <font>
      <b/>
      <u/>
      <sz val="6"/>
      <color rgb="FFFF0000"/>
      <name val="Arial"/>
      <family val="2"/>
    </font>
    <font>
      <u/>
      <sz val="6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9"/>
      <name val="Arial"/>
      <family val="2"/>
    </font>
    <font>
      <b/>
      <sz val="7"/>
      <name val="Arial"/>
      <family val="2"/>
    </font>
    <font>
      <b/>
      <u/>
      <sz val="8"/>
      <name val="Times New Roman"/>
      <family val="1"/>
    </font>
    <font>
      <b/>
      <u val="singleAccounting"/>
      <sz val="8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6"/>
      <name val="Calibri"/>
      <family val="2"/>
    </font>
    <font>
      <sz val="6"/>
      <color indexed="63"/>
      <name val="Times New Roman"/>
      <family val="1"/>
    </font>
    <font>
      <b/>
      <sz val="6"/>
      <color rgb="FF000000"/>
      <name val="Calibri"/>
      <family val="2"/>
    </font>
    <font>
      <vertAlign val="superscript"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7"/>
      <color rgb="FFFF0000"/>
      <name val="Arial"/>
      <family val="2"/>
    </font>
    <font>
      <b/>
      <sz val="7"/>
      <color theme="1"/>
      <name val="Calibri"/>
      <family val="2"/>
      <scheme val="minor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u/>
      <sz val="6"/>
      <color rgb="FF000000"/>
      <name val="Arial"/>
      <family val="2"/>
    </font>
    <font>
      <sz val="6"/>
      <color rgb="FF000000"/>
      <name val="Arial Narrow"/>
      <family val="2"/>
    </font>
    <font>
      <sz val="8"/>
      <color rgb="FF000000"/>
      <name val="Arial"/>
    </font>
    <font>
      <sz val="7"/>
      <color rgb="FF000000"/>
      <name val="Arial"/>
      <charset val="1"/>
    </font>
    <font>
      <b/>
      <sz val="8"/>
      <color rgb="FF000000"/>
      <name val="Arial"/>
    </font>
    <font>
      <b/>
      <sz val="6"/>
      <color rgb="FF000000"/>
      <name val="Arial"/>
      <charset val="1"/>
    </font>
    <font>
      <sz val="6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Arial"/>
      <charset val="1"/>
    </font>
    <font>
      <sz val="7"/>
      <color rgb="FF000000"/>
      <name val="Times New Roman"/>
      <charset val="1"/>
    </font>
    <font>
      <b/>
      <u/>
      <sz val="7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7"/>
      <color rgb="FF000000"/>
      <name val="Arial"/>
      <charset val="1"/>
    </font>
    <font>
      <b/>
      <u/>
      <sz val="6"/>
      <color rgb="FF000000"/>
      <name val="Arial"/>
    </font>
    <font>
      <sz val="6"/>
      <color rgb="FF000000"/>
      <name val="Arial"/>
    </font>
    <font>
      <sz val="8"/>
      <color rgb="FFFFFFFF"/>
      <name val="Arial"/>
      <charset val="1"/>
    </font>
    <font>
      <b/>
      <u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11" xfId="0" applyFont="1" applyBorder="1"/>
    <xf numFmtId="0" fontId="2" fillId="0" borderId="13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43" fontId="3" fillId="0" borderId="1" xfId="1" applyFont="1" applyBorder="1"/>
    <xf numFmtId="43" fontId="3" fillId="0" borderId="1" xfId="0" applyNumberFormat="1" applyFont="1" applyBorder="1"/>
    <xf numFmtId="43" fontId="2" fillId="0" borderId="1" xfId="0" applyNumberFormat="1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2" xfId="0" applyFont="1" applyBorder="1"/>
    <xf numFmtId="0" fontId="4" fillId="0" borderId="3" xfId="0" applyFont="1" applyBorder="1"/>
    <xf numFmtId="0" fontId="8" fillId="0" borderId="0" xfId="0" applyFont="1"/>
    <xf numFmtId="0" fontId="4" fillId="0" borderId="19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17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8" xfId="0" applyFont="1" applyBorder="1"/>
    <xf numFmtId="0" fontId="8" fillId="0" borderId="2" xfId="0" applyFont="1" applyBorder="1"/>
    <xf numFmtId="0" fontId="8" fillId="0" borderId="19" xfId="0" applyFont="1" applyBorder="1"/>
    <xf numFmtId="0" fontId="8" fillId="0" borderId="3" xfId="0" applyFont="1" applyBorder="1"/>
    <xf numFmtId="0" fontId="4" fillId="0" borderId="0" xfId="0" applyFont="1" applyBorder="1"/>
    <xf numFmtId="0" fontId="8" fillId="0" borderId="13" xfId="0" applyFont="1" applyBorder="1"/>
    <xf numFmtId="0" fontId="8" fillId="0" borderId="0" xfId="0" applyFont="1" applyBorder="1"/>
    <xf numFmtId="17" fontId="5" fillId="0" borderId="20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8" fillId="0" borderId="9" xfId="0" applyFont="1" applyBorder="1"/>
    <xf numFmtId="0" fontId="5" fillId="0" borderId="18" xfId="0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64" fontId="5" fillId="0" borderId="1" xfId="1" applyNumberFormat="1" applyFont="1" applyBorder="1"/>
    <xf numFmtId="164" fontId="8" fillId="0" borderId="9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8" fillId="0" borderId="1" xfId="1" applyFont="1" applyBorder="1"/>
    <xf numFmtId="43" fontId="8" fillId="0" borderId="1" xfId="0" applyNumberFormat="1" applyFont="1" applyBorder="1"/>
    <xf numFmtId="43" fontId="4" fillId="0" borderId="1" xfId="1" applyFont="1" applyBorder="1"/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9" fillId="0" borderId="0" xfId="0" applyFont="1" applyProtection="1">
      <protection hidden="1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9" fillId="0" borderId="0" xfId="0" applyFont="1"/>
    <xf numFmtId="0" fontId="10" fillId="0" borderId="0" xfId="0" applyFont="1" applyAlignment="1" applyProtection="1">
      <alignment horizontal="center"/>
      <protection hidden="1"/>
    </xf>
    <xf numFmtId="0" fontId="5" fillId="0" borderId="0" xfId="0" applyFont="1"/>
    <xf numFmtId="4" fontId="5" fillId="0" borderId="0" xfId="0" applyNumberFormat="1" applyFont="1"/>
    <xf numFmtId="164" fontId="5" fillId="0" borderId="0" xfId="1" applyNumberFormat="1" applyFont="1"/>
    <xf numFmtId="164" fontId="7" fillId="0" borderId="1" xfId="1" applyNumberFormat="1" applyFont="1" applyBorder="1"/>
    <xf numFmtId="0" fontId="5" fillId="0" borderId="0" xfId="0" applyFont="1" applyBorder="1" applyAlignment="1">
      <alignment horizontal="center"/>
    </xf>
    <xf numFmtId="0" fontId="11" fillId="0" borderId="0" xfId="0" applyFont="1"/>
    <xf numFmtId="43" fontId="0" fillId="0" borderId="0" xfId="1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12" fillId="0" borderId="1" xfId="0" applyFont="1" applyBorder="1"/>
    <xf numFmtId="4" fontId="13" fillId="0" borderId="1" xfId="0" applyNumberFormat="1" applyFont="1" applyBorder="1"/>
    <xf numFmtId="4" fontId="14" fillId="0" borderId="1" xfId="0" applyNumberFormat="1" applyFont="1" applyBorder="1" applyAlignment="1">
      <alignment horizontal="right"/>
    </xf>
    <xf numFmtId="43" fontId="2" fillId="0" borderId="1" xfId="1" applyNumberFormat="1" applyFont="1" applyBorder="1"/>
    <xf numFmtId="4" fontId="12" fillId="0" borderId="15" xfId="0" applyNumberFormat="1" applyFont="1" applyBorder="1"/>
    <xf numFmtId="0" fontId="12" fillId="0" borderId="14" xfId="0" applyFont="1" applyFill="1" applyBorder="1"/>
    <xf numFmtId="43" fontId="2" fillId="0" borderId="0" xfId="1" applyNumberFormat="1" applyFont="1"/>
    <xf numFmtId="0" fontId="12" fillId="0" borderId="0" xfId="0" applyFont="1" applyFill="1" applyBorder="1"/>
    <xf numFmtId="43" fontId="3" fillId="0" borderId="0" xfId="1" applyNumberFormat="1" applyFont="1" applyAlignment="1">
      <alignment horizontal="center"/>
    </xf>
    <xf numFmtId="4" fontId="15" fillId="0" borderId="1" xfId="0" applyNumberFormat="1" applyFont="1" applyBorder="1"/>
    <xf numFmtId="164" fontId="12" fillId="0" borderId="1" xfId="1" applyNumberFormat="1" applyFont="1" applyBorder="1"/>
    <xf numFmtId="4" fontId="12" fillId="0" borderId="1" xfId="0" applyNumberFormat="1" applyFont="1" applyBorder="1"/>
    <xf numFmtId="0" fontId="16" fillId="0" borderId="0" xfId="0" applyFont="1" applyAlignment="1">
      <alignment horizontal="right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64" fontId="16" fillId="0" borderId="0" xfId="1" applyNumberFormat="1" applyFont="1" applyAlignment="1">
      <alignment horizontal="center"/>
    </xf>
    <xf numFmtId="164" fontId="16" fillId="0" borderId="0" xfId="1" applyNumberFormat="1" applyFont="1"/>
    <xf numFmtId="4" fontId="17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4" fontId="5" fillId="0" borderId="1" xfId="0" applyNumberFormat="1" applyFont="1" applyBorder="1"/>
    <xf numFmtId="4" fontId="17" fillId="0" borderId="1" xfId="0" applyNumberFormat="1" applyFont="1" applyBorder="1"/>
    <xf numFmtId="164" fontId="17" fillId="0" borderId="1" xfId="1" applyNumberFormat="1" applyFont="1" applyBorder="1"/>
    <xf numFmtId="4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4" fontId="18" fillId="0" borderId="1" xfId="0" applyNumberFormat="1" applyFont="1" applyBorder="1"/>
    <xf numFmtId="4" fontId="19" fillId="0" borderId="1" xfId="0" applyNumberFormat="1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0" fontId="16" fillId="0" borderId="0" xfId="0" applyFont="1"/>
    <xf numFmtId="0" fontId="16" fillId="0" borderId="0" xfId="0" applyFont="1" applyBorder="1"/>
    <xf numFmtId="4" fontId="18" fillId="0" borderId="0" xfId="0" applyNumberFormat="1" applyFont="1" applyBorder="1"/>
    <xf numFmtId="4" fontId="19" fillId="0" borderId="0" xfId="0" applyNumberFormat="1" applyFont="1" applyBorder="1"/>
    <xf numFmtId="4" fontId="20" fillId="0" borderId="0" xfId="0" applyNumberFormat="1" applyFont="1" applyBorder="1"/>
    <xf numFmtId="4" fontId="16" fillId="0" borderId="0" xfId="0" applyNumberFormat="1" applyFont="1"/>
    <xf numFmtId="10" fontId="20" fillId="0" borderId="0" xfId="2" applyNumberFormat="1" applyFont="1" applyBorder="1" applyAlignment="1">
      <alignment horizontal="center"/>
    </xf>
    <xf numFmtId="0" fontId="16" fillId="0" borderId="2" xfId="0" applyFont="1" applyBorder="1"/>
    <xf numFmtId="4" fontId="19" fillId="0" borderId="0" xfId="0" applyNumberFormat="1" applyFont="1"/>
    <xf numFmtId="0" fontId="19" fillId="0" borderId="0" xfId="0" applyFont="1"/>
    <xf numFmtId="3" fontId="5" fillId="0" borderId="0" xfId="0" applyNumberFormat="1" applyFont="1"/>
    <xf numFmtId="2" fontId="5" fillId="0" borderId="0" xfId="0" applyNumberFormat="1" applyFont="1" applyAlignment="1">
      <alignment horizontal="center"/>
    </xf>
    <xf numFmtId="43" fontId="5" fillId="0" borderId="0" xfId="0" applyNumberFormat="1" applyFont="1"/>
    <xf numFmtId="0" fontId="16" fillId="0" borderId="1" xfId="0" applyFont="1" applyBorder="1" applyAlignment="1">
      <alignment horizontal="right"/>
    </xf>
    <xf numFmtId="4" fontId="16" fillId="0" borderId="1" xfId="0" applyNumberFormat="1" applyFont="1" applyBorder="1"/>
    <xf numFmtId="0" fontId="16" fillId="0" borderId="19" xfId="0" applyFont="1" applyBorder="1" applyAlignment="1">
      <alignment horizontal="center"/>
    </xf>
    <xf numFmtId="0" fontId="16" fillId="0" borderId="19" xfId="0" applyFont="1" applyBorder="1"/>
    <xf numFmtId="2" fontId="16" fillId="0" borderId="19" xfId="0" applyNumberFormat="1" applyFont="1" applyBorder="1" applyAlignment="1">
      <alignment horizontal="center"/>
    </xf>
    <xf numFmtId="164" fontId="17" fillId="0" borderId="19" xfId="1" applyNumberFormat="1" applyFont="1" applyBorder="1" applyAlignment="1">
      <alignment horizontal="center"/>
    </xf>
    <xf numFmtId="164" fontId="5" fillId="0" borderId="19" xfId="1" applyNumberFormat="1" applyFont="1" applyBorder="1" applyAlignment="1">
      <alignment horizontal="center"/>
    </xf>
    <xf numFmtId="10" fontId="16" fillId="0" borderId="0" xfId="0" applyNumberFormat="1" applyFont="1"/>
    <xf numFmtId="10" fontId="5" fillId="0" borderId="0" xfId="2" applyNumberFormat="1" applyFont="1"/>
    <xf numFmtId="10" fontId="5" fillId="0" borderId="0" xfId="0" applyNumberFormat="1" applyFont="1"/>
    <xf numFmtId="43" fontId="16" fillId="0" borderId="0" xfId="0" applyNumberFormat="1" applyFont="1" applyAlignment="1">
      <alignment horizontal="right"/>
    </xf>
    <xf numFmtId="4" fontId="16" fillId="0" borderId="19" xfId="0" applyNumberFormat="1" applyFont="1" applyBorder="1"/>
    <xf numFmtId="0" fontId="16" fillId="0" borderId="19" xfId="0" applyFont="1" applyBorder="1" applyAlignment="1">
      <alignment horizontal="right"/>
    </xf>
    <xf numFmtId="10" fontId="16" fillId="0" borderId="19" xfId="2" applyNumberFormat="1" applyFont="1" applyBorder="1"/>
    <xf numFmtId="0" fontId="22" fillId="0" borderId="0" xfId="0" applyFont="1" applyAlignment="1">
      <alignment horizontal="center"/>
    </xf>
    <xf numFmtId="0" fontId="12" fillId="0" borderId="0" xfId="0" applyFont="1"/>
    <xf numFmtId="164" fontId="9" fillId="0" borderId="0" xfId="1" applyNumberFormat="1" applyFont="1"/>
    <xf numFmtId="0" fontId="9" fillId="0" borderId="8" xfId="0" applyFont="1" applyBorder="1"/>
    <xf numFmtId="0" fontId="9" fillId="0" borderId="1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/>
    <xf numFmtId="0" fontId="9" fillId="0" borderId="0" xfId="0" applyFont="1" applyBorder="1"/>
    <xf numFmtId="4" fontId="9" fillId="0" borderId="10" xfId="0" applyNumberFormat="1" applyFont="1" applyBorder="1"/>
    <xf numFmtId="4" fontId="24" fillId="0" borderId="0" xfId="0" applyNumberFormat="1" applyFont="1" applyBorder="1"/>
    <xf numFmtId="164" fontId="9" fillId="0" borderId="8" xfId="1" applyNumberFormat="1" applyFont="1" applyBorder="1"/>
    <xf numFmtId="164" fontId="9" fillId="0" borderId="14" xfId="1" applyNumberFormat="1" applyFont="1" applyBorder="1"/>
    <xf numFmtId="164" fontId="9" fillId="0" borderId="0" xfId="1" applyNumberFormat="1" applyFont="1" applyBorder="1"/>
    <xf numFmtId="164" fontId="9" fillId="0" borderId="13" xfId="1" applyNumberFormat="1" applyFont="1" applyBorder="1"/>
    <xf numFmtId="4" fontId="9" fillId="0" borderId="0" xfId="0" applyNumberFormat="1" applyFont="1" applyBorder="1"/>
    <xf numFmtId="164" fontId="9" fillId="0" borderId="10" xfId="1" applyNumberFormat="1" applyFont="1" applyBorder="1"/>
    <xf numFmtId="164" fontId="23" fillId="0" borderId="10" xfId="1" applyNumberFormat="1" applyFont="1" applyBorder="1"/>
    <xf numFmtId="0" fontId="24" fillId="0" borderId="0" xfId="0" applyFont="1" applyBorder="1"/>
    <xf numFmtId="4" fontId="24" fillId="0" borderId="10" xfId="0" applyNumberFormat="1" applyFont="1" applyBorder="1"/>
    <xf numFmtId="164" fontId="24" fillId="0" borderId="10" xfId="1" applyNumberFormat="1" applyFont="1" applyBorder="1"/>
    <xf numFmtId="164" fontId="24" fillId="0" borderId="14" xfId="1" applyNumberFormat="1" applyFont="1" applyBorder="1"/>
    <xf numFmtId="164" fontId="24" fillId="0" borderId="0" xfId="1" applyNumberFormat="1" applyFont="1" applyBorder="1"/>
    <xf numFmtId="4" fontId="9" fillId="0" borderId="0" xfId="0" applyNumberFormat="1" applyFont="1"/>
    <xf numFmtId="164" fontId="17" fillId="0" borderId="10" xfId="1" applyNumberFormat="1" applyFont="1" applyBorder="1"/>
    <xf numFmtId="164" fontId="22" fillId="0" borderId="14" xfId="1" applyNumberFormat="1" applyFont="1" applyBorder="1"/>
    <xf numFmtId="164" fontId="17" fillId="0" borderId="0" xfId="1" applyNumberFormat="1" applyFont="1" applyBorder="1"/>
    <xf numFmtId="4" fontId="9" fillId="0" borderId="13" xfId="0" applyNumberFormat="1" applyFont="1" applyBorder="1"/>
    <xf numFmtId="0" fontId="9" fillId="0" borderId="2" xfId="0" applyFont="1" applyBorder="1"/>
    <xf numFmtId="0" fontId="9" fillId="0" borderId="3" xfId="0" applyFont="1" applyBorder="1" applyAlignment="1">
      <alignment horizontal="center"/>
    </xf>
    <xf numFmtId="4" fontId="12" fillId="0" borderId="19" xfId="0" applyNumberFormat="1" applyFont="1" applyBorder="1"/>
    <xf numFmtId="4" fontId="12" fillId="0" borderId="3" xfId="0" applyNumberFormat="1" applyFont="1" applyBorder="1"/>
    <xf numFmtId="4" fontId="12" fillId="0" borderId="2" xfId="0" applyNumberFormat="1" applyFont="1" applyBorder="1"/>
    <xf numFmtId="10" fontId="9" fillId="0" borderId="0" xfId="2" applyNumberFormat="1" applyFont="1" applyAlignment="1">
      <alignment horizontal="center"/>
    </xf>
    <xf numFmtId="164" fontId="9" fillId="0" borderId="1" xfId="1" applyNumberFormat="1" applyFont="1" applyBorder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16" fillId="0" borderId="1" xfId="1" applyNumberFormat="1" applyFont="1" applyBorder="1"/>
    <xf numFmtId="43" fontId="9" fillId="0" borderId="0" xfId="0" applyNumberFormat="1" applyFont="1"/>
    <xf numFmtId="164" fontId="23" fillId="0" borderId="1" xfId="1" applyNumberFormat="1" applyFont="1" applyBorder="1"/>
    <xf numFmtId="0" fontId="9" fillId="0" borderId="1" xfId="0" applyFont="1" applyBorder="1"/>
    <xf numFmtId="0" fontId="9" fillId="0" borderId="0" xfId="0" applyFont="1" applyBorder="1" applyAlignment="1">
      <alignment horizontal="center"/>
    </xf>
    <xf numFmtId="0" fontId="5" fillId="0" borderId="1" xfId="0" applyFont="1" applyBorder="1" applyAlignment="1"/>
    <xf numFmtId="164" fontId="25" fillId="0" borderId="1" xfId="1" applyNumberFormat="1" applyFont="1" applyBorder="1"/>
    <xf numFmtId="10" fontId="9" fillId="0" borderId="0" xfId="2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/>
    <xf numFmtId="0" fontId="9" fillId="0" borderId="1" xfId="0" applyFont="1" applyBorder="1" applyAlignment="1">
      <alignment horizontal="right"/>
    </xf>
    <xf numFmtId="164" fontId="9" fillId="0" borderId="0" xfId="2" quotePrefix="1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9" fillId="0" borderId="1" xfId="0" applyNumberFormat="1" applyFont="1" applyBorder="1"/>
    <xf numFmtId="10" fontId="9" fillId="0" borderId="1" xfId="2" applyNumberFormat="1" applyFont="1" applyBorder="1" applyAlignment="1">
      <alignment horizontal="center"/>
    </xf>
    <xf numFmtId="10" fontId="9" fillId="0" borderId="1" xfId="2" applyNumberFormat="1" applyFont="1" applyBorder="1"/>
    <xf numFmtId="164" fontId="9" fillId="0" borderId="1" xfId="1" applyNumberFormat="1" applyFont="1" applyFill="1" applyBorder="1" applyAlignment="1">
      <alignment horizontal="right"/>
    </xf>
    <xf numFmtId="10" fontId="12" fillId="2" borderId="1" xfId="2" applyNumberFormat="1" applyFont="1" applyFill="1" applyBorder="1" applyAlignment="1">
      <alignment horizontal="center"/>
    </xf>
    <xf numFmtId="164" fontId="12" fillId="2" borderId="1" xfId="1" applyNumberFormat="1" applyFont="1" applyFill="1" applyBorder="1"/>
    <xf numFmtId="10" fontId="12" fillId="0" borderId="1" xfId="2" applyNumberFormat="1" applyFont="1" applyBorder="1"/>
    <xf numFmtId="0" fontId="12" fillId="0" borderId="0" xfId="0" applyFont="1" applyAlignment="1">
      <alignment horizontal="left"/>
    </xf>
    <xf numFmtId="43" fontId="5" fillId="0" borderId="0" xfId="0" applyNumberFormat="1" applyFont="1" applyBorder="1" applyAlignment="1">
      <alignment horizontal="center"/>
    </xf>
    <xf numFmtId="164" fontId="24" fillId="0" borderId="1" xfId="1" applyNumberFormat="1" applyFont="1" applyBorder="1"/>
    <xf numFmtId="164" fontId="12" fillId="0" borderId="1" xfId="0" applyNumberFormat="1" applyFont="1" applyBorder="1"/>
    <xf numFmtId="164" fontId="9" fillId="0" borderId="1" xfId="1" applyNumberFormat="1" applyFont="1" applyBorder="1" applyAlignment="1">
      <alignment horizontal="center"/>
    </xf>
    <xf numFmtId="10" fontId="9" fillId="0" borderId="0" xfId="2" applyNumberFormat="1" applyFont="1" applyBorder="1"/>
    <xf numFmtId="4" fontId="9" fillId="0" borderId="1" xfId="0" applyNumberFormat="1" applyFont="1" applyBorder="1"/>
    <xf numFmtId="164" fontId="16" fillId="0" borderId="1" xfId="0" applyNumberFormat="1" applyFont="1" applyBorder="1"/>
    <xf numFmtId="164" fontId="9" fillId="0" borderId="0" xfId="1" applyNumberFormat="1" applyFont="1" applyBorder="1" applyAlignment="1">
      <alignment horizontal="center"/>
    </xf>
    <xf numFmtId="164" fontId="12" fillId="0" borderId="0" xfId="1" applyNumberFormat="1" applyFont="1" applyBorder="1"/>
    <xf numFmtId="164" fontId="5" fillId="0" borderId="0" xfId="0" applyNumberFormat="1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26" fillId="0" borderId="0" xfId="0" applyFont="1"/>
    <xf numFmtId="0" fontId="27" fillId="0" borderId="0" xfId="0" applyFont="1"/>
    <xf numFmtId="0" fontId="5" fillId="0" borderId="1" xfId="3" applyFont="1" applyBorder="1"/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10" fontId="5" fillId="0" borderId="1" xfId="4" quotePrefix="1" applyNumberFormat="1" applyFont="1" applyBorder="1" applyAlignment="1">
      <alignment horizontal="center"/>
    </xf>
    <xf numFmtId="10" fontId="5" fillId="0" borderId="0" xfId="4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10" fontId="5" fillId="0" borderId="1" xfId="4" applyNumberFormat="1" applyFont="1" applyBorder="1"/>
    <xf numFmtId="164" fontId="5" fillId="0" borderId="1" xfId="5" applyFont="1" applyBorder="1"/>
    <xf numFmtId="164" fontId="5" fillId="0" borderId="0" xfId="1" applyNumberFormat="1" applyFont="1" applyBorder="1"/>
    <xf numFmtId="164" fontId="5" fillId="0" borderId="1" xfId="1" applyNumberFormat="1" applyFont="1" applyBorder="1" applyProtection="1">
      <protection hidden="1"/>
    </xf>
    <xf numFmtId="164" fontId="16" fillId="0" borderId="1" xfId="5" applyFont="1" applyBorder="1"/>
    <xf numFmtId="164" fontId="16" fillId="0" borderId="0" xfId="1" applyNumberFormat="1" applyFont="1" applyBorder="1"/>
    <xf numFmtId="10" fontId="5" fillId="0" borderId="1" xfId="4" applyNumberFormat="1" applyFont="1" applyBorder="1" applyAlignment="1">
      <alignment horizontal="center"/>
    </xf>
    <xf numFmtId="10" fontId="5" fillId="0" borderId="1" xfId="4" applyNumberFormat="1" applyFont="1" applyFill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5" fillId="0" borderId="0" xfId="3" applyFont="1"/>
    <xf numFmtId="164" fontId="5" fillId="0" borderId="0" xfId="3" applyNumberFormat="1" applyFont="1"/>
    <xf numFmtId="0" fontId="5" fillId="0" borderId="1" xfId="0" quotePrefix="1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/>
    <xf numFmtId="164" fontId="5" fillId="0" borderId="2" xfId="4" applyNumberFormat="1" applyFont="1" applyBorder="1" applyAlignment="1">
      <alignment horizontal="center"/>
    </xf>
    <xf numFmtId="164" fontId="5" fillId="0" borderId="19" xfId="4" applyNumberFormat="1" applyFont="1" applyBorder="1" applyAlignment="1">
      <alignment horizontal="center"/>
    </xf>
    <xf numFmtId="0" fontId="16" fillId="0" borderId="1" xfId="3" applyFont="1" applyBorder="1"/>
    <xf numFmtId="10" fontId="5" fillId="0" borderId="0" xfId="4" applyNumberFormat="1" applyFont="1"/>
    <xf numFmtId="164" fontId="5" fillId="0" borderId="1" xfId="3" applyNumberFormat="1" applyFont="1" applyBorder="1"/>
    <xf numFmtId="0" fontId="5" fillId="0" borderId="1" xfId="0" applyFont="1" applyBorder="1"/>
    <xf numFmtId="0" fontId="16" fillId="0" borderId="1" xfId="0" quotePrefix="1" applyFont="1" applyBorder="1" applyAlignment="1">
      <alignment horizontal="center"/>
    </xf>
    <xf numFmtId="2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6" fillId="0" borderId="9" xfId="0" applyFont="1" applyBorder="1"/>
    <xf numFmtId="0" fontId="5" fillId="0" borderId="13" xfId="0" applyFont="1" applyBorder="1" applyAlignment="1">
      <alignment horizontal="left"/>
    </xf>
    <xf numFmtId="0" fontId="5" fillId="0" borderId="14" xfId="0" applyFont="1" applyBorder="1"/>
    <xf numFmtId="164" fontId="5" fillId="0" borderId="3" xfId="1" applyNumberFormat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16" fillId="0" borderId="8" xfId="0" applyFont="1" applyBorder="1"/>
    <xf numFmtId="0" fontId="5" fillId="0" borderId="2" xfId="0" applyFont="1" applyBorder="1"/>
    <xf numFmtId="0" fontId="16" fillId="0" borderId="19" xfId="0" quotePrefix="1" applyFont="1" applyBorder="1" applyAlignment="1">
      <alignment horizontal="left"/>
    </xf>
    <xf numFmtId="0" fontId="5" fillId="0" borderId="19" xfId="0" applyFont="1" applyBorder="1"/>
    <xf numFmtId="164" fontId="5" fillId="0" borderId="0" xfId="1" applyNumberFormat="1" applyFont="1" applyAlignment="1">
      <alignment horizontal="right"/>
    </xf>
    <xf numFmtId="0" fontId="5" fillId="0" borderId="0" xfId="0" applyFont="1" applyBorder="1"/>
    <xf numFmtId="43" fontId="5" fillId="0" borderId="0" xfId="0" applyNumberFormat="1" applyFont="1" applyBorder="1"/>
    <xf numFmtId="164" fontId="5" fillId="0" borderId="0" xfId="0" applyNumberFormat="1" applyFont="1" applyAlignment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4" fontId="5" fillId="0" borderId="13" xfId="0" applyNumberFormat="1" applyFont="1" applyBorder="1"/>
    <xf numFmtId="4" fontId="5" fillId="0" borderId="10" xfId="0" applyNumberFormat="1" applyFont="1" applyBorder="1"/>
    <xf numFmtId="164" fontId="5" fillId="0" borderId="8" xfId="1" applyNumberFormat="1" applyFont="1" applyBorder="1"/>
    <xf numFmtId="4" fontId="5" fillId="0" borderId="8" xfId="0" applyNumberFormat="1" applyFont="1" applyBorder="1"/>
    <xf numFmtId="0" fontId="5" fillId="0" borderId="13" xfId="0" applyFont="1" applyBorder="1"/>
    <xf numFmtId="0" fontId="5" fillId="0" borderId="10" xfId="0" applyFont="1" applyBorder="1"/>
    <xf numFmtId="164" fontId="5" fillId="0" borderId="10" xfId="1" applyNumberFormat="1" applyFont="1" applyBorder="1"/>
    <xf numFmtId="43" fontId="5" fillId="0" borderId="1" xfId="0" applyNumberFormat="1" applyFont="1" applyBorder="1"/>
    <xf numFmtId="4" fontId="5" fillId="0" borderId="2" xfId="0" applyNumberFormat="1" applyFont="1" applyBorder="1"/>
    <xf numFmtId="4" fontId="5" fillId="0" borderId="19" xfId="0" applyNumberFormat="1" applyFont="1" applyBorder="1"/>
    <xf numFmtId="164" fontId="5" fillId="0" borderId="19" xfId="0" applyNumberFormat="1" applyFont="1" applyBorder="1"/>
    <xf numFmtId="0" fontId="5" fillId="0" borderId="19" xfId="0" applyFont="1" applyBorder="1" applyAlignment="1">
      <alignment horizontal="right"/>
    </xf>
    <xf numFmtId="164" fontId="12" fillId="0" borderId="0" xfId="1" applyNumberFormat="1" applyFont="1"/>
    <xf numFmtId="0" fontId="28" fillId="0" borderId="0" xfId="0" applyFont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8" xfId="0" quotePrefix="1" applyFont="1" applyBorder="1" applyAlignment="1">
      <alignment horizontal="center"/>
    </xf>
    <xf numFmtId="0" fontId="9" fillId="0" borderId="18" xfId="0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/>
    <xf numFmtId="0" fontId="9" fillId="0" borderId="11" xfId="0" applyFont="1" applyBorder="1"/>
    <xf numFmtId="0" fontId="12" fillId="0" borderId="17" xfId="0" applyFont="1" applyBorder="1"/>
    <xf numFmtId="0" fontId="11" fillId="0" borderId="12" xfId="0" applyFont="1" applyBorder="1"/>
    <xf numFmtId="4" fontId="13" fillId="0" borderId="0" xfId="0" applyNumberFormat="1" applyFont="1" applyBorder="1"/>
    <xf numFmtId="4" fontId="13" fillId="0" borderId="8" xfId="0" applyNumberFormat="1" applyFont="1" applyBorder="1"/>
    <xf numFmtId="4" fontId="15" fillId="0" borderId="0" xfId="0" applyNumberFormat="1" applyFont="1"/>
    <xf numFmtId="4" fontId="12" fillId="0" borderId="14" xfId="0" applyNumberFormat="1" applyFont="1" applyBorder="1"/>
    <xf numFmtId="164" fontId="12" fillId="0" borderId="10" xfId="1" applyNumberFormat="1" applyFont="1" applyBorder="1"/>
    <xf numFmtId="4" fontId="11" fillId="0" borderId="0" xfId="0" applyNumberFormat="1" applyFont="1"/>
    <xf numFmtId="0" fontId="9" fillId="0" borderId="13" xfId="0" applyFont="1" applyBorder="1"/>
    <xf numFmtId="0" fontId="12" fillId="0" borderId="0" xfId="0" applyFont="1" applyBorder="1"/>
    <xf numFmtId="0" fontId="11" fillId="0" borderId="14" xfId="0" applyFont="1" applyBorder="1"/>
    <xf numFmtId="4" fontId="13" fillId="0" borderId="10" xfId="0" applyNumberFormat="1" applyFont="1" applyBorder="1"/>
    <xf numFmtId="164" fontId="11" fillId="0" borderId="0" xfId="1" applyNumberFormat="1" applyFont="1"/>
    <xf numFmtId="0" fontId="11" fillId="0" borderId="0" xfId="0" applyFont="1" applyBorder="1"/>
    <xf numFmtId="43" fontId="11" fillId="0" borderId="0" xfId="0" applyNumberFormat="1" applyFont="1"/>
    <xf numFmtId="0" fontId="12" fillId="0" borderId="9" xfId="0" applyFont="1" applyBorder="1"/>
    <xf numFmtId="0" fontId="9" fillId="0" borderId="15" xfId="0" applyFont="1" applyBorder="1"/>
    <xf numFmtId="0" fontId="11" fillId="0" borderId="18" xfId="0" applyFont="1" applyBorder="1"/>
    <xf numFmtId="0" fontId="11" fillId="0" borderId="16" xfId="0" applyFont="1" applyBorder="1"/>
    <xf numFmtId="4" fontId="13" fillId="0" borderId="9" xfId="0" applyNumberFormat="1" applyFont="1" applyBorder="1"/>
    <xf numFmtId="0" fontId="11" fillId="0" borderId="19" xfId="0" applyFont="1" applyBorder="1"/>
    <xf numFmtId="0" fontId="11" fillId="0" borderId="3" xfId="0" applyFont="1" applyBorder="1"/>
    <xf numFmtId="4" fontId="9" fillId="0" borderId="2" xfId="0" applyNumberFormat="1" applyFont="1" applyBorder="1"/>
    <xf numFmtId="4" fontId="29" fillId="0" borderId="9" xfId="0" applyNumberFormat="1" applyFont="1" applyBorder="1"/>
    <xf numFmtId="164" fontId="16" fillId="0" borderId="0" xfId="0" applyNumberFormat="1" applyFont="1"/>
    <xf numFmtId="0" fontId="30" fillId="0" borderId="0" xfId="0" applyFont="1"/>
    <xf numFmtId="0" fontId="9" fillId="0" borderId="0" xfId="0" applyFont="1" applyFill="1" applyBorder="1" applyAlignment="1">
      <alignment horizontal="left"/>
    </xf>
    <xf numFmtId="164" fontId="31" fillId="0" borderId="0" xfId="1" applyNumberFormat="1" applyFont="1"/>
    <xf numFmtId="0" fontId="12" fillId="0" borderId="0" xfId="0" applyFont="1" applyFill="1" applyBorder="1" applyAlignment="1">
      <alignment horizontal="right"/>
    </xf>
    <xf numFmtId="4" fontId="22" fillId="0" borderId="0" xfId="0" applyNumberFormat="1" applyFont="1" applyAlignment="1">
      <alignment horizontal="center"/>
    </xf>
    <xf numFmtId="0" fontId="28" fillId="0" borderId="0" xfId="0" applyFont="1"/>
    <xf numFmtId="164" fontId="11" fillId="0" borderId="0" xfId="0" applyNumberFormat="1" applyFont="1"/>
    <xf numFmtId="164" fontId="12" fillId="0" borderId="0" xfId="4" applyNumberFormat="1" applyFont="1"/>
    <xf numFmtId="0" fontId="32" fillId="0" borderId="0" xfId="0" applyFont="1" applyBorder="1"/>
    <xf numFmtId="164" fontId="28" fillId="0" borderId="0" xfId="1" applyNumberFormat="1" applyFont="1"/>
    <xf numFmtId="164" fontId="11" fillId="0" borderId="0" xfId="0" applyNumberFormat="1" applyFont="1" applyBorder="1"/>
    <xf numFmtId="17" fontId="5" fillId="0" borderId="11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" fontId="2" fillId="0" borderId="1" xfId="0" applyNumberFormat="1" applyFont="1" applyBorder="1"/>
    <xf numFmtId="43" fontId="2" fillId="0" borderId="2" xfId="1" applyFont="1" applyBorder="1"/>
    <xf numFmtId="164" fontId="7" fillId="0" borderId="8" xfId="1" applyNumberFormat="1" applyFont="1" applyBorder="1"/>
    <xf numFmtId="0" fontId="3" fillId="0" borderId="18" xfId="0" applyFont="1" applyBorder="1"/>
    <xf numFmtId="0" fontId="33" fillId="0" borderId="0" xfId="0" applyFont="1"/>
    <xf numFmtId="0" fontId="5" fillId="0" borderId="4" xfId="0" applyFont="1" applyBorder="1"/>
    <xf numFmtId="0" fontId="5" fillId="0" borderId="22" xfId="0" applyFont="1" applyBorder="1"/>
    <xf numFmtId="0" fontId="16" fillId="0" borderId="5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15" xfId="0" applyFont="1" applyBorder="1"/>
    <xf numFmtId="164" fontId="5" fillId="0" borderId="9" xfId="0" applyNumberFormat="1" applyFont="1" applyBorder="1"/>
    <xf numFmtId="164" fontId="5" fillId="0" borderId="9" xfId="1" applyNumberFormat="1" applyFont="1" applyBorder="1"/>
    <xf numFmtId="10" fontId="16" fillId="0" borderId="1" xfId="4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0" xfId="0" quotePrefix="1" applyFont="1"/>
    <xf numFmtId="0" fontId="34" fillId="0" borderId="1" xfId="0" applyFont="1" applyBorder="1" applyAlignment="1">
      <alignment wrapText="1"/>
    </xf>
    <xf numFmtId="0" fontId="2" fillId="0" borderId="15" xfId="0" applyFont="1" applyBorder="1"/>
    <xf numFmtId="0" fontId="2" fillId="0" borderId="18" xfId="0" applyFont="1" applyBorder="1"/>
    <xf numFmtId="4" fontId="4" fillId="0" borderId="1" xfId="0" applyNumberFormat="1" applyFont="1" applyBorder="1"/>
    <xf numFmtId="164" fontId="4" fillId="0" borderId="9" xfId="0" applyNumberFormat="1" applyFont="1" applyBorder="1"/>
    <xf numFmtId="43" fontId="4" fillId="0" borderId="1" xfId="0" applyNumberFormat="1" applyFont="1" applyBorder="1"/>
    <xf numFmtId="43" fontId="4" fillId="0" borderId="0" xfId="0" applyNumberFormat="1" applyFont="1"/>
    <xf numFmtId="0" fontId="8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0" fontId="35" fillId="0" borderId="0" xfId="0" applyFont="1" applyAlignment="1">
      <alignment horizontal="center"/>
    </xf>
    <xf numFmtId="0" fontId="5" fillId="0" borderId="0" xfId="0" applyFont="1" applyProtection="1">
      <protection hidden="1"/>
    </xf>
    <xf numFmtId="0" fontId="35" fillId="0" borderId="0" xfId="0" applyFont="1" applyAlignment="1"/>
    <xf numFmtId="0" fontId="35" fillId="0" borderId="0" xfId="0" applyFont="1" applyAlignment="1" applyProtection="1">
      <alignment horizontal="center"/>
      <protection hidden="1"/>
    </xf>
    <xf numFmtId="0" fontId="5" fillId="0" borderId="0" xfId="0" applyFont="1" applyAlignment="1">
      <alignment horizontal="left"/>
    </xf>
    <xf numFmtId="0" fontId="36" fillId="0" borderId="0" xfId="0" applyFont="1"/>
    <xf numFmtId="0" fontId="5" fillId="0" borderId="0" xfId="0" applyFont="1" applyAlignment="1"/>
    <xf numFmtId="43" fontId="5" fillId="0" borderId="0" xfId="0" applyNumberFormat="1" applyFont="1" applyAlignment="1">
      <alignment horizontal="left"/>
    </xf>
    <xf numFmtId="43" fontId="5" fillId="0" borderId="0" xfId="0" applyNumberFormat="1" applyFont="1" applyProtection="1">
      <protection hidden="1"/>
    </xf>
    <xf numFmtId="164" fontId="12" fillId="0" borderId="0" xfId="0" applyNumberFormat="1" applyFont="1"/>
    <xf numFmtId="43" fontId="2" fillId="0" borderId="0" xfId="1" applyFont="1"/>
    <xf numFmtId="0" fontId="9" fillId="0" borderId="0" xfId="0" applyFont="1" applyAlignment="1">
      <alignment horizontal="left"/>
    </xf>
    <xf numFmtId="4" fontId="5" fillId="0" borderId="15" xfId="0" applyNumberFormat="1" applyFont="1" applyBorder="1"/>
    <xf numFmtId="0" fontId="5" fillId="0" borderId="16" xfId="0" applyFont="1" applyBorder="1"/>
    <xf numFmtId="0" fontId="16" fillId="0" borderId="11" xfId="0" applyFont="1" applyBorder="1" applyAlignment="1">
      <alignment horizontal="center"/>
    </xf>
    <xf numFmtId="0" fontId="5" fillId="0" borderId="12" xfId="0" applyFont="1" applyBorder="1"/>
    <xf numFmtId="4" fontId="5" fillId="0" borderId="18" xfId="0" applyNumberFormat="1" applyFont="1" applyBorder="1"/>
    <xf numFmtId="4" fontId="5" fillId="0" borderId="11" xfId="0" applyNumberFormat="1" applyFont="1" applyBorder="1"/>
    <xf numFmtId="0" fontId="3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3" fontId="0" fillId="0" borderId="0" xfId="1" applyFont="1"/>
    <xf numFmtId="4" fontId="5" fillId="0" borderId="0" xfId="0" applyNumberFormat="1" applyFont="1" applyBorder="1"/>
    <xf numFmtId="4" fontId="2" fillId="0" borderId="0" xfId="0" applyNumberFormat="1" applyFont="1"/>
    <xf numFmtId="43" fontId="9" fillId="0" borderId="0" xfId="1" applyFont="1"/>
    <xf numFmtId="43" fontId="2" fillId="0" borderId="19" xfId="1" applyNumberFormat="1" applyFont="1" applyBorder="1"/>
    <xf numFmtId="4" fontId="2" fillId="0" borderId="19" xfId="0" applyNumberFormat="1" applyFont="1" applyBorder="1"/>
    <xf numFmtId="43" fontId="2" fillId="0" borderId="0" xfId="0" applyNumberFormat="1" applyFont="1"/>
    <xf numFmtId="4" fontId="12" fillId="0" borderId="13" xfId="0" applyNumberFormat="1" applyFont="1" applyBorder="1"/>
    <xf numFmtId="43" fontId="4" fillId="0" borderId="0" xfId="1" applyFont="1"/>
    <xf numFmtId="4" fontId="2" fillId="0" borderId="9" xfId="0" applyNumberFormat="1" applyFont="1" applyBorder="1"/>
    <xf numFmtId="0" fontId="12" fillId="0" borderId="1" xfId="0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3" fontId="2" fillId="0" borderId="0" xfId="1" applyNumberFormat="1" applyFont="1" applyAlignment="1">
      <alignment horizontal="right"/>
    </xf>
    <xf numFmtId="4" fontId="38" fillId="0" borderId="8" xfId="0" applyNumberFormat="1" applyFont="1" applyBorder="1" applyAlignment="1">
      <alignment horizontal="right"/>
    </xf>
    <xf numFmtId="4" fontId="9" fillId="0" borderId="0" xfId="0" applyNumberFormat="1" applyFont="1" applyAlignment="1">
      <alignment horizontal="right"/>
    </xf>
    <xf numFmtId="43" fontId="2" fillId="0" borderId="19" xfId="1" applyNumberFormat="1" applyFont="1" applyBorder="1" applyAlignment="1">
      <alignment horizontal="right"/>
    </xf>
    <xf numFmtId="43" fontId="2" fillId="0" borderId="19" xfId="1" applyFont="1" applyBorder="1"/>
    <xf numFmtId="43" fontId="2" fillId="0" borderId="19" xfId="0" applyNumberFormat="1" applyFont="1" applyBorder="1" applyAlignment="1">
      <alignment horizontal="center"/>
    </xf>
    <xf numFmtId="43" fontId="3" fillId="0" borderId="0" xfId="0" applyNumberFormat="1" applyFont="1"/>
    <xf numFmtId="0" fontId="0" fillId="0" borderId="0" xfId="0" applyFont="1"/>
    <xf numFmtId="43" fontId="39" fillId="0" borderId="1" xfId="1" applyFont="1" applyBorder="1"/>
    <xf numFmtId="43" fontId="5" fillId="0" borderId="0" xfId="1" applyFont="1"/>
    <xf numFmtId="43" fontId="4" fillId="0" borderId="0" xfId="1" applyNumberFormat="1" applyFont="1" applyAlignment="1">
      <alignment horizontal="right"/>
    </xf>
    <xf numFmtId="164" fontId="25" fillId="0" borderId="10" xfId="1" applyNumberFormat="1" applyFont="1" applyBorder="1"/>
    <xf numFmtId="0" fontId="10" fillId="0" borderId="0" xfId="0" applyFont="1" applyAlignment="1" applyProtection="1">
      <alignment horizontal="right"/>
      <protection hidden="1"/>
    </xf>
    <xf numFmtId="43" fontId="7" fillId="0" borderId="1" xfId="1" applyFont="1" applyBorder="1"/>
    <xf numFmtId="43" fontId="5" fillId="0" borderId="1" xfId="1" applyFont="1" applyBorder="1"/>
    <xf numFmtId="43" fontId="4" fillId="0" borderId="0" xfId="1" applyNumberFormat="1" applyFont="1"/>
    <xf numFmtId="164" fontId="5" fillId="0" borderId="0" xfId="0" applyNumberFormat="1" applyFont="1" applyBorder="1"/>
    <xf numFmtId="43" fontId="16" fillId="0" borderId="19" xfId="0" applyNumberFormat="1" applyFont="1" applyBorder="1"/>
    <xf numFmtId="164" fontId="16" fillId="0" borderId="19" xfId="1" applyNumberFormat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0" fontId="4" fillId="0" borderId="0" xfId="0" applyNumberFormat="1" applyFont="1"/>
    <xf numFmtId="9" fontId="4" fillId="0" borderId="0" xfId="0" applyNumberFormat="1" applyFont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4" fillId="0" borderId="19" xfId="0" applyNumberFormat="1" applyFont="1" applyBorder="1"/>
    <xf numFmtId="43" fontId="4" fillId="0" borderId="19" xfId="1" applyNumberFormat="1" applyFont="1" applyBorder="1" applyAlignment="1">
      <alignment horizontal="center"/>
    </xf>
    <xf numFmtId="43" fontId="8" fillId="0" borderId="1" xfId="1" applyNumberFormat="1" applyFont="1" applyBorder="1" applyAlignment="1">
      <alignment horizontal="center"/>
    </xf>
    <xf numFmtId="43" fontId="4" fillId="0" borderId="10" xfId="1" applyNumberFormat="1" applyFont="1" applyBorder="1"/>
    <xf numFmtId="43" fontId="8" fillId="0" borderId="10" xfId="1" applyNumberFormat="1" applyFont="1" applyBorder="1"/>
    <xf numFmtId="0" fontId="4" fillId="0" borderId="19" xfId="0" applyFont="1" applyBorder="1" applyAlignment="1">
      <alignment horizontal="center"/>
    </xf>
    <xf numFmtId="43" fontId="4" fillId="0" borderId="19" xfId="1" applyNumberFormat="1" applyFont="1" applyBorder="1"/>
    <xf numFmtId="4" fontId="4" fillId="0" borderId="19" xfId="0" applyNumberFormat="1" applyFont="1" applyBorder="1"/>
    <xf numFmtId="43" fontId="8" fillId="0" borderId="0" xfId="1" applyNumberFormat="1" applyFont="1"/>
    <xf numFmtId="0" fontId="4" fillId="0" borderId="19" xfId="0" applyFont="1" applyBorder="1" applyAlignment="1">
      <alignment horizontal="right"/>
    </xf>
    <xf numFmtId="43" fontId="8" fillId="0" borderId="1" xfId="1" applyNumberFormat="1" applyFont="1" applyBorder="1"/>
    <xf numFmtId="164" fontId="4" fillId="0" borderId="0" xfId="1" applyNumberFormat="1" applyFont="1"/>
    <xf numFmtId="4" fontId="4" fillId="0" borderId="0" xfId="0" applyNumberFormat="1" applyFont="1"/>
    <xf numFmtId="0" fontId="4" fillId="0" borderId="1" xfId="0" applyFont="1" applyBorder="1" applyAlignment="1">
      <alignment horizontal="center"/>
    </xf>
    <xf numFmtId="43" fontId="4" fillId="0" borderId="10" xfId="0" applyNumberFormat="1" applyFont="1" applyBorder="1"/>
    <xf numFmtId="10" fontId="4" fillId="0" borderId="19" xfId="2" applyNumberFormat="1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0" fontId="35" fillId="0" borderId="0" xfId="0" applyFont="1" applyAlignment="1" applyProtection="1">
      <alignment horizontal="right"/>
      <protection hidden="1"/>
    </xf>
    <xf numFmtId="43" fontId="4" fillId="0" borderId="19" xfId="1" applyFont="1" applyBorder="1"/>
    <xf numFmtId="43" fontId="40" fillId="0" borderId="1" xfId="1" applyFont="1" applyBorder="1"/>
    <xf numFmtId="0" fontId="2" fillId="0" borderId="0" xfId="0" applyNumberFormat="1" applyFont="1" applyAlignment="1">
      <alignment horizontal="left"/>
    </xf>
    <xf numFmtId="4" fontId="5" fillId="0" borderId="8" xfId="0" applyNumberFormat="1" applyFont="1" applyBorder="1" applyAlignment="1">
      <alignment horizontal="center"/>
    </xf>
    <xf numFmtId="0" fontId="42" fillId="0" borderId="32" xfId="0" applyFont="1" applyFill="1" applyBorder="1" applyAlignment="1">
      <alignment horizontal="right" vertical="center"/>
    </xf>
    <xf numFmtId="10" fontId="11" fillId="0" borderId="0" xfId="2" applyNumberFormat="1" applyFont="1"/>
    <xf numFmtId="10" fontId="11" fillId="0" borderId="0" xfId="2" applyNumberFormat="1" applyFont="1" applyAlignment="1">
      <alignment horizontal="center"/>
    </xf>
    <xf numFmtId="0" fontId="42" fillId="0" borderId="33" xfId="0" applyFont="1" applyFill="1" applyBorder="1" applyAlignment="1">
      <alignment horizontal="right" vertical="center"/>
    </xf>
    <xf numFmtId="0" fontId="42" fillId="0" borderId="34" xfId="0" applyFont="1" applyFill="1" applyBorder="1" applyAlignment="1">
      <alignment horizontal="right" vertical="center"/>
    </xf>
    <xf numFmtId="4" fontId="42" fillId="0" borderId="33" xfId="0" applyNumberFormat="1" applyFont="1" applyFill="1" applyBorder="1" applyAlignment="1">
      <alignment horizontal="right" vertical="center"/>
    </xf>
    <xf numFmtId="4" fontId="42" fillId="0" borderId="32" xfId="0" applyNumberFormat="1" applyFont="1" applyFill="1" applyBorder="1" applyAlignment="1">
      <alignment horizontal="right" vertical="center"/>
    </xf>
    <xf numFmtId="4" fontId="41" fillId="0" borderId="33" xfId="0" applyNumberFormat="1" applyFont="1" applyFill="1" applyBorder="1" applyAlignment="1">
      <alignment horizontal="right" vertical="center"/>
    </xf>
    <xf numFmtId="43" fontId="4" fillId="0" borderId="1" xfId="1" applyNumberFormat="1" applyFont="1" applyBorder="1"/>
    <xf numFmtId="43" fontId="8" fillId="0" borderId="0" xfId="0" applyNumberFormat="1" applyFont="1"/>
    <xf numFmtId="49" fontId="43" fillId="0" borderId="0" xfId="0" applyNumberFormat="1" applyFont="1" applyAlignment="1">
      <alignment horizontal="right"/>
    </xf>
    <xf numFmtId="43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/>
    <xf numFmtId="0" fontId="3" fillId="0" borderId="3" xfId="0" applyFont="1" applyBorder="1" applyAlignment="1"/>
    <xf numFmtId="4" fontId="5" fillId="0" borderId="14" xfId="0" applyNumberFormat="1" applyFont="1" applyBorder="1"/>
    <xf numFmtId="43" fontId="44" fillId="0" borderId="1" xfId="0" applyNumberFormat="1" applyFont="1" applyBorder="1"/>
    <xf numFmtId="43" fontId="44" fillId="0" borderId="1" xfId="1" applyFont="1" applyBorder="1"/>
    <xf numFmtId="0" fontId="44" fillId="0" borderId="1" xfId="0" applyFont="1" applyBorder="1" applyAlignment="1">
      <alignment horizontal="center"/>
    </xf>
    <xf numFmtId="4" fontId="29" fillId="0" borderId="1" xfId="0" applyNumberFormat="1" applyFont="1" applyBorder="1"/>
    <xf numFmtId="43" fontId="45" fillId="0" borderId="1" xfId="1" applyFont="1" applyBorder="1"/>
    <xf numFmtId="0" fontId="12" fillId="0" borderId="2" xfId="0" applyFont="1" applyFill="1" applyBorder="1"/>
    <xf numFmtId="0" fontId="2" fillId="0" borderId="19" xfId="0" applyFont="1" applyBorder="1"/>
    <xf numFmtId="43" fontId="2" fillId="0" borderId="3" xfId="1" applyNumberFormat="1" applyFont="1" applyBorder="1"/>
    <xf numFmtId="43" fontId="2" fillId="0" borderId="19" xfId="0" applyNumberFormat="1" applyFont="1" applyBorder="1"/>
    <xf numFmtId="43" fontId="2" fillId="0" borderId="3" xfId="1" applyFont="1" applyBorder="1"/>
    <xf numFmtId="4" fontId="23" fillId="0" borderId="1" xfId="0" applyNumberFormat="1" applyFont="1" applyBorder="1"/>
    <xf numFmtId="43" fontId="2" fillId="0" borderId="10" xfId="1" applyFont="1" applyBorder="1"/>
    <xf numFmtId="0" fontId="0" fillId="0" borderId="39" xfId="0" applyBorder="1"/>
    <xf numFmtId="0" fontId="2" fillId="0" borderId="22" xfId="0" applyNumberFormat="1" applyFont="1" applyBorder="1" applyAlignment="1">
      <alignment horizontal="left"/>
    </xf>
    <xf numFmtId="0" fontId="0" fillId="0" borderId="20" xfId="0" applyBorder="1"/>
    <xf numFmtId="0" fontId="2" fillId="4" borderId="20" xfId="0" applyNumberFormat="1" applyFont="1" applyFill="1" applyBorder="1" applyAlignment="1">
      <alignment horizontal="center"/>
    </xf>
    <xf numFmtId="0" fontId="2" fillId="4" borderId="37" xfId="0" applyNumberFormat="1" applyFont="1" applyFill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37" xfId="0" applyNumberFormat="1" applyFont="1" applyBorder="1" applyAlignment="1">
      <alignment horizontal="right"/>
    </xf>
    <xf numFmtId="0" fontId="2" fillId="4" borderId="4" xfId="0" applyNumberFormat="1" applyFont="1" applyFill="1" applyBorder="1" applyAlignment="1">
      <alignment horizontal="center"/>
    </xf>
    <xf numFmtId="0" fontId="2" fillId="4" borderId="38" xfId="0" applyNumberFormat="1" applyFont="1" applyFill="1" applyBorder="1" applyAlignment="1">
      <alignment horizontal="center"/>
    </xf>
    <xf numFmtId="165" fontId="2" fillId="0" borderId="4" xfId="0" applyNumberFormat="1" applyFont="1" applyBorder="1" applyAlignment="1">
      <alignment horizontal="right"/>
    </xf>
    <xf numFmtId="0" fontId="48" fillId="0" borderId="36" xfId="0" applyNumberFormat="1" applyFont="1" applyBorder="1" applyAlignment="1">
      <alignment horizontal="left"/>
    </xf>
    <xf numFmtId="165" fontId="2" fillId="0" borderId="38" xfId="0" applyNumberFormat="1" applyFont="1" applyBorder="1" applyAlignment="1">
      <alignment horizontal="right"/>
    </xf>
    <xf numFmtId="165" fontId="2" fillId="0" borderId="41" xfId="0" applyNumberFormat="1" applyFont="1" applyBorder="1" applyAlignment="1">
      <alignment horizontal="right"/>
    </xf>
    <xf numFmtId="165" fontId="2" fillId="0" borderId="42" xfId="0" applyNumberFormat="1" applyFont="1" applyBorder="1" applyAlignment="1">
      <alignment horizontal="right"/>
    </xf>
    <xf numFmtId="9" fontId="2" fillId="0" borderId="20" xfId="0" applyNumberFormat="1" applyFont="1" applyBorder="1" applyAlignment="1">
      <alignment horizontal="right"/>
    </xf>
    <xf numFmtId="9" fontId="2" fillId="0" borderId="37" xfId="0" applyNumberFormat="1" applyFont="1" applyBorder="1" applyAlignment="1">
      <alignment horizontal="right"/>
    </xf>
    <xf numFmtId="0" fontId="0" fillId="0" borderId="22" xfId="0" applyBorder="1"/>
    <xf numFmtId="0" fontId="0" fillId="0" borderId="4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4" fontId="49" fillId="0" borderId="1" xfId="0" applyNumberFormat="1" applyFont="1" applyBorder="1"/>
    <xf numFmtId="4" fontId="22" fillId="0" borderId="1" xfId="0" applyNumberFormat="1" applyFont="1" applyBorder="1"/>
    <xf numFmtId="4" fontId="5" fillId="0" borderId="12" xfId="0" applyNumberFormat="1" applyFont="1" applyBorder="1"/>
    <xf numFmtId="4" fontId="5" fillId="0" borderId="16" xfId="0" applyNumberFormat="1" applyFont="1" applyBorder="1"/>
    <xf numFmtId="164" fontId="23" fillId="0" borderId="1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0" fontId="4" fillId="0" borderId="15" xfId="0" applyNumberFormat="1" applyFont="1" applyBorder="1"/>
    <xf numFmtId="10" fontId="4" fillId="0" borderId="18" xfId="0" applyNumberFormat="1" applyFont="1" applyBorder="1"/>
    <xf numFmtId="44" fontId="4" fillId="0" borderId="16" xfId="0" applyNumberFormat="1" applyFont="1" applyBorder="1"/>
    <xf numFmtId="43" fontId="4" fillId="0" borderId="8" xfId="1" applyNumberFormat="1" applyFont="1" applyBorder="1" applyAlignment="1">
      <alignment horizontal="center"/>
    </xf>
    <xf numFmtId="10" fontId="4" fillId="0" borderId="9" xfId="0" applyNumberFormat="1" applyFont="1" applyBorder="1"/>
    <xf numFmtId="44" fontId="4" fillId="0" borderId="9" xfId="6" applyFont="1" applyBorder="1"/>
    <xf numFmtId="43" fontId="2" fillId="0" borderId="18" xfId="1" applyNumberFormat="1" applyFont="1" applyBorder="1"/>
    <xf numFmtId="4" fontId="2" fillId="0" borderId="18" xfId="0" applyNumberFormat="1" applyFont="1" applyBorder="1"/>
    <xf numFmtId="4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10" fillId="0" borderId="0" xfId="0" applyFont="1" applyAlignment="1" applyProtection="1">
      <alignment horizontal="left"/>
      <protection hidden="1"/>
    </xf>
    <xf numFmtId="43" fontId="44" fillId="0" borderId="0" xfId="0" applyNumberFormat="1" applyFont="1"/>
    <xf numFmtId="49" fontId="2" fillId="0" borderId="0" xfId="0" applyNumberFormat="1" applyFont="1" applyAlignment="1">
      <alignment horizontal="right"/>
    </xf>
    <xf numFmtId="167" fontId="2" fillId="0" borderId="20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right"/>
    </xf>
    <xf numFmtId="0" fontId="2" fillId="0" borderId="36" xfId="0" applyNumberFormat="1" applyFont="1" applyBorder="1" applyAlignment="1">
      <alignment horizontal="left" indent="1"/>
    </xf>
    <xf numFmtId="167" fontId="2" fillId="0" borderId="37" xfId="0" applyNumberFormat="1" applyFont="1" applyBorder="1" applyAlignment="1">
      <alignment horizontal="right"/>
    </xf>
    <xf numFmtId="167" fontId="2" fillId="0" borderId="38" xfId="0" applyNumberFormat="1" applyFont="1" applyBorder="1" applyAlignment="1">
      <alignment horizontal="right"/>
    </xf>
    <xf numFmtId="0" fontId="2" fillId="0" borderId="36" xfId="0" applyNumberFormat="1" applyFont="1" applyBorder="1" applyAlignment="1">
      <alignment horizontal="left" indent="2"/>
    </xf>
    <xf numFmtId="0" fontId="2" fillId="0" borderId="36" xfId="0" applyNumberFormat="1" applyFont="1" applyBorder="1" applyAlignment="1">
      <alignment horizontal="left"/>
    </xf>
    <xf numFmtId="0" fontId="2" fillId="4" borderId="40" xfId="0" applyNumberFormat="1" applyFont="1" applyFill="1" applyBorder="1" applyAlignment="1">
      <alignment horizontal="left"/>
    </xf>
    <xf numFmtId="167" fontId="2" fillId="4" borderId="41" xfId="0" applyNumberFormat="1" applyFont="1" applyFill="1" applyBorder="1" applyAlignment="1">
      <alignment horizontal="right"/>
    </xf>
    <xf numFmtId="167" fontId="2" fillId="4" borderId="42" xfId="0" applyNumberFormat="1" applyFont="1" applyFill="1" applyBorder="1" applyAlignment="1">
      <alignment horizontal="right"/>
    </xf>
    <xf numFmtId="49" fontId="44" fillId="0" borderId="0" xfId="0" applyNumberFormat="1" applyFont="1" applyAlignment="1">
      <alignment horizontal="right"/>
    </xf>
    <xf numFmtId="0" fontId="50" fillId="4" borderId="8" xfId="0" applyNumberFormat="1" applyFont="1" applyFill="1" applyBorder="1" applyAlignment="1">
      <alignment horizontal="center" vertical="top"/>
    </xf>
    <xf numFmtId="0" fontId="50" fillId="4" borderId="11" xfId="0" applyNumberFormat="1" applyFont="1" applyFill="1" applyBorder="1" applyAlignment="1">
      <alignment horizontal="center" vertical="top" wrapText="1"/>
    </xf>
    <xf numFmtId="0" fontId="50" fillId="4" borderId="10" xfId="0" applyNumberFormat="1" applyFont="1" applyFill="1" applyBorder="1" applyAlignment="1">
      <alignment horizontal="center"/>
    </xf>
    <xf numFmtId="0" fontId="50" fillId="4" borderId="13" xfId="0" applyNumberFormat="1" applyFont="1" applyFill="1" applyBorder="1" applyAlignment="1">
      <alignment horizontal="center"/>
    </xf>
    <xf numFmtId="167" fontId="44" fillId="0" borderId="8" xfId="0" applyNumberFormat="1" applyFont="1" applyBorder="1" applyAlignment="1">
      <alignment horizontal="right"/>
    </xf>
    <xf numFmtId="167" fontId="44" fillId="0" borderId="11" xfId="0" applyNumberFormat="1" applyFont="1" applyBorder="1" applyAlignment="1">
      <alignment horizontal="right"/>
    </xf>
    <xf numFmtId="167" fontId="44" fillId="0" borderId="10" xfId="0" applyNumberFormat="1" applyFont="1" applyBorder="1" applyAlignment="1">
      <alignment horizontal="right"/>
    </xf>
    <xf numFmtId="167" fontId="44" fillId="0" borderId="13" xfId="0" applyNumberFormat="1" applyFont="1" applyBorder="1" applyAlignment="1">
      <alignment horizontal="right"/>
    </xf>
    <xf numFmtId="0" fontId="44" fillId="0" borderId="14" xfId="0" applyNumberFormat="1" applyFont="1" applyBorder="1" applyAlignment="1">
      <alignment horizontal="left"/>
    </xf>
    <xf numFmtId="0" fontId="50" fillId="4" borderId="8" xfId="0" applyNumberFormat="1" applyFont="1" applyFill="1" applyBorder="1" applyAlignment="1">
      <alignment horizontal="center"/>
    </xf>
    <xf numFmtId="0" fontId="50" fillId="4" borderId="11" xfId="0" applyNumberFormat="1" applyFont="1" applyFill="1" applyBorder="1" applyAlignment="1">
      <alignment horizontal="center"/>
    </xf>
    <xf numFmtId="167" fontId="44" fillId="4" borderId="8" xfId="0" applyNumberFormat="1" applyFont="1" applyFill="1" applyBorder="1" applyAlignment="1">
      <alignment horizontal="right"/>
    </xf>
    <xf numFmtId="167" fontId="44" fillId="4" borderId="11" xfId="0" applyNumberFormat="1" applyFont="1" applyFill="1" applyBorder="1" applyAlignment="1">
      <alignment horizontal="right"/>
    </xf>
    <xf numFmtId="167" fontId="44" fillId="0" borderId="1" xfId="0" applyNumberFormat="1" applyFont="1" applyBorder="1" applyAlignment="1">
      <alignment horizontal="right"/>
    </xf>
    <xf numFmtId="167" fontId="44" fillId="0" borderId="2" xfId="0" applyNumberFormat="1" applyFont="1" applyBorder="1" applyAlignment="1">
      <alignment horizontal="right"/>
    </xf>
    <xf numFmtId="168" fontId="0" fillId="0" borderId="0" xfId="0" applyNumberFormat="1"/>
    <xf numFmtId="168" fontId="0" fillId="0" borderId="19" xfId="0" applyNumberFormat="1" applyBorder="1" applyAlignment="1"/>
    <xf numFmtId="0" fontId="2" fillId="0" borderId="19" xfId="0" applyFont="1" applyBorder="1" applyAlignment="1"/>
    <xf numFmtId="4" fontId="4" fillId="0" borderId="2" xfId="0" applyNumberFormat="1" applyFont="1" applyBorder="1"/>
    <xf numFmtId="43" fontId="4" fillId="0" borderId="3" xfId="0" applyNumberFormat="1" applyFont="1" applyBorder="1"/>
    <xf numFmtId="43" fontId="43" fillId="0" borderId="1" xfId="0" applyNumberFormat="1" applyFont="1" applyBorder="1"/>
    <xf numFmtId="164" fontId="4" fillId="0" borderId="0" xfId="0" applyNumberFormat="1" applyFont="1"/>
    <xf numFmtId="0" fontId="2" fillId="4" borderId="37" xfId="0" applyNumberFormat="1" applyFont="1" applyFill="1" applyBorder="1" applyAlignment="1">
      <alignment horizontal="center"/>
    </xf>
    <xf numFmtId="0" fontId="2" fillId="4" borderId="38" xfId="0" applyNumberFormat="1" applyFont="1" applyFill="1" applyBorder="1" applyAlignment="1">
      <alignment horizontal="center"/>
    </xf>
    <xf numFmtId="0" fontId="2" fillId="4" borderId="20" xfId="0" applyNumberFormat="1" applyFont="1" applyFill="1" applyBorder="1" applyAlignment="1">
      <alignment horizontal="center"/>
    </xf>
    <xf numFmtId="0" fontId="2" fillId="4" borderId="4" xfId="0" applyNumberFormat="1" applyFont="1" applyFill="1" applyBorder="1" applyAlignment="1">
      <alignment horizontal="center"/>
    </xf>
    <xf numFmtId="0" fontId="2" fillId="0" borderId="36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4" borderId="21" xfId="0" applyNumberFormat="1" applyFont="1" applyFill="1" applyBorder="1" applyAlignment="1">
      <alignment horizontal="center"/>
    </xf>
    <xf numFmtId="0" fontId="2" fillId="4" borderId="5" xfId="0" applyNumberFormat="1" applyFont="1" applyFill="1" applyBorder="1" applyAlignment="1">
      <alignment horizontal="center"/>
    </xf>
    <xf numFmtId="0" fontId="46" fillId="0" borderId="0" xfId="0" applyNumberFormat="1" applyFont="1" applyAlignment="1">
      <alignment horizontal="right"/>
    </xf>
    <xf numFmtId="0" fontId="41" fillId="3" borderId="24" xfId="0" applyFont="1" applyFill="1" applyBorder="1" applyAlignment="1">
      <alignment horizontal="center" vertical="center" wrapText="1"/>
    </xf>
    <xf numFmtId="0" fontId="41" fillId="3" borderId="24" xfId="0" applyFont="1" applyFill="1" applyBorder="1" applyAlignment="1">
      <alignment horizontal="center" vertical="center"/>
    </xf>
    <xf numFmtId="167" fontId="0" fillId="0" borderId="0" xfId="0" applyNumberFormat="1"/>
    <xf numFmtId="0" fontId="10" fillId="0" borderId="0" xfId="0" applyFont="1" applyAlignment="1">
      <alignment horizontal="left"/>
    </xf>
    <xf numFmtId="0" fontId="10" fillId="0" borderId="0" xfId="0" applyFont="1" applyAlignment="1" applyProtection="1">
      <protection hidden="1"/>
    </xf>
    <xf numFmtId="0" fontId="52" fillId="0" borderId="0" xfId="0" applyFont="1" applyFill="1" applyAlignment="1">
      <alignment horizontal="right" vertical="top"/>
    </xf>
    <xf numFmtId="0" fontId="0" fillId="0" borderId="23" xfId="0" applyBorder="1"/>
    <xf numFmtId="0" fontId="0" fillId="0" borderId="27" xfId="0" applyBorder="1"/>
    <xf numFmtId="0" fontId="42" fillId="0" borderId="32" xfId="0" applyFont="1" applyFill="1" applyBorder="1" applyAlignment="1">
      <alignment vertical="center"/>
    </xf>
    <xf numFmtId="0" fontId="42" fillId="0" borderId="33" xfId="0" applyFont="1" applyFill="1" applyBorder="1" applyAlignment="1">
      <alignment vertical="center"/>
    </xf>
    <xf numFmtId="0" fontId="42" fillId="0" borderId="34" xfId="0" applyFont="1" applyFill="1" applyBorder="1" applyAlignment="1">
      <alignment vertical="center"/>
    </xf>
    <xf numFmtId="0" fontId="42" fillId="0" borderId="24" xfId="0" applyFont="1" applyFill="1" applyBorder="1" applyAlignment="1">
      <alignment vertical="center"/>
    </xf>
    <xf numFmtId="0" fontId="42" fillId="0" borderId="24" xfId="0" applyFont="1" applyFill="1" applyBorder="1" applyAlignment="1">
      <alignment horizontal="right" vertical="center"/>
    </xf>
    <xf numFmtId="0" fontId="42" fillId="5" borderId="24" xfId="0" applyFont="1" applyFill="1" applyBorder="1" applyAlignment="1">
      <alignment vertical="center"/>
    </xf>
    <xf numFmtId="0" fontId="42" fillId="5" borderId="24" xfId="0" applyFont="1" applyFill="1" applyBorder="1" applyAlignment="1">
      <alignment horizontal="right" vertical="center"/>
    </xf>
    <xf numFmtId="0" fontId="0" fillId="0" borderId="26" xfId="0" applyBorder="1"/>
    <xf numFmtId="0" fontId="51" fillId="0" borderId="27" xfId="0" applyFont="1" applyFill="1" applyBorder="1" applyAlignment="1">
      <alignment vertical="top"/>
    </xf>
    <xf numFmtId="4" fontId="42" fillId="0" borderId="34" xfId="0" applyNumberFormat="1" applyFont="1" applyFill="1" applyBorder="1" applyAlignment="1">
      <alignment horizontal="right" vertical="center"/>
    </xf>
    <xf numFmtId="4" fontId="42" fillId="0" borderId="24" xfId="0" applyNumberFormat="1" applyFont="1" applyFill="1" applyBorder="1" applyAlignment="1">
      <alignment horizontal="right" vertical="center"/>
    </xf>
    <xf numFmtId="4" fontId="42" fillId="5" borderId="24" xfId="0" applyNumberFormat="1" applyFont="1" applyFill="1" applyBorder="1" applyAlignment="1">
      <alignment horizontal="right" vertical="center"/>
    </xf>
    <xf numFmtId="0" fontId="0" fillId="0" borderId="29" xfId="0" applyBorder="1"/>
    <xf numFmtId="0" fontId="41" fillId="0" borderId="33" xfId="0" applyFont="1" applyFill="1" applyBorder="1" applyAlignment="1">
      <alignment vertical="center"/>
    </xf>
    <xf numFmtId="0" fontId="41" fillId="5" borderId="24" xfId="0" applyFont="1" applyFill="1" applyBorder="1" applyAlignment="1">
      <alignment vertical="center"/>
    </xf>
    <xf numFmtId="0" fontId="41" fillId="0" borderId="32" xfId="0" applyFont="1" applyFill="1" applyBorder="1" applyAlignment="1">
      <alignment vertical="center"/>
    </xf>
    <xf numFmtId="4" fontId="41" fillId="5" borderId="24" xfId="0" applyNumberFormat="1" applyFont="1" applyFill="1" applyBorder="1" applyAlignment="1">
      <alignment horizontal="right" vertical="center"/>
    </xf>
    <xf numFmtId="0" fontId="41" fillId="3" borderId="24" xfId="0" applyFont="1" applyFill="1" applyBorder="1" applyAlignment="1">
      <alignment vertical="center"/>
    </xf>
    <xf numFmtId="0" fontId="55" fillId="0" borderId="24" xfId="0" applyFont="1" applyFill="1" applyBorder="1" applyAlignment="1">
      <alignment horizontal="justify" vertical="center"/>
    </xf>
    <xf numFmtId="4" fontId="41" fillId="0" borderId="32" xfId="0" applyNumberFormat="1" applyFont="1" applyFill="1" applyBorder="1" applyAlignment="1">
      <alignment horizontal="right" vertical="center"/>
    </xf>
    <xf numFmtId="0" fontId="56" fillId="0" borderId="23" xfId="0" applyFont="1" applyFill="1" applyBorder="1" applyAlignment="1">
      <alignment vertical="top"/>
    </xf>
    <xf numFmtId="0" fontId="60" fillId="0" borderId="32" xfId="0" applyFont="1" applyFill="1" applyBorder="1" applyAlignment="1">
      <alignment horizontal="right" vertical="center"/>
    </xf>
    <xf numFmtId="0" fontId="60" fillId="0" borderId="33" xfId="0" applyFont="1" applyFill="1" applyBorder="1" applyAlignment="1">
      <alignment horizontal="right" vertical="center"/>
    </xf>
    <xf numFmtId="0" fontId="60" fillId="0" borderId="34" xfId="0" applyFont="1" applyFill="1" applyBorder="1" applyAlignment="1">
      <alignment horizontal="right" vertical="center"/>
    </xf>
    <xf numFmtId="0" fontId="60" fillId="3" borderId="24" xfId="0" applyFont="1" applyFill="1" applyBorder="1" applyAlignment="1">
      <alignment horizontal="right" vertical="center"/>
    </xf>
    <xf numFmtId="0" fontId="60" fillId="0" borderId="25" xfId="0" applyFont="1" applyFill="1" applyBorder="1" applyAlignment="1">
      <alignment horizontal="right" vertical="center"/>
    </xf>
    <xf numFmtId="0" fontId="60" fillId="0" borderId="28" xfId="0" applyFont="1" applyFill="1" applyBorder="1" applyAlignment="1">
      <alignment horizontal="right" vertical="center"/>
    </xf>
    <xf numFmtId="0" fontId="60" fillId="0" borderId="31" xfId="0" applyFont="1" applyFill="1" applyBorder="1" applyAlignment="1">
      <alignment horizontal="right" vertical="center"/>
    </xf>
    <xf numFmtId="0" fontId="0" fillId="0" borderId="35" xfId="0" applyBorder="1"/>
    <xf numFmtId="0" fontId="0" fillId="0" borderId="30" xfId="0" applyBorder="1"/>
    <xf numFmtId="0" fontId="65" fillId="0" borderId="32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/>
    </xf>
    <xf numFmtId="170" fontId="57" fillId="0" borderId="24" xfId="0" applyNumberFormat="1" applyFont="1" applyFill="1" applyBorder="1" applyAlignment="1">
      <alignment horizontal="right" vertical="center" wrapText="1"/>
    </xf>
    <xf numFmtId="0" fontId="65" fillId="0" borderId="33" xfId="0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 vertical="top"/>
    </xf>
    <xf numFmtId="0" fontId="59" fillId="3" borderId="24" xfId="0" applyFont="1" applyFill="1" applyBorder="1" applyAlignment="1">
      <alignment horizontal="center" vertical="center" wrapText="1"/>
    </xf>
    <xf numFmtId="0" fontId="68" fillId="0" borderId="32" xfId="0" applyFont="1" applyFill="1" applyBorder="1" applyAlignment="1">
      <alignment horizontal="right" vertical="center"/>
    </xf>
    <xf numFmtId="0" fontId="68" fillId="0" borderId="33" xfId="0" applyFont="1" applyFill="1" applyBorder="1" applyAlignment="1">
      <alignment horizontal="right" vertical="center"/>
    </xf>
    <xf numFmtId="0" fontId="68" fillId="0" borderId="34" xfId="0" applyFont="1" applyFill="1" applyBorder="1" applyAlignment="1">
      <alignment horizontal="right" vertical="center"/>
    </xf>
    <xf numFmtId="0" fontId="60" fillId="0" borderId="0" xfId="0" applyFont="1" applyFill="1"/>
    <xf numFmtId="0" fontId="44" fillId="0" borderId="0" xfId="0" applyNumberFormat="1" applyFont="1" applyAlignment="1">
      <alignment horizontal="right"/>
    </xf>
    <xf numFmtId="0" fontId="44" fillId="4" borderId="20" xfId="0" applyNumberFormat="1" applyFont="1" applyFill="1" applyBorder="1" applyAlignment="1">
      <alignment horizontal="center"/>
    </xf>
    <xf numFmtId="0" fontId="44" fillId="4" borderId="37" xfId="0" applyNumberFormat="1" applyFont="1" applyFill="1" applyBorder="1" applyAlignment="1">
      <alignment horizontal="center"/>
    </xf>
    <xf numFmtId="49" fontId="44" fillId="4" borderId="37" xfId="0" applyNumberFormat="1" applyFont="1" applyFill="1" applyBorder="1" applyAlignment="1">
      <alignment horizontal="center"/>
    </xf>
    <xf numFmtId="167" fontId="44" fillId="0" borderId="20" xfId="0" applyNumberFormat="1" applyFont="1" applyBorder="1" applyAlignment="1">
      <alignment horizontal="right"/>
    </xf>
    <xf numFmtId="167" fontId="44" fillId="0" borderId="37" xfId="0" applyNumberFormat="1" applyFont="1" applyBorder="1" applyAlignment="1">
      <alignment horizontal="right"/>
    </xf>
    <xf numFmtId="167" fontId="44" fillId="4" borderId="20" xfId="0" applyNumberFormat="1" applyFont="1" applyFill="1" applyBorder="1" applyAlignment="1">
      <alignment horizontal="right"/>
    </xf>
    <xf numFmtId="167" fontId="44" fillId="0" borderId="20" xfId="0" applyNumberFormat="1" applyFont="1" applyBorder="1" applyAlignment="1">
      <alignment horizontal="right" vertical="center"/>
    </xf>
    <xf numFmtId="0" fontId="0" fillId="0" borderId="41" xfId="0" applyBorder="1"/>
    <xf numFmtId="0" fontId="0" fillId="0" borderId="0" xfId="0" applyFont="1" applyAlignment="1">
      <alignment horizontal="justify" vertical="justify"/>
    </xf>
    <xf numFmtId="0" fontId="0" fillId="0" borderId="6" xfId="0" applyBorder="1"/>
    <xf numFmtId="0" fontId="2" fillId="0" borderId="7" xfId="0" applyNumberFormat="1" applyFont="1" applyBorder="1" applyAlignment="1">
      <alignment horizontal="left"/>
    </xf>
    <xf numFmtId="167" fontId="2" fillId="0" borderId="21" xfId="0" applyNumberFormat="1" applyFont="1" applyBorder="1" applyAlignment="1">
      <alignment horizontal="right"/>
    </xf>
    <xf numFmtId="167" fontId="2" fillId="0" borderId="5" xfId="0" applyNumberFormat="1" applyFont="1" applyBorder="1" applyAlignment="1">
      <alignment horizontal="right"/>
    </xf>
    <xf numFmtId="49" fontId="2" fillId="4" borderId="20" xfId="0" applyNumberFormat="1" applyFont="1" applyFill="1" applyBorder="1" applyAlignment="1">
      <alignment horizontal="center"/>
    </xf>
    <xf numFmtId="0" fontId="0" fillId="0" borderId="21" xfId="0" applyBorder="1"/>
    <xf numFmtId="0" fontId="4" fillId="0" borderId="12" xfId="0" applyFont="1" applyBorder="1" applyAlignment="1">
      <alignment horizontal="left"/>
    </xf>
    <xf numFmtId="0" fontId="2" fillId="0" borderId="40" xfId="0" applyNumberFormat="1" applyFont="1" applyBorder="1" applyAlignment="1">
      <alignment horizontal="left"/>
    </xf>
    <xf numFmtId="0" fontId="2" fillId="0" borderId="41" xfId="0" applyNumberFormat="1" applyFont="1" applyBorder="1" applyAlignment="1">
      <alignment horizontal="left"/>
    </xf>
    <xf numFmtId="165" fontId="2" fillId="0" borderId="41" xfId="0" applyNumberFormat="1" applyFont="1" applyBorder="1" applyAlignment="1">
      <alignment horizontal="right"/>
    </xf>
    <xf numFmtId="165" fontId="2" fillId="0" borderId="42" xfId="0" applyNumberFormat="1" applyFont="1" applyBorder="1" applyAlignment="1">
      <alignment horizontal="right"/>
    </xf>
    <xf numFmtId="0" fontId="10" fillId="0" borderId="0" xfId="0" applyFont="1" applyAlignment="1" applyProtection="1">
      <alignment horizontal="center"/>
      <protection hidden="1"/>
    </xf>
    <xf numFmtId="0" fontId="2" fillId="4" borderId="6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2" fillId="4" borderId="36" xfId="0" applyNumberFormat="1" applyFont="1" applyFill="1" applyBorder="1" applyAlignment="1">
      <alignment horizontal="center" vertical="center"/>
    </xf>
    <xf numFmtId="0" fontId="2" fillId="4" borderId="37" xfId="0" applyNumberFormat="1" applyFont="1" applyFill="1" applyBorder="1" applyAlignment="1">
      <alignment horizontal="center"/>
    </xf>
    <xf numFmtId="0" fontId="2" fillId="4" borderId="38" xfId="0" applyNumberFormat="1" applyFont="1" applyFill="1" applyBorder="1" applyAlignment="1">
      <alignment horizontal="center"/>
    </xf>
    <xf numFmtId="0" fontId="2" fillId="0" borderId="39" xfId="0" applyNumberFormat="1" applyFont="1" applyBorder="1" applyAlignment="1">
      <alignment horizontal="left"/>
    </xf>
    <xf numFmtId="0" fontId="2" fillId="0" borderId="22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right"/>
    </xf>
    <xf numFmtId="0" fontId="0" fillId="0" borderId="39" xfId="0" applyBorder="1" applyAlignment="1">
      <alignment horizontal="right"/>
    </xf>
    <xf numFmtId="0" fontId="2" fillId="4" borderId="22" xfId="0" applyNumberFormat="1" applyFont="1" applyFill="1" applyBorder="1" applyAlignment="1">
      <alignment horizontal="center"/>
    </xf>
    <xf numFmtId="0" fontId="2" fillId="4" borderId="20" xfId="0" applyNumberFormat="1" applyFont="1" applyFill="1" applyBorder="1" applyAlignment="1">
      <alignment horizontal="center"/>
    </xf>
    <xf numFmtId="0" fontId="2" fillId="4" borderId="4" xfId="0" applyNumberFormat="1" applyFont="1" applyFill="1" applyBorder="1" applyAlignment="1">
      <alignment horizontal="center"/>
    </xf>
    <xf numFmtId="0" fontId="2" fillId="0" borderId="36" xfId="0" applyNumberFormat="1" applyFont="1" applyBorder="1" applyAlignment="1">
      <alignment horizontal="left"/>
    </xf>
    <xf numFmtId="0" fontId="2" fillId="0" borderId="37" xfId="0" applyNumberFormat="1" applyFont="1" applyBorder="1" applyAlignment="1">
      <alignment horizontal="left"/>
    </xf>
    <xf numFmtId="165" fontId="2" fillId="0" borderId="37" xfId="0" applyNumberFormat="1" applyFont="1" applyBorder="1" applyAlignment="1">
      <alignment horizontal="right"/>
    </xf>
    <xf numFmtId="165" fontId="2" fillId="0" borderId="38" xfId="0" applyNumberFormat="1" applyFont="1" applyBorder="1" applyAlignment="1">
      <alignment horizontal="right"/>
    </xf>
    <xf numFmtId="0" fontId="2" fillId="4" borderId="39" xfId="0" applyNumberFormat="1" applyFont="1" applyFill="1" applyBorder="1" applyAlignment="1">
      <alignment horizontal="center" vertical="center"/>
    </xf>
    <xf numFmtId="0" fontId="2" fillId="4" borderId="22" xfId="0" applyNumberFormat="1" applyFont="1" applyFill="1" applyBorder="1" applyAlignment="1">
      <alignment horizontal="center" vertical="center"/>
    </xf>
    <xf numFmtId="0" fontId="2" fillId="4" borderId="41" xfId="0" applyNumberFormat="1" applyFont="1" applyFill="1" applyBorder="1" applyAlignment="1">
      <alignment horizontal="center"/>
    </xf>
    <xf numFmtId="0" fontId="2" fillId="4" borderId="42" xfId="0" applyNumberFormat="1" applyFont="1" applyFill="1" applyBorder="1" applyAlignment="1">
      <alignment horizontal="center"/>
    </xf>
    <xf numFmtId="0" fontId="2" fillId="0" borderId="0" xfId="0" applyNumberFormat="1" applyFont="1" applyAlignment="1">
      <alignment horizontal="left"/>
    </xf>
    <xf numFmtId="165" fontId="2" fillId="0" borderId="2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2" fillId="4" borderId="40" xfId="0" applyNumberFormat="1" applyFont="1" applyFill="1" applyBorder="1" applyAlignment="1">
      <alignment horizontal="center"/>
    </xf>
    <xf numFmtId="0" fontId="2" fillId="4" borderId="0" xfId="0" applyNumberFormat="1" applyFont="1" applyFill="1" applyBorder="1" applyAlignment="1">
      <alignment horizontal="center"/>
    </xf>
    <xf numFmtId="0" fontId="2" fillId="4" borderId="36" xfId="0" applyNumberFormat="1" applyFont="1" applyFill="1" applyBorder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2" fillId="4" borderId="21" xfId="0" applyNumberFormat="1" applyFont="1" applyFill="1" applyBorder="1" applyAlignment="1">
      <alignment horizontal="center"/>
    </xf>
    <xf numFmtId="0" fontId="2" fillId="4" borderId="5" xfId="0" applyNumberFormat="1" applyFont="1" applyFill="1" applyBorder="1" applyAlignment="1">
      <alignment horizontal="center"/>
    </xf>
    <xf numFmtId="0" fontId="2" fillId="4" borderId="39" xfId="0" applyNumberFormat="1" applyFont="1" applyFill="1" applyBorder="1" applyAlignment="1">
      <alignment horizontal="center"/>
    </xf>
    <xf numFmtId="2" fontId="2" fillId="0" borderId="2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0" fontId="2" fillId="4" borderId="20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0" fontId="2" fillId="4" borderId="21" xfId="0" applyNumberFormat="1" applyFont="1" applyFill="1" applyBorder="1" applyAlignment="1">
      <alignment horizontal="center" vertical="center"/>
    </xf>
    <xf numFmtId="0" fontId="2" fillId="4" borderId="37" xfId="0" applyNumberFormat="1" applyFont="1" applyFill="1" applyBorder="1" applyAlignment="1">
      <alignment horizontal="center" vertical="center"/>
    </xf>
    <xf numFmtId="0" fontId="0" fillId="0" borderId="37" xfId="0" applyBorder="1" applyAlignment="1"/>
    <xf numFmtId="0" fontId="0" fillId="0" borderId="38" xfId="0" applyBorder="1" applyAlignment="1"/>
    <xf numFmtId="0" fontId="0" fillId="0" borderId="20" xfId="0" applyBorder="1" applyAlignment="1"/>
    <xf numFmtId="0" fontId="0" fillId="0" borderId="4" xfId="0" applyBorder="1" applyAlignment="1"/>
    <xf numFmtId="0" fontId="2" fillId="0" borderId="37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46" fillId="0" borderId="0" xfId="0" applyNumberFormat="1" applyFont="1" applyAlignment="1">
      <alignment horizontal="left"/>
    </xf>
    <xf numFmtId="0" fontId="47" fillId="0" borderId="0" xfId="0" applyNumberFormat="1" applyFont="1" applyAlignment="1">
      <alignment horizontal="left"/>
    </xf>
    <xf numFmtId="0" fontId="46" fillId="0" borderId="0" xfId="0" applyNumberFormat="1" applyFont="1" applyAlignment="1">
      <alignment horizontal="right"/>
    </xf>
    <xf numFmtId="0" fontId="44" fillId="0" borderId="0" xfId="0" applyNumberFormat="1" applyFont="1" applyAlignment="1">
      <alignment horizontal="left"/>
    </xf>
    <xf numFmtId="0" fontId="44" fillId="0" borderId="17" xfId="0" applyNumberFormat="1" applyFont="1" applyBorder="1" applyAlignment="1">
      <alignment horizontal="left"/>
    </xf>
    <xf numFmtId="0" fontId="44" fillId="0" borderId="12" xfId="0" applyNumberFormat="1" applyFont="1" applyBorder="1" applyAlignment="1">
      <alignment horizontal="left"/>
    </xf>
    <xf numFmtId="0" fontId="44" fillId="0" borderId="19" xfId="0" applyNumberFormat="1" applyFont="1" applyBorder="1" applyAlignment="1">
      <alignment horizontal="left"/>
    </xf>
    <xf numFmtId="0" fontId="0" fillId="0" borderId="19" xfId="0" applyBorder="1"/>
    <xf numFmtId="0" fontId="0" fillId="0" borderId="3" xfId="0" applyBorder="1"/>
    <xf numFmtId="0" fontId="44" fillId="0" borderId="19" xfId="0" applyNumberFormat="1" applyFont="1" applyBorder="1" applyAlignment="1">
      <alignment horizontal="left" wrapText="1"/>
    </xf>
    <xf numFmtId="0" fontId="44" fillId="4" borderId="19" xfId="0" applyNumberFormat="1" applyFont="1" applyFill="1" applyBorder="1" applyAlignment="1">
      <alignment horizontal="left"/>
    </xf>
    <xf numFmtId="0" fontId="44" fillId="0" borderId="14" xfId="0" applyNumberFormat="1" applyFont="1" applyBorder="1" applyAlignment="1">
      <alignment horizontal="left"/>
    </xf>
    <xf numFmtId="0" fontId="44" fillId="0" borderId="8" xfId="0" applyNumberFormat="1" applyFont="1" applyBorder="1" applyAlignment="1">
      <alignment horizontal="left"/>
    </xf>
    <xf numFmtId="0" fontId="50" fillId="4" borderId="17" xfId="0" applyNumberFormat="1" applyFont="1" applyFill="1" applyBorder="1" applyAlignment="1">
      <alignment horizontal="center"/>
    </xf>
    <xf numFmtId="0" fontId="50" fillId="4" borderId="12" xfId="0" applyNumberFormat="1" applyFont="1" applyFill="1" applyBorder="1" applyAlignment="1">
      <alignment horizontal="center"/>
    </xf>
    <xf numFmtId="0" fontId="44" fillId="0" borderId="0" xfId="0" applyNumberFormat="1" applyFont="1" applyAlignment="1">
      <alignment horizontal="left" wrapText="1"/>
    </xf>
    <xf numFmtId="0" fontId="44" fillId="0" borderId="14" xfId="0" applyNumberFormat="1" applyFont="1" applyBorder="1" applyAlignment="1">
      <alignment horizontal="left" wrapText="1"/>
    </xf>
    <xf numFmtId="0" fontId="50" fillId="0" borderId="0" xfId="0" applyNumberFormat="1" applyFont="1" applyAlignment="1">
      <alignment horizontal="left"/>
    </xf>
    <xf numFmtId="0" fontId="50" fillId="4" borderId="12" xfId="0" applyNumberFormat="1" applyFont="1" applyFill="1" applyBorder="1" applyAlignment="1">
      <alignment horizontal="center" vertical="center"/>
    </xf>
    <xf numFmtId="0" fontId="50" fillId="4" borderId="8" xfId="0" applyNumberFormat="1" applyFont="1" applyFill="1" applyBorder="1" applyAlignment="1">
      <alignment horizontal="center" vertical="center"/>
    </xf>
    <xf numFmtId="0" fontId="50" fillId="4" borderId="14" xfId="0" applyNumberFormat="1" applyFont="1" applyFill="1" applyBorder="1" applyAlignment="1">
      <alignment horizontal="center" vertical="center"/>
    </xf>
    <xf numFmtId="0" fontId="50" fillId="4" borderId="10" xfId="0" applyNumberFormat="1" applyFont="1" applyFill="1" applyBorder="1" applyAlignment="1">
      <alignment horizontal="center" vertical="center"/>
    </xf>
    <xf numFmtId="0" fontId="50" fillId="4" borderId="11" xfId="0" applyNumberFormat="1" applyFont="1" applyFill="1" applyBorder="1" applyAlignment="1">
      <alignment horizontal="center" vertical="center"/>
    </xf>
    <xf numFmtId="0" fontId="50" fillId="4" borderId="10" xfId="0" applyNumberFormat="1" applyFont="1" applyFill="1" applyBorder="1" applyAlignment="1">
      <alignment horizontal="center"/>
    </xf>
    <xf numFmtId="0" fontId="50" fillId="4" borderId="13" xfId="0" applyNumberFormat="1" applyFont="1" applyFill="1" applyBorder="1" applyAlignment="1">
      <alignment horizontal="center"/>
    </xf>
    <xf numFmtId="0" fontId="44" fillId="4" borderId="16" xfId="0" applyNumberFormat="1" applyFont="1" applyFill="1" applyBorder="1" applyAlignment="1">
      <alignment horizontal="center"/>
    </xf>
    <xf numFmtId="0" fontId="44" fillId="4" borderId="9" xfId="0" applyNumberFormat="1" applyFont="1" applyFill="1" applyBorder="1" applyAlignment="1">
      <alignment horizontal="center"/>
    </xf>
    <xf numFmtId="0" fontId="44" fillId="4" borderId="10" xfId="0" applyNumberFormat="1" applyFont="1" applyFill="1" applyBorder="1" applyAlignment="1">
      <alignment horizontal="center"/>
    </xf>
    <xf numFmtId="0" fontId="2" fillId="4" borderId="4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4" borderId="38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6" fillId="0" borderId="3" xfId="3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8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43" fillId="0" borderId="0" xfId="0" applyNumberFormat="1" applyFont="1" applyAlignment="1">
      <alignment horizontal="left"/>
    </xf>
    <xf numFmtId="4" fontId="42" fillId="0" borderId="33" xfId="0" applyNumberFormat="1" applyFont="1" applyFill="1" applyBorder="1" applyAlignment="1">
      <alignment horizontal="right" vertical="center"/>
    </xf>
    <xf numFmtId="4" fontId="42" fillId="0" borderId="28" xfId="0" applyNumberFormat="1" applyFont="1" applyFill="1" applyBorder="1" applyAlignment="1">
      <alignment horizontal="right" vertical="center"/>
    </xf>
    <xf numFmtId="0" fontId="42" fillId="0" borderId="33" xfId="0" applyFont="1" applyFill="1" applyBorder="1" applyAlignment="1">
      <alignment horizontal="right" vertical="center"/>
    </xf>
    <xf numFmtId="0" fontId="42" fillId="0" borderId="0" xfId="0" applyFont="1" applyFill="1" applyAlignment="1">
      <alignment horizontal="right" vertical="center"/>
    </xf>
    <xf numFmtId="0" fontId="42" fillId="0" borderId="28" xfId="0" applyFont="1" applyFill="1" applyBorder="1" applyAlignment="1">
      <alignment horizontal="right" vertical="center"/>
    </xf>
    <xf numFmtId="0" fontId="42" fillId="0" borderId="29" xfId="0" applyFont="1" applyFill="1" applyBorder="1"/>
    <xf numFmtId="0" fontId="42" fillId="0" borderId="0" xfId="0" applyFont="1" applyFill="1"/>
    <xf numFmtId="4" fontId="42" fillId="0" borderId="34" xfId="0" applyNumberFormat="1" applyFont="1" applyFill="1" applyBorder="1" applyAlignment="1">
      <alignment horizontal="right" vertical="center"/>
    </xf>
    <xf numFmtId="4" fontId="42" fillId="0" borderId="31" xfId="0" applyNumberFormat="1" applyFont="1" applyFill="1" applyBorder="1" applyAlignment="1">
      <alignment horizontal="right" vertical="center"/>
    </xf>
    <xf numFmtId="0" fontId="42" fillId="0" borderId="34" xfId="0" applyFont="1" applyFill="1" applyBorder="1" applyAlignment="1">
      <alignment horizontal="right" vertical="center"/>
    </xf>
    <xf numFmtId="0" fontId="42" fillId="0" borderId="23" xfId="0" applyFont="1" applyFill="1" applyBorder="1" applyAlignment="1">
      <alignment horizontal="right" vertical="center"/>
    </xf>
    <xf numFmtId="0" fontId="42" fillId="0" borderId="31" xfId="0" applyFont="1" applyFill="1" applyBorder="1" applyAlignment="1">
      <alignment horizontal="right" vertical="center"/>
    </xf>
    <xf numFmtId="4" fontId="42" fillId="0" borderId="32" xfId="0" applyNumberFormat="1" applyFont="1" applyFill="1" applyBorder="1" applyAlignment="1">
      <alignment horizontal="right" vertical="center"/>
    </xf>
    <xf numFmtId="4" fontId="42" fillId="0" borderId="25" xfId="0" applyNumberFormat="1" applyFont="1" applyFill="1" applyBorder="1" applyAlignment="1">
      <alignment horizontal="right" vertical="center"/>
    </xf>
    <xf numFmtId="0" fontId="42" fillId="0" borderId="32" xfId="0" applyFont="1" applyFill="1" applyBorder="1" applyAlignment="1">
      <alignment horizontal="right" vertical="center"/>
    </xf>
    <xf numFmtId="0" fontId="42" fillId="0" borderId="29" xfId="0" applyFont="1" applyFill="1" applyBorder="1" applyAlignment="1">
      <alignment horizontal="right" vertical="center"/>
    </xf>
    <xf numFmtId="0" fontId="42" fillId="0" borderId="25" xfId="0" applyFont="1" applyFill="1" applyBorder="1" applyAlignment="1">
      <alignment horizontal="right" vertical="center"/>
    </xf>
    <xf numFmtId="0" fontId="54" fillId="3" borderId="24" xfId="0" applyFont="1" applyFill="1" applyBorder="1" applyAlignment="1">
      <alignment horizontal="center" vertical="center"/>
    </xf>
    <xf numFmtId="0" fontId="54" fillId="3" borderId="34" xfId="0" applyFont="1" applyFill="1" applyBorder="1" applyAlignment="1">
      <alignment horizontal="center" vertical="center"/>
    </xf>
    <xf numFmtId="0" fontId="41" fillId="3" borderId="24" xfId="0" applyFont="1" applyFill="1" applyBorder="1" applyAlignment="1">
      <alignment horizontal="center" vertical="center" wrapText="1"/>
    </xf>
    <xf numFmtId="0" fontId="41" fillId="3" borderId="25" xfId="0" applyFont="1" applyFill="1" applyBorder="1" applyAlignment="1">
      <alignment horizontal="center" vertical="center" wrapText="1"/>
    </xf>
    <xf numFmtId="0" fontId="41" fillId="3" borderId="30" xfId="0" applyFont="1" applyFill="1" applyBorder="1" applyAlignment="1">
      <alignment horizontal="center" vertical="center" wrapText="1"/>
    </xf>
    <xf numFmtId="0" fontId="41" fillId="3" borderId="31" xfId="0" applyFont="1" applyFill="1" applyBorder="1" applyAlignment="1">
      <alignment horizontal="center" vertical="center" wrapText="1"/>
    </xf>
    <xf numFmtId="0" fontId="41" fillId="3" borderId="34" xfId="0" applyFont="1" applyFill="1" applyBorder="1" applyAlignment="1">
      <alignment horizontal="center" vertical="center" wrapText="1"/>
    </xf>
    <xf numFmtId="0" fontId="41" fillId="3" borderId="24" xfId="0" applyFont="1" applyFill="1" applyBorder="1" applyAlignment="1">
      <alignment horizontal="center" vertical="center"/>
    </xf>
    <xf numFmtId="0" fontId="41" fillId="3" borderId="26" xfId="0" applyFont="1" applyFill="1" applyBorder="1" applyAlignment="1">
      <alignment horizontal="center" vertical="center"/>
    </xf>
    <xf numFmtId="0" fontId="41" fillId="3" borderId="43" xfId="0" applyFont="1" applyFill="1" applyBorder="1" applyAlignment="1">
      <alignment horizontal="center" vertical="center"/>
    </xf>
    <xf numFmtId="0" fontId="51" fillId="0" borderId="27" xfId="0" applyFont="1" applyFill="1" applyBorder="1" applyAlignment="1">
      <alignment vertical="top"/>
    </xf>
    <xf numFmtId="0" fontId="51" fillId="0" borderId="0" xfId="0" applyFont="1" applyFill="1" applyAlignment="1">
      <alignment vertical="top"/>
    </xf>
    <xf numFmtId="0" fontId="41" fillId="3" borderId="26" xfId="0" applyFont="1" applyFill="1" applyBorder="1" applyAlignment="1">
      <alignment horizontal="center" vertical="center" wrapText="1"/>
    </xf>
    <xf numFmtId="0" fontId="41" fillId="3" borderId="43" xfId="0" applyFont="1" applyFill="1" applyBorder="1" applyAlignment="1">
      <alignment horizontal="center" vertical="center" wrapText="1"/>
    </xf>
    <xf numFmtId="0" fontId="51" fillId="0" borderId="23" xfId="0" applyFont="1" applyFill="1" applyBorder="1" applyAlignment="1">
      <alignment vertical="top"/>
    </xf>
    <xf numFmtId="0" fontId="52" fillId="0" borderId="0" xfId="0" applyFont="1" applyFill="1" applyAlignment="1">
      <alignment horizontal="right" vertical="top" wrapText="1"/>
    </xf>
    <xf numFmtId="0" fontId="41" fillId="3" borderId="29" xfId="0" applyFont="1" applyFill="1" applyBorder="1" applyAlignment="1">
      <alignment horizontal="center" vertical="center" wrapText="1"/>
    </xf>
    <xf numFmtId="0" fontId="41" fillId="3" borderId="23" xfId="0" applyFont="1" applyFill="1" applyBorder="1" applyAlignment="1">
      <alignment horizontal="center" vertical="center" wrapText="1"/>
    </xf>
    <xf numFmtId="0" fontId="51" fillId="0" borderId="29" xfId="0" applyFont="1" applyFill="1" applyBorder="1" applyAlignment="1">
      <alignment vertical="top"/>
    </xf>
    <xf numFmtId="0" fontId="53" fillId="0" borderId="0" xfId="0" applyFont="1" applyFill="1" applyAlignment="1">
      <alignment vertical="top"/>
    </xf>
    <xf numFmtId="4" fontId="42" fillId="5" borderId="24" xfId="0" applyNumberFormat="1" applyFont="1" applyFill="1" applyBorder="1" applyAlignment="1">
      <alignment horizontal="right" vertical="center"/>
    </xf>
    <xf numFmtId="4" fontId="42" fillId="5" borderId="43" xfId="0" applyNumberFormat="1" applyFont="1" applyFill="1" applyBorder="1" applyAlignment="1">
      <alignment horizontal="right" vertical="center"/>
    </xf>
    <xf numFmtId="4" fontId="42" fillId="5" borderId="26" xfId="0" applyNumberFormat="1" applyFont="1" applyFill="1" applyBorder="1" applyAlignment="1">
      <alignment horizontal="right" vertical="center"/>
    </xf>
    <xf numFmtId="4" fontId="42" fillId="0" borderId="24" xfId="0" applyNumberFormat="1" applyFont="1" applyFill="1" applyBorder="1" applyAlignment="1">
      <alignment horizontal="right" vertical="center"/>
    </xf>
    <xf numFmtId="4" fontId="42" fillId="0" borderId="43" xfId="0" applyNumberFormat="1" applyFont="1" applyFill="1" applyBorder="1" applyAlignment="1">
      <alignment horizontal="right" vertical="center"/>
    </xf>
    <xf numFmtId="4" fontId="42" fillId="0" borderId="26" xfId="0" applyNumberFormat="1" applyFont="1" applyFill="1" applyBorder="1" applyAlignment="1">
      <alignment horizontal="right" vertical="center"/>
    </xf>
    <xf numFmtId="4" fontId="42" fillId="0" borderId="0" xfId="0" applyNumberFormat="1" applyFont="1" applyFill="1" applyAlignment="1">
      <alignment horizontal="right" vertical="center"/>
    </xf>
    <xf numFmtId="4" fontId="42" fillId="0" borderId="23" xfId="0" applyNumberFormat="1" applyFont="1" applyFill="1" applyBorder="1" applyAlignment="1">
      <alignment horizontal="right" vertical="center"/>
    </xf>
    <xf numFmtId="4" fontId="42" fillId="0" borderId="29" xfId="0" applyNumberFormat="1" applyFont="1" applyFill="1" applyBorder="1" applyAlignment="1">
      <alignment horizontal="right" vertical="center"/>
    </xf>
    <xf numFmtId="0" fontId="42" fillId="0" borderId="24" xfId="0" applyFont="1" applyFill="1" applyBorder="1" applyAlignment="1">
      <alignment horizontal="right" vertical="center"/>
    </xf>
    <xf numFmtId="0" fontId="42" fillId="0" borderId="26" xfId="0" applyFont="1" applyFill="1" applyBorder="1" applyAlignment="1">
      <alignment horizontal="right" vertical="center"/>
    </xf>
    <xf numFmtId="0" fontId="42" fillId="0" borderId="43" xfId="0" applyFont="1" applyFill="1" applyBorder="1" applyAlignment="1">
      <alignment horizontal="right" vertical="center"/>
    </xf>
    <xf numFmtId="0" fontId="42" fillId="5" borderId="24" xfId="0" applyFont="1" applyFill="1" applyBorder="1" applyAlignment="1">
      <alignment horizontal="right" vertical="center"/>
    </xf>
    <xf numFmtId="0" fontId="42" fillId="5" borderId="26" xfId="0" applyFont="1" applyFill="1" applyBorder="1" applyAlignment="1">
      <alignment horizontal="right" vertical="center"/>
    </xf>
    <xf numFmtId="0" fontId="42" fillId="5" borderId="43" xfId="0" applyFont="1" applyFill="1" applyBorder="1" applyAlignment="1">
      <alignment horizontal="right" vertical="center"/>
    </xf>
    <xf numFmtId="4" fontId="41" fillId="5" borderId="24" xfId="0" applyNumberFormat="1" applyFont="1" applyFill="1" applyBorder="1" applyAlignment="1">
      <alignment horizontal="right" vertical="center"/>
    </xf>
    <xf numFmtId="4" fontId="41" fillId="5" borderId="43" xfId="0" applyNumberFormat="1" applyFont="1" applyFill="1" applyBorder="1" applyAlignment="1">
      <alignment horizontal="right" vertical="center"/>
    </xf>
    <xf numFmtId="4" fontId="41" fillId="5" borderId="26" xfId="0" applyNumberFormat="1" applyFont="1" applyFill="1" applyBorder="1" applyAlignment="1">
      <alignment horizontal="right" vertical="center"/>
    </xf>
    <xf numFmtId="0" fontId="42" fillId="0" borderId="0" xfId="0" applyFont="1" applyFill="1" applyAlignment="1">
      <alignment vertical="top" wrapText="1"/>
    </xf>
    <xf numFmtId="0" fontId="42" fillId="0" borderId="0" xfId="0" applyFont="1" applyFill="1" applyAlignment="1">
      <alignment vertical="center"/>
    </xf>
    <xf numFmtId="0" fontId="52" fillId="0" borderId="23" xfId="0" applyFont="1" applyFill="1" applyBorder="1" applyAlignment="1">
      <alignment horizontal="right" vertical="top" wrapText="1"/>
    </xf>
    <xf numFmtId="4" fontId="41" fillId="0" borderId="33" xfId="0" applyNumberFormat="1" applyFont="1" applyFill="1" applyBorder="1" applyAlignment="1">
      <alignment horizontal="right" vertical="center"/>
    </xf>
    <xf numFmtId="4" fontId="41" fillId="0" borderId="28" xfId="0" applyNumberFormat="1" applyFont="1" applyFill="1" applyBorder="1" applyAlignment="1">
      <alignment horizontal="right" vertical="center"/>
    </xf>
    <xf numFmtId="4" fontId="41" fillId="0" borderId="0" xfId="0" applyNumberFormat="1" applyFont="1" applyFill="1" applyAlignment="1">
      <alignment horizontal="right" vertical="center"/>
    </xf>
    <xf numFmtId="4" fontId="41" fillId="0" borderId="32" xfId="0" applyNumberFormat="1" applyFont="1" applyFill="1" applyBorder="1" applyAlignment="1">
      <alignment horizontal="right" vertical="center"/>
    </xf>
    <xf numFmtId="4" fontId="41" fillId="0" borderId="25" xfId="0" applyNumberFormat="1" applyFont="1" applyFill="1" applyBorder="1" applyAlignment="1">
      <alignment horizontal="right" vertical="center"/>
    </xf>
    <xf numFmtId="4" fontId="41" fillId="0" borderId="29" xfId="0" applyNumberFormat="1" applyFont="1" applyFill="1" applyBorder="1" applyAlignment="1">
      <alignment horizontal="right" vertical="center"/>
    </xf>
    <xf numFmtId="0" fontId="51" fillId="0" borderId="26" xfId="0" applyFont="1" applyFill="1" applyBorder="1" applyAlignment="1">
      <alignment vertical="top"/>
    </xf>
    <xf numFmtId="4" fontId="55" fillId="0" borderId="24" xfId="0" applyNumberFormat="1" applyFont="1" applyFill="1" applyBorder="1" applyAlignment="1">
      <alignment horizontal="right" vertical="center"/>
    </xf>
    <xf numFmtId="4" fontId="55" fillId="0" borderId="26" xfId="0" applyNumberFormat="1" applyFont="1" applyFill="1" applyBorder="1" applyAlignment="1">
      <alignment horizontal="right" vertical="center"/>
    </xf>
    <xf numFmtId="4" fontId="55" fillId="0" borderId="43" xfId="0" applyNumberFormat="1" applyFont="1" applyFill="1" applyBorder="1" applyAlignment="1">
      <alignment horizontal="right" vertical="center"/>
    </xf>
    <xf numFmtId="0" fontId="41" fillId="5" borderId="24" xfId="0" applyFont="1" applyFill="1" applyBorder="1" applyAlignment="1">
      <alignment horizontal="right" vertical="center"/>
    </xf>
    <xf numFmtId="0" fontId="41" fillId="5" borderId="26" xfId="0" applyFont="1" applyFill="1" applyBorder="1" applyAlignment="1">
      <alignment horizontal="right" vertical="center"/>
    </xf>
    <xf numFmtId="0" fontId="41" fillId="5" borderId="43" xfId="0" applyFont="1" applyFill="1" applyBorder="1" applyAlignment="1">
      <alignment horizontal="right" vertical="center"/>
    </xf>
    <xf numFmtId="0" fontId="41" fillId="0" borderId="33" xfId="0" applyFont="1" applyFill="1" applyBorder="1" applyAlignment="1">
      <alignment horizontal="right" vertical="center"/>
    </xf>
    <xf numFmtId="0" fontId="41" fillId="0" borderId="0" xfId="0" applyFont="1" applyFill="1" applyAlignment="1">
      <alignment horizontal="right" vertical="center"/>
    </xf>
    <xf numFmtId="0" fontId="41" fillId="0" borderId="28" xfId="0" applyFont="1" applyFill="1" applyBorder="1" applyAlignment="1">
      <alignment horizontal="right" vertical="center"/>
    </xf>
    <xf numFmtId="0" fontId="41" fillId="0" borderId="32" xfId="0" applyFont="1" applyFill="1" applyBorder="1" applyAlignment="1">
      <alignment horizontal="right" vertical="center"/>
    </xf>
    <xf numFmtId="0" fontId="41" fillId="0" borderId="29" xfId="0" applyFont="1" applyFill="1" applyBorder="1" applyAlignment="1">
      <alignment horizontal="right" vertical="center"/>
    </xf>
    <xf numFmtId="0" fontId="41" fillId="0" borderId="25" xfId="0" applyFont="1" applyFill="1" applyBorder="1" applyAlignment="1">
      <alignment horizontal="right" vertical="center"/>
    </xf>
    <xf numFmtId="0" fontId="60" fillId="0" borderId="33" xfId="0" applyFont="1" applyFill="1" applyBorder="1" applyAlignment="1">
      <alignment vertical="center" wrapText="1"/>
    </xf>
    <xf numFmtId="0" fontId="60" fillId="0" borderId="28" xfId="0" applyFont="1" applyFill="1" applyBorder="1" applyAlignment="1">
      <alignment vertical="center" wrapText="1"/>
    </xf>
    <xf numFmtId="0" fontId="60" fillId="0" borderId="28" xfId="0" applyFont="1" applyFill="1" applyBorder="1" applyAlignment="1">
      <alignment horizontal="right" vertical="center"/>
    </xf>
    <xf numFmtId="0" fontId="60" fillId="0" borderId="0" xfId="0" applyFont="1" applyFill="1" applyAlignment="1">
      <alignment horizontal="right" vertical="center"/>
    </xf>
    <xf numFmtId="0" fontId="60" fillId="0" borderId="34" xfId="0" applyFont="1" applyFill="1" applyBorder="1" applyAlignment="1">
      <alignment vertical="center" wrapText="1"/>
    </xf>
    <xf numFmtId="0" fontId="60" fillId="0" borderId="31" xfId="0" applyFont="1" applyFill="1" applyBorder="1" applyAlignment="1">
      <alignment vertical="center" wrapText="1"/>
    </xf>
    <xf numFmtId="0" fontId="60" fillId="0" borderId="31" xfId="0" applyFont="1" applyFill="1" applyBorder="1" applyAlignment="1">
      <alignment horizontal="right" vertical="center"/>
    </xf>
    <xf numFmtId="0" fontId="60" fillId="0" borderId="23" xfId="0" applyFont="1" applyFill="1" applyBorder="1" applyAlignment="1">
      <alignment horizontal="right" vertical="center"/>
    </xf>
    <xf numFmtId="0" fontId="60" fillId="0" borderId="0" xfId="0" applyFont="1" applyFill="1"/>
    <xf numFmtId="0" fontId="59" fillId="3" borderId="24" xfId="0" applyFont="1" applyFill="1" applyBorder="1" applyAlignment="1">
      <alignment horizontal="center" vertical="center"/>
    </xf>
    <xf numFmtId="0" fontId="59" fillId="3" borderId="43" xfId="0" applyFont="1" applyFill="1" applyBorder="1" applyAlignment="1">
      <alignment horizontal="center" vertical="center"/>
    </xf>
    <xf numFmtId="0" fontId="60" fillId="3" borderId="24" xfId="0" applyFont="1" applyFill="1" applyBorder="1" applyAlignment="1">
      <alignment horizontal="center" vertical="center"/>
    </xf>
    <xf numFmtId="0" fontId="60" fillId="3" borderId="26" xfId="0" applyFont="1" applyFill="1" applyBorder="1" applyAlignment="1">
      <alignment horizontal="center" vertical="center"/>
    </xf>
    <xf numFmtId="0" fontId="60" fillId="3" borderId="43" xfId="0" applyFont="1" applyFill="1" applyBorder="1" applyAlignment="1">
      <alignment horizontal="center" vertical="center"/>
    </xf>
    <xf numFmtId="0" fontId="60" fillId="0" borderId="32" xfId="0" applyFont="1" applyFill="1" applyBorder="1" applyAlignment="1">
      <alignment vertical="center" wrapText="1"/>
    </xf>
    <xf numFmtId="0" fontId="60" fillId="0" borderId="25" xfId="0" applyFont="1" applyFill="1" applyBorder="1" applyAlignment="1">
      <alignment vertical="center" wrapText="1"/>
    </xf>
    <xf numFmtId="0" fontId="60" fillId="0" borderId="25" xfId="0" applyFont="1" applyFill="1" applyBorder="1" applyAlignment="1">
      <alignment horizontal="right" vertical="center"/>
    </xf>
    <xf numFmtId="0" fontId="60" fillId="0" borderId="29" xfId="0" applyFont="1" applyFill="1" applyBorder="1" applyAlignment="1">
      <alignment horizontal="right" vertical="center"/>
    </xf>
    <xf numFmtId="0" fontId="59" fillId="3" borderId="24" xfId="0" applyFont="1" applyFill="1" applyBorder="1" applyAlignment="1">
      <alignment vertical="center" wrapText="1"/>
    </xf>
    <xf numFmtId="0" fontId="59" fillId="3" borderId="43" xfId="0" applyFont="1" applyFill="1" applyBorder="1" applyAlignment="1">
      <alignment vertical="center" wrapText="1"/>
    </xf>
    <xf numFmtId="0" fontId="59" fillId="3" borderId="24" xfId="0" applyFont="1" applyFill="1" applyBorder="1" applyAlignment="1">
      <alignment horizontal="right" vertical="center"/>
    </xf>
    <xf numFmtId="0" fontId="59" fillId="3" borderId="26" xfId="0" applyFont="1" applyFill="1" applyBorder="1" applyAlignment="1">
      <alignment horizontal="right" vertical="center"/>
    </xf>
    <xf numFmtId="0" fontId="59" fillId="3" borderId="43" xfId="0" applyFont="1" applyFill="1" applyBorder="1" applyAlignment="1">
      <alignment horizontal="right" vertical="center"/>
    </xf>
    <xf numFmtId="0" fontId="61" fillId="0" borderId="24" xfId="0" applyFont="1" applyFill="1" applyBorder="1" applyAlignment="1">
      <alignment vertical="top"/>
    </xf>
    <xf numFmtId="0" fontId="61" fillId="0" borderId="26" xfId="0" applyFont="1" applyFill="1" applyBorder="1" applyAlignment="1">
      <alignment vertical="top"/>
    </xf>
    <xf numFmtId="0" fontId="61" fillId="0" borderId="43" xfId="0" applyFont="1" applyFill="1" applyBorder="1" applyAlignment="1">
      <alignment vertical="top"/>
    </xf>
    <xf numFmtId="0" fontId="60" fillId="0" borderId="34" xfId="0" applyFont="1" applyFill="1" applyBorder="1" applyAlignment="1">
      <alignment horizontal="right" vertical="center"/>
    </xf>
    <xf numFmtId="169" fontId="60" fillId="0" borderId="34" xfId="0" applyNumberFormat="1" applyFont="1" applyFill="1" applyBorder="1" applyAlignment="1">
      <alignment horizontal="right" vertical="center"/>
    </xf>
    <xf numFmtId="169" fontId="60" fillId="0" borderId="23" xfId="0" applyNumberFormat="1" applyFont="1" applyFill="1" applyBorder="1" applyAlignment="1">
      <alignment horizontal="right" vertical="center"/>
    </xf>
    <xf numFmtId="169" fontId="60" fillId="0" borderId="31" xfId="0" applyNumberFormat="1" applyFont="1" applyFill="1" applyBorder="1" applyAlignment="1">
      <alignment horizontal="right" vertical="center"/>
    </xf>
    <xf numFmtId="0" fontId="59" fillId="3" borderId="26" xfId="0" applyFont="1" applyFill="1" applyBorder="1" applyAlignment="1">
      <alignment horizontal="center" vertical="center"/>
    </xf>
    <xf numFmtId="0" fontId="60" fillId="0" borderId="33" xfId="0" applyFont="1" applyFill="1" applyBorder="1" applyAlignment="1">
      <alignment horizontal="right" vertical="center"/>
    </xf>
    <xf numFmtId="169" fontId="60" fillId="0" borderId="33" xfId="0" applyNumberFormat="1" applyFont="1" applyFill="1" applyBorder="1" applyAlignment="1">
      <alignment horizontal="right" vertical="center"/>
    </xf>
    <xf numFmtId="169" fontId="60" fillId="0" borderId="0" xfId="0" applyNumberFormat="1" applyFont="1" applyFill="1" applyAlignment="1">
      <alignment horizontal="right" vertical="center"/>
    </xf>
    <xf numFmtId="169" fontId="60" fillId="0" borderId="28" xfId="0" applyNumberFormat="1" applyFont="1" applyFill="1" applyBorder="1" applyAlignment="1">
      <alignment horizontal="right" vertical="center"/>
    </xf>
    <xf numFmtId="0" fontId="60" fillId="0" borderId="32" xfId="0" applyFont="1" applyFill="1" applyBorder="1" applyAlignment="1">
      <alignment horizontal="right" vertical="center"/>
    </xf>
    <xf numFmtId="169" fontId="60" fillId="0" borderId="32" xfId="0" applyNumberFormat="1" applyFont="1" applyFill="1" applyBorder="1" applyAlignment="1">
      <alignment horizontal="right" vertical="center"/>
    </xf>
    <xf numFmtId="169" fontId="60" fillId="0" borderId="29" xfId="0" applyNumberFormat="1" applyFont="1" applyFill="1" applyBorder="1" applyAlignment="1">
      <alignment horizontal="right" vertical="center"/>
    </xf>
    <xf numFmtId="169" fontId="60" fillId="0" borderId="25" xfId="0" applyNumberFormat="1" applyFont="1" applyFill="1" applyBorder="1" applyAlignment="1">
      <alignment horizontal="right" vertical="center"/>
    </xf>
    <xf numFmtId="0" fontId="60" fillId="0" borderId="24" xfId="0" applyFont="1" applyFill="1" applyBorder="1" applyAlignment="1">
      <alignment vertical="center" wrapText="1"/>
    </xf>
    <xf numFmtId="0" fontId="60" fillId="0" borderId="43" xfId="0" applyFont="1" applyFill="1" applyBorder="1" applyAlignment="1">
      <alignment vertical="center" wrapText="1"/>
    </xf>
    <xf numFmtId="0" fontId="60" fillId="0" borderId="24" xfId="0" applyFont="1" applyFill="1" applyBorder="1" applyAlignment="1">
      <alignment horizontal="right" vertical="center"/>
    </xf>
    <xf numFmtId="0" fontId="60" fillId="0" borderId="26" xfId="0" applyFont="1" applyFill="1" applyBorder="1" applyAlignment="1">
      <alignment horizontal="right" vertical="center"/>
    </xf>
    <xf numFmtId="0" fontId="60" fillId="0" borderId="43" xfId="0" applyFont="1" applyFill="1" applyBorder="1" applyAlignment="1">
      <alignment horizontal="right" vertical="center"/>
    </xf>
    <xf numFmtId="0" fontId="59" fillId="3" borderId="25" xfId="0" applyFont="1" applyFill="1" applyBorder="1" applyAlignment="1">
      <alignment horizontal="center" vertical="center"/>
    </xf>
    <xf numFmtId="0" fontId="59" fillId="3" borderId="27" xfId="0" applyFont="1" applyFill="1" applyBorder="1" applyAlignment="1">
      <alignment horizontal="center" vertical="center"/>
    </xf>
    <xf numFmtId="0" fontId="59" fillId="3" borderId="28" xfId="0" applyFont="1" applyFill="1" applyBorder="1" applyAlignment="1">
      <alignment horizontal="center" vertical="center"/>
    </xf>
    <xf numFmtId="0" fontId="59" fillId="3" borderId="30" xfId="0" applyFont="1" applyFill="1" applyBorder="1" applyAlignment="1">
      <alignment horizontal="center" vertical="center"/>
    </xf>
    <xf numFmtId="0" fontId="59" fillId="3" borderId="31" xfId="0" applyFont="1" applyFill="1" applyBorder="1" applyAlignment="1">
      <alignment horizontal="center" vertical="center"/>
    </xf>
    <xf numFmtId="0" fontId="59" fillId="3" borderId="32" xfId="0" applyFont="1" applyFill="1" applyBorder="1" applyAlignment="1">
      <alignment horizontal="center" vertical="center"/>
    </xf>
    <xf numFmtId="0" fontId="59" fillId="3" borderId="29" xfId="0" applyFont="1" applyFill="1" applyBorder="1" applyAlignment="1">
      <alignment horizontal="center" vertical="center"/>
    </xf>
    <xf numFmtId="0" fontId="59" fillId="3" borderId="34" xfId="0" applyFont="1" applyFill="1" applyBorder="1" applyAlignment="1">
      <alignment horizontal="center" vertical="center"/>
    </xf>
    <xf numFmtId="0" fontId="59" fillId="3" borderId="23" xfId="0" applyFont="1" applyFill="1" applyBorder="1" applyAlignment="1">
      <alignment horizontal="center" vertical="center"/>
    </xf>
    <xf numFmtId="0" fontId="60" fillId="3" borderId="24" xfId="0" applyFont="1" applyFill="1" applyBorder="1" applyAlignment="1">
      <alignment horizontal="right" vertical="center"/>
    </xf>
    <xf numFmtId="0" fontId="60" fillId="3" borderId="26" xfId="0" applyFont="1" applyFill="1" applyBorder="1" applyAlignment="1">
      <alignment horizontal="right" vertical="center"/>
    </xf>
    <xf numFmtId="0" fontId="60" fillId="3" borderId="43" xfId="0" applyFont="1" applyFill="1" applyBorder="1" applyAlignment="1">
      <alignment horizontal="right" vertical="center"/>
    </xf>
    <xf numFmtId="169" fontId="60" fillId="0" borderId="24" xfId="0" applyNumberFormat="1" applyFont="1" applyFill="1" applyBorder="1" applyAlignment="1">
      <alignment horizontal="right" vertical="center"/>
    </xf>
    <xf numFmtId="169" fontId="60" fillId="0" borderId="26" xfId="0" applyNumberFormat="1" applyFont="1" applyFill="1" applyBorder="1" applyAlignment="1">
      <alignment horizontal="right" vertical="center"/>
    </xf>
    <xf numFmtId="169" fontId="60" fillId="0" borderId="43" xfId="0" applyNumberFormat="1" applyFont="1" applyFill="1" applyBorder="1" applyAlignment="1">
      <alignment horizontal="right" vertical="center"/>
    </xf>
    <xf numFmtId="0" fontId="60" fillId="3" borderId="24" xfId="0" applyFont="1" applyFill="1" applyBorder="1" applyAlignment="1">
      <alignment vertical="center"/>
    </xf>
    <xf numFmtId="0" fontId="60" fillId="3" borderId="43" xfId="0" applyFont="1" applyFill="1" applyBorder="1" applyAlignment="1">
      <alignment vertical="center"/>
    </xf>
    <xf numFmtId="0" fontId="56" fillId="0" borderId="0" xfId="0" applyFont="1" applyFill="1" applyAlignment="1">
      <alignment vertical="top"/>
    </xf>
    <xf numFmtId="0" fontId="60" fillId="0" borderId="34" xfId="0" applyFont="1" applyFill="1" applyBorder="1" applyAlignment="1">
      <alignment vertical="center"/>
    </xf>
    <xf numFmtId="0" fontId="60" fillId="0" borderId="31" xfId="0" applyFont="1" applyFill="1" applyBorder="1" applyAlignment="1">
      <alignment vertical="center"/>
    </xf>
    <xf numFmtId="0" fontId="60" fillId="0" borderId="30" xfId="0" applyFont="1" applyFill="1" applyBorder="1" applyAlignment="1">
      <alignment horizontal="right" vertical="center"/>
    </xf>
    <xf numFmtId="0" fontId="57" fillId="0" borderId="0" xfId="0" applyFont="1" applyFill="1" applyAlignment="1">
      <alignment horizontal="right" vertical="top"/>
    </xf>
    <xf numFmtId="0" fontId="58" fillId="0" borderId="0" xfId="0" applyFont="1" applyFill="1" applyAlignment="1">
      <alignment vertical="top"/>
    </xf>
    <xf numFmtId="0" fontId="60" fillId="0" borderId="33" xfId="0" applyFont="1" applyFill="1" applyBorder="1" applyAlignment="1">
      <alignment vertical="center"/>
    </xf>
    <xf numFmtId="0" fontId="60" fillId="0" borderId="28" xfId="0" applyFont="1" applyFill="1" applyBorder="1" applyAlignment="1">
      <alignment vertical="center"/>
    </xf>
    <xf numFmtId="0" fontId="60" fillId="0" borderId="27" xfId="0" applyFont="1" applyFill="1" applyBorder="1" applyAlignment="1">
      <alignment horizontal="right" vertical="center"/>
    </xf>
    <xf numFmtId="0" fontId="60" fillId="0" borderId="35" xfId="0" applyFont="1" applyFill="1" applyBorder="1" applyAlignment="1">
      <alignment horizontal="right" vertical="center"/>
    </xf>
    <xf numFmtId="0" fontId="60" fillId="3" borderId="34" xfId="0" applyFont="1" applyFill="1" applyBorder="1" applyAlignment="1">
      <alignment horizontal="center" vertical="center" wrapText="1"/>
    </xf>
    <xf numFmtId="0" fontId="60" fillId="3" borderId="31" xfId="0" applyFont="1" applyFill="1" applyBorder="1" applyAlignment="1">
      <alignment horizontal="center" vertical="center" wrapText="1"/>
    </xf>
    <xf numFmtId="0" fontId="60" fillId="0" borderId="32" xfId="0" applyFont="1" applyFill="1" applyBorder="1" applyAlignment="1">
      <alignment vertical="center"/>
    </xf>
    <xf numFmtId="0" fontId="60" fillId="0" borderId="25" xfId="0" applyFont="1" applyFill="1" applyBorder="1" applyAlignment="1">
      <alignment vertical="center"/>
    </xf>
    <xf numFmtId="0" fontId="60" fillId="3" borderId="24" xfId="0" applyFont="1" applyFill="1" applyBorder="1" applyAlignment="1">
      <alignment horizontal="center" vertical="center" wrapText="1"/>
    </xf>
    <xf numFmtId="0" fontId="60" fillId="3" borderId="33" xfId="0" applyFont="1" applyFill="1" applyBorder="1" applyAlignment="1">
      <alignment horizontal="center" vertical="center" wrapText="1"/>
    </xf>
    <xf numFmtId="0" fontId="60" fillId="3" borderId="25" xfId="0" applyFont="1" applyFill="1" applyBorder="1" applyAlignment="1">
      <alignment horizontal="center" vertical="center" wrapText="1"/>
    </xf>
    <xf numFmtId="0" fontId="60" fillId="3" borderId="27" xfId="0" applyFont="1" applyFill="1" applyBorder="1" applyAlignment="1">
      <alignment horizontal="center" vertical="center" wrapText="1"/>
    </xf>
    <xf numFmtId="0" fontId="60" fillId="3" borderId="28" xfId="0" applyFont="1" applyFill="1" applyBorder="1" applyAlignment="1">
      <alignment horizontal="center" vertical="center" wrapText="1"/>
    </xf>
    <xf numFmtId="0" fontId="60" fillId="3" borderId="30" xfId="0" applyFont="1" applyFill="1" applyBorder="1" applyAlignment="1">
      <alignment horizontal="center" vertical="center" wrapText="1"/>
    </xf>
    <xf numFmtId="0" fontId="60" fillId="3" borderId="32" xfId="0" applyFont="1" applyFill="1" applyBorder="1" applyAlignment="1">
      <alignment horizontal="center" vertical="center" wrapText="1"/>
    </xf>
    <xf numFmtId="0" fontId="60" fillId="3" borderId="26" xfId="0" applyFont="1" applyFill="1" applyBorder="1" applyAlignment="1">
      <alignment horizontal="center" vertical="center" wrapText="1"/>
    </xf>
    <xf numFmtId="0" fontId="60" fillId="3" borderId="43" xfId="0" applyFont="1" applyFill="1" applyBorder="1" applyAlignment="1">
      <alignment horizontal="center" vertical="center" wrapText="1"/>
    </xf>
    <xf numFmtId="0" fontId="57" fillId="0" borderId="23" xfId="0" applyFont="1" applyFill="1" applyBorder="1" applyAlignment="1">
      <alignment horizontal="right" vertical="top" wrapText="1"/>
    </xf>
    <xf numFmtId="0" fontId="60" fillId="3" borderId="32" xfId="0" applyFont="1" applyFill="1" applyBorder="1" applyAlignment="1">
      <alignment horizontal="center" vertical="center"/>
    </xf>
    <xf numFmtId="0" fontId="60" fillId="3" borderId="29" xfId="0" applyFont="1" applyFill="1" applyBorder="1" applyAlignment="1">
      <alignment horizontal="center" vertical="center"/>
    </xf>
    <xf numFmtId="0" fontId="60" fillId="3" borderId="25" xfId="0" applyFont="1" applyFill="1" applyBorder="1" applyAlignment="1">
      <alignment horizontal="center" vertical="center"/>
    </xf>
    <xf numFmtId="0" fontId="60" fillId="3" borderId="34" xfId="0" applyFont="1" applyFill="1" applyBorder="1" applyAlignment="1">
      <alignment horizontal="center" vertical="center"/>
    </xf>
    <xf numFmtId="0" fontId="60" fillId="3" borderId="23" xfId="0" applyFont="1" applyFill="1" applyBorder="1" applyAlignment="1">
      <alignment horizontal="center" vertical="center"/>
    </xf>
    <xf numFmtId="0" fontId="60" fillId="3" borderId="31" xfId="0" applyFont="1" applyFill="1" applyBorder="1" applyAlignment="1">
      <alignment horizontal="center" vertical="center"/>
    </xf>
    <xf numFmtId="0" fontId="60" fillId="0" borderId="29" xfId="0" applyFont="1" applyFill="1" applyBorder="1" applyAlignment="1">
      <alignment wrapText="1"/>
    </xf>
    <xf numFmtId="0" fontId="57" fillId="0" borderId="24" xfId="0" applyFont="1" applyFill="1" applyBorder="1" applyAlignment="1">
      <alignment vertical="center"/>
    </xf>
    <xf numFmtId="0" fontId="57" fillId="0" borderId="26" xfId="0" applyFont="1" applyFill="1" applyBorder="1" applyAlignment="1">
      <alignment vertical="center"/>
    </xf>
    <xf numFmtId="0" fontId="57" fillId="0" borderId="43" xfId="0" applyFont="1" applyFill="1" applyBorder="1" applyAlignment="1">
      <alignment vertical="center"/>
    </xf>
    <xf numFmtId="170" fontId="57" fillId="0" borderId="24" xfId="0" applyNumberFormat="1" applyFont="1" applyFill="1" applyBorder="1" applyAlignment="1">
      <alignment horizontal="right" vertical="center" wrapText="1"/>
    </xf>
    <xf numFmtId="170" fontId="57" fillId="0" borderId="43" xfId="0" applyNumberFormat="1" applyFont="1" applyFill="1" applyBorder="1" applyAlignment="1">
      <alignment horizontal="right" vertical="center" wrapText="1"/>
    </xf>
    <xf numFmtId="170" fontId="57" fillId="0" borderId="26" xfId="0" applyNumberFormat="1" applyFont="1" applyFill="1" applyBorder="1" applyAlignment="1">
      <alignment horizontal="right" vertical="center" wrapText="1"/>
    </xf>
    <xf numFmtId="0" fontId="64" fillId="0" borderId="24" xfId="0" applyFont="1" applyFill="1" applyBorder="1" applyAlignment="1">
      <alignment horizontal="center" vertical="center"/>
    </xf>
    <xf numFmtId="0" fontId="64" fillId="0" borderId="29" xfId="0" applyFont="1" applyFill="1" applyBorder="1" applyAlignment="1">
      <alignment horizontal="center" vertical="center"/>
    </xf>
    <xf numFmtId="0" fontId="64" fillId="0" borderId="25" xfId="0" applyFont="1" applyFill="1" applyBorder="1" applyAlignment="1">
      <alignment horizontal="center" vertical="center"/>
    </xf>
    <xf numFmtId="0" fontId="64" fillId="0" borderId="27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64" fillId="0" borderId="28" xfId="0" applyFont="1" applyFill="1" applyBorder="1" applyAlignment="1">
      <alignment horizontal="center" vertical="center"/>
    </xf>
    <xf numFmtId="0" fontId="64" fillId="0" borderId="30" xfId="0" applyFont="1" applyFill="1" applyBorder="1" applyAlignment="1">
      <alignment horizontal="center" vertical="center"/>
    </xf>
    <xf numFmtId="0" fontId="64" fillId="0" borderId="23" xfId="0" applyFont="1" applyFill="1" applyBorder="1" applyAlignment="1">
      <alignment horizontal="center" vertical="center"/>
    </xf>
    <xf numFmtId="0" fontId="64" fillId="0" borderId="31" xfId="0" applyFont="1" applyFill="1" applyBorder="1" applyAlignment="1">
      <alignment horizontal="center" vertical="center"/>
    </xf>
    <xf numFmtId="0" fontId="65" fillId="0" borderId="32" xfId="0" applyFont="1" applyFill="1" applyBorder="1" applyAlignment="1">
      <alignment horizontal="center" vertical="center"/>
    </xf>
    <xf numFmtId="0" fontId="65" fillId="0" borderId="25" xfId="0" applyFont="1" applyFill="1" applyBorder="1" applyAlignment="1">
      <alignment horizontal="center" vertical="center"/>
    </xf>
    <xf numFmtId="0" fontId="65" fillId="0" borderId="29" xfId="0" applyFont="1" applyFill="1" applyBorder="1" applyAlignment="1">
      <alignment horizontal="center" vertical="center"/>
    </xf>
    <xf numFmtId="0" fontId="65" fillId="0" borderId="33" xfId="0" applyFont="1" applyFill="1" applyBorder="1" applyAlignment="1">
      <alignment horizontal="right" vertical="center"/>
    </xf>
    <xf numFmtId="0" fontId="65" fillId="0" borderId="28" xfId="0" applyFont="1" applyFill="1" applyBorder="1" applyAlignment="1">
      <alignment horizontal="right" vertical="center"/>
    </xf>
    <xf numFmtId="0" fontId="66" fillId="0" borderId="33" xfId="0" applyFont="1" applyFill="1" applyBorder="1" applyAlignment="1">
      <alignment horizontal="right" vertical="center"/>
    </xf>
    <xf numFmtId="0" fontId="66" fillId="0" borderId="0" xfId="0" applyFont="1" applyFill="1" applyAlignment="1">
      <alignment horizontal="right" vertical="center"/>
    </xf>
    <xf numFmtId="0" fontId="66" fillId="0" borderId="28" xfId="0" applyFont="1" applyFill="1" applyBorder="1" applyAlignment="1">
      <alignment horizontal="right" vertical="center"/>
    </xf>
    <xf numFmtId="0" fontId="65" fillId="0" borderId="34" xfId="0" applyFont="1" applyFill="1" applyBorder="1" applyAlignment="1">
      <alignment horizontal="center" vertical="center"/>
    </xf>
    <xf numFmtId="0" fontId="65" fillId="0" borderId="31" xfId="0" applyFont="1" applyFill="1" applyBorder="1" applyAlignment="1">
      <alignment horizontal="center" vertical="center"/>
    </xf>
    <xf numFmtId="0" fontId="65" fillId="0" borderId="23" xfId="0" applyFont="1" applyFill="1" applyBorder="1" applyAlignment="1">
      <alignment horizontal="center" vertical="center"/>
    </xf>
    <xf numFmtId="0" fontId="63" fillId="0" borderId="23" xfId="0" applyFont="1" applyFill="1" applyBorder="1" applyAlignment="1">
      <alignment vertical="center"/>
    </xf>
    <xf numFmtId="0" fontId="63" fillId="0" borderId="23" xfId="0" applyFont="1" applyFill="1" applyBorder="1" applyAlignment="1">
      <alignment horizontal="right" vertical="center"/>
    </xf>
    <xf numFmtId="0" fontId="60" fillId="0" borderId="0" xfId="0" applyFont="1" applyFill="1" applyAlignment="1">
      <alignment horizontal="right" vertical="top"/>
    </xf>
    <xf numFmtId="0" fontId="61" fillId="0" borderId="0" xfId="0" applyFont="1" applyFill="1" applyAlignment="1">
      <alignment vertical="top"/>
    </xf>
    <xf numFmtId="0" fontId="62" fillId="0" borderId="0" xfId="0" applyFont="1" applyFill="1" applyAlignment="1">
      <alignment vertical="top"/>
    </xf>
    <xf numFmtId="0" fontId="68" fillId="7" borderId="24" xfId="0" applyFont="1" applyFill="1" applyBorder="1" applyAlignment="1">
      <alignment horizontal="right" vertical="center" wrapText="1"/>
    </xf>
    <xf numFmtId="0" fontId="68" fillId="7" borderId="26" xfId="0" applyFont="1" applyFill="1" applyBorder="1" applyAlignment="1">
      <alignment horizontal="right" vertical="center" wrapText="1"/>
    </xf>
    <xf numFmtId="0" fontId="68" fillId="7" borderId="43" xfId="0" applyFont="1" applyFill="1" applyBorder="1" applyAlignment="1">
      <alignment horizontal="right" vertical="center" wrapText="1"/>
    </xf>
    <xf numFmtId="0" fontId="61" fillId="0" borderId="29" xfId="0" applyFont="1" applyFill="1" applyBorder="1" applyAlignment="1">
      <alignment vertical="top"/>
    </xf>
    <xf numFmtId="0" fontId="68" fillId="0" borderId="24" xfId="0" applyFont="1" applyFill="1" applyBorder="1" applyAlignment="1">
      <alignment horizontal="right" vertical="center" wrapText="1"/>
    </xf>
    <xf numFmtId="0" fontId="68" fillId="0" borderId="26" xfId="0" applyFont="1" applyFill="1" applyBorder="1" applyAlignment="1">
      <alignment horizontal="right" vertical="center" wrapText="1"/>
    </xf>
    <xf numFmtId="0" fontId="68" fillId="0" borderId="43" xfId="0" applyFont="1" applyFill="1" applyBorder="1" applyAlignment="1">
      <alignment horizontal="right" vertical="center" wrapText="1"/>
    </xf>
    <xf numFmtId="0" fontId="68" fillId="7" borderId="24" xfId="0" applyFont="1" applyFill="1" applyBorder="1" applyAlignment="1">
      <alignment vertical="center" wrapText="1"/>
    </xf>
    <xf numFmtId="0" fontId="68" fillId="7" borderId="26" xfId="0" applyFont="1" applyFill="1" applyBorder="1" applyAlignment="1">
      <alignment vertical="center" wrapText="1"/>
    </xf>
    <xf numFmtId="0" fontId="68" fillId="7" borderId="43" xfId="0" applyFont="1" applyFill="1" applyBorder="1" applyAlignment="1">
      <alignment vertical="center" wrapText="1"/>
    </xf>
    <xf numFmtId="0" fontId="68" fillId="7" borderId="24" xfId="0" applyFont="1" applyFill="1" applyBorder="1" applyAlignment="1">
      <alignment horizontal="right" vertical="center"/>
    </xf>
    <xf numFmtId="0" fontId="68" fillId="7" borderId="43" xfId="0" applyFont="1" applyFill="1" applyBorder="1" applyAlignment="1">
      <alignment horizontal="right" vertical="center"/>
    </xf>
    <xf numFmtId="0" fontId="68" fillId="7" borderId="26" xfId="0" applyFont="1" applyFill="1" applyBorder="1" applyAlignment="1">
      <alignment horizontal="right" vertical="center"/>
    </xf>
    <xf numFmtId="0" fontId="60" fillId="0" borderId="0" xfId="0" applyFont="1" applyFill="1" applyAlignment="1">
      <alignment wrapText="1"/>
    </xf>
    <xf numFmtId="0" fontId="68" fillId="0" borderId="24" xfId="0" applyFont="1" applyFill="1" applyBorder="1" applyAlignment="1">
      <alignment vertical="center" wrapText="1"/>
    </xf>
    <xf numFmtId="0" fontId="68" fillId="0" borderId="26" xfId="0" applyFont="1" applyFill="1" applyBorder="1" applyAlignment="1">
      <alignment vertical="center" wrapText="1"/>
    </xf>
    <xf numFmtId="0" fontId="68" fillId="0" borderId="43" xfId="0" applyFont="1" applyFill="1" applyBorder="1" applyAlignment="1">
      <alignment vertical="center" wrapText="1"/>
    </xf>
    <xf numFmtId="0" fontId="68" fillId="0" borderId="24" xfId="0" applyFont="1" applyFill="1" applyBorder="1" applyAlignment="1">
      <alignment horizontal="right" vertical="center"/>
    </xf>
    <xf numFmtId="0" fontId="68" fillId="0" borderId="43" xfId="0" applyFont="1" applyFill="1" applyBorder="1" applyAlignment="1">
      <alignment horizontal="right" vertical="center"/>
    </xf>
    <xf numFmtId="0" fontId="68" fillId="0" borderId="26" xfId="0" applyFont="1" applyFill="1" applyBorder="1" applyAlignment="1">
      <alignment horizontal="right" vertical="center"/>
    </xf>
    <xf numFmtId="0" fontId="68" fillId="0" borderId="34" xfId="0" applyFont="1" applyFill="1" applyBorder="1" applyAlignment="1">
      <alignment horizontal="right" vertical="center" wrapText="1"/>
    </xf>
    <xf numFmtId="0" fontId="68" fillId="0" borderId="23" xfId="0" applyFont="1" applyFill="1" applyBorder="1" applyAlignment="1">
      <alignment horizontal="right" vertical="center" wrapText="1"/>
    </xf>
    <xf numFmtId="0" fontId="68" fillId="0" borderId="31" xfId="0" applyFont="1" applyFill="1" applyBorder="1" applyAlignment="1">
      <alignment horizontal="right" vertical="center" wrapText="1"/>
    </xf>
    <xf numFmtId="0" fontId="68" fillId="0" borderId="34" xfId="0" applyFont="1" applyFill="1" applyBorder="1" applyAlignment="1">
      <alignment vertical="center" wrapText="1"/>
    </xf>
    <xf numFmtId="0" fontId="68" fillId="0" borderId="23" xfId="0" applyFont="1" applyFill="1" applyBorder="1" applyAlignment="1">
      <alignment vertical="center" wrapText="1"/>
    </xf>
    <xf numFmtId="0" fontId="68" fillId="0" borderId="31" xfId="0" applyFont="1" applyFill="1" applyBorder="1" applyAlignment="1">
      <alignment vertical="center" wrapText="1"/>
    </xf>
    <xf numFmtId="0" fontId="68" fillId="0" borderId="34" xfId="0" applyFont="1" applyFill="1" applyBorder="1" applyAlignment="1">
      <alignment horizontal="right" vertical="center"/>
    </xf>
    <xf numFmtId="0" fontId="68" fillId="0" borderId="31" xfId="0" applyFont="1" applyFill="1" applyBorder="1" applyAlignment="1">
      <alignment horizontal="right" vertical="center"/>
    </xf>
    <xf numFmtId="0" fontId="68" fillId="0" borderId="23" xfId="0" applyFont="1" applyFill="1" applyBorder="1" applyAlignment="1">
      <alignment horizontal="right" vertical="center"/>
    </xf>
    <xf numFmtId="0" fontId="68" fillId="0" borderId="33" xfId="0" applyFont="1" applyFill="1" applyBorder="1" applyAlignment="1">
      <alignment horizontal="right" vertical="center" wrapText="1"/>
    </xf>
    <xf numFmtId="0" fontId="68" fillId="0" borderId="0" xfId="0" applyFont="1" applyFill="1" applyAlignment="1">
      <alignment horizontal="right" vertical="center" wrapText="1"/>
    </xf>
    <xf numFmtId="0" fontId="68" fillId="0" borderId="28" xfId="0" applyFont="1" applyFill="1" applyBorder="1" applyAlignment="1">
      <alignment horizontal="right" vertical="center" wrapText="1"/>
    </xf>
    <xf numFmtId="0" fontId="68" fillId="0" borderId="33" xfId="0" applyFont="1" applyFill="1" applyBorder="1" applyAlignment="1">
      <alignment vertical="center" wrapText="1"/>
    </xf>
    <xf numFmtId="0" fontId="68" fillId="0" borderId="0" xfId="0" applyFont="1" applyFill="1" applyAlignment="1">
      <alignment vertical="center" wrapText="1"/>
    </xf>
    <xf numFmtId="0" fontId="68" fillId="0" borderId="28" xfId="0" applyFont="1" applyFill="1" applyBorder="1" applyAlignment="1">
      <alignment vertical="center" wrapText="1"/>
    </xf>
    <xf numFmtId="0" fontId="68" fillId="0" borderId="33" xfId="0" applyFont="1" applyFill="1" applyBorder="1" applyAlignment="1">
      <alignment horizontal="right" vertical="center"/>
    </xf>
    <xf numFmtId="0" fontId="68" fillId="0" borderId="28" xfId="0" applyFont="1" applyFill="1" applyBorder="1" applyAlignment="1">
      <alignment horizontal="right" vertical="center"/>
    </xf>
    <xf numFmtId="0" fontId="68" fillId="0" borderId="0" xfId="0" applyFont="1" applyFill="1" applyAlignment="1">
      <alignment horizontal="right" vertical="center"/>
    </xf>
    <xf numFmtId="0" fontId="68" fillId="0" borderId="32" xfId="0" applyFont="1" applyFill="1" applyBorder="1" applyAlignment="1">
      <alignment horizontal="right" vertical="center" wrapText="1"/>
    </xf>
    <xf numFmtId="0" fontId="68" fillId="0" borderId="29" xfId="0" applyFont="1" applyFill="1" applyBorder="1" applyAlignment="1">
      <alignment horizontal="right" vertical="center" wrapText="1"/>
    </xf>
    <xf numFmtId="0" fontId="68" fillId="0" borderId="25" xfId="0" applyFont="1" applyFill="1" applyBorder="1" applyAlignment="1">
      <alignment horizontal="right" vertical="center" wrapText="1"/>
    </xf>
    <xf numFmtId="0" fontId="68" fillId="0" borderId="32" xfId="0" applyFont="1" applyFill="1" applyBorder="1" applyAlignment="1">
      <alignment vertical="center" wrapText="1"/>
    </xf>
    <xf numFmtId="0" fontId="68" fillId="0" borderId="29" xfId="0" applyFont="1" applyFill="1" applyBorder="1" applyAlignment="1">
      <alignment vertical="center" wrapText="1"/>
    </xf>
    <xf numFmtId="0" fontId="68" fillId="0" borderId="25" xfId="0" applyFont="1" applyFill="1" applyBorder="1" applyAlignment="1">
      <alignment vertical="center" wrapText="1"/>
    </xf>
    <xf numFmtId="0" fontId="68" fillId="0" borderId="32" xfId="0" applyFont="1" applyFill="1" applyBorder="1" applyAlignment="1">
      <alignment horizontal="right" vertical="center"/>
    </xf>
    <xf numFmtId="0" fontId="68" fillId="0" borderId="25" xfId="0" applyFont="1" applyFill="1" applyBorder="1" applyAlignment="1">
      <alignment horizontal="right" vertical="center"/>
    </xf>
    <xf numFmtId="0" fontId="68" fillId="0" borderId="29" xfId="0" applyFont="1" applyFill="1" applyBorder="1" applyAlignment="1">
      <alignment horizontal="right" vertical="center"/>
    </xf>
    <xf numFmtId="0" fontId="59" fillId="3" borderId="24" xfId="0" applyFont="1" applyFill="1" applyBorder="1" applyAlignment="1">
      <alignment horizontal="center" vertical="center" wrapText="1"/>
    </xf>
    <xf numFmtId="0" fontId="59" fillId="3" borderId="29" xfId="0" applyFont="1" applyFill="1" applyBorder="1" applyAlignment="1">
      <alignment horizontal="center" vertical="center" wrapText="1"/>
    </xf>
    <xf numFmtId="0" fontId="59" fillId="3" borderId="25" xfId="0" applyFont="1" applyFill="1" applyBorder="1" applyAlignment="1">
      <alignment horizontal="center" vertical="center" wrapText="1"/>
    </xf>
    <xf numFmtId="0" fontId="59" fillId="3" borderId="30" xfId="0" applyFont="1" applyFill="1" applyBorder="1" applyAlignment="1">
      <alignment horizontal="center" vertical="center" wrapText="1"/>
    </xf>
    <xf numFmtId="0" fontId="59" fillId="3" borderId="23" xfId="0" applyFont="1" applyFill="1" applyBorder="1" applyAlignment="1">
      <alignment horizontal="center" vertical="center" wrapText="1"/>
    </xf>
    <xf numFmtId="0" fontId="59" fillId="3" borderId="31" xfId="0" applyFont="1" applyFill="1" applyBorder="1" applyAlignment="1">
      <alignment horizontal="center" vertical="center" wrapText="1"/>
    </xf>
    <xf numFmtId="0" fontId="59" fillId="3" borderId="26" xfId="0" applyFont="1" applyFill="1" applyBorder="1" applyAlignment="1">
      <alignment horizontal="center" vertical="center" wrapText="1"/>
    </xf>
    <xf numFmtId="0" fontId="59" fillId="3" borderId="43" xfId="0" applyFont="1" applyFill="1" applyBorder="1" applyAlignment="1">
      <alignment horizontal="center" vertical="center" wrapText="1"/>
    </xf>
    <xf numFmtId="0" fontId="56" fillId="0" borderId="23" xfId="0" applyFont="1" applyFill="1" applyBorder="1" applyAlignment="1">
      <alignment vertical="top"/>
    </xf>
    <xf numFmtId="0" fontId="67" fillId="3" borderId="24" xfId="0" applyFont="1" applyFill="1" applyBorder="1" applyAlignment="1">
      <alignment horizontal="center" vertical="center" wrapText="1"/>
    </xf>
    <xf numFmtId="0" fontId="67" fillId="3" borderId="29" xfId="0" applyFont="1" applyFill="1" applyBorder="1" applyAlignment="1">
      <alignment horizontal="center" vertical="center" wrapText="1"/>
    </xf>
    <xf numFmtId="0" fontId="67" fillId="3" borderId="25" xfId="0" applyFont="1" applyFill="1" applyBorder="1" applyAlignment="1">
      <alignment horizontal="center" vertical="center" wrapText="1"/>
    </xf>
    <xf numFmtId="0" fontId="67" fillId="3" borderId="30" xfId="0" applyFont="1" applyFill="1" applyBorder="1" applyAlignment="1">
      <alignment horizontal="center" vertical="center" wrapText="1"/>
    </xf>
    <xf numFmtId="0" fontId="67" fillId="3" borderId="23" xfId="0" applyFont="1" applyFill="1" applyBorder="1" applyAlignment="1">
      <alignment horizontal="center" vertical="center" wrapText="1"/>
    </xf>
    <xf numFmtId="0" fontId="67" fillId="3" borderId="31" xfId="0" applyFont="1" applyFill="1" applyBorder="1" applyAlignment="1">
      <alignment horizontal="center" vertical="center" wrapText="1"/>
    </xf>
    <xf numFmtId="0" fontId="68" fillId="7" borderId="24" xfId="0" applyFont="1" applyFill="1" applyBorder="1" applyAlignment="1">
      <alignment vertical="center"/>
    </xf>
    <xf numFmtId="0" fontId="68" fillId="7" borderId="26" xfId="0" applyFont="1" applyFill="1" applyBorder="1" applyAlignment="1">
      <alignment vertical="center"/>
    </xf>
    <xf numFmtId="0" fontId="68" fillId="7" borderId="43" xfId="0" applyFont="1" applyFill="1" applyBorder="1" applyAlignment="1">
      <alignment vertical="center"/>
    </xf>
    <xf numFmtId="0" fontId="68" fillId="0" borderId="33" xfId="0" applyFont="1" applyFill="1" applyBorder="1" applyAlignment="1">
      <alignment vertical="center"/>
    </xf>
    <xf numFmtId="0" fontId="68" fillId="0" borderId="0" xfId="0" applyFont="1" applyFill="1" applyAlignment="1">
      <alignment vertical="center"/>
    </xf>
    <xf numFmtId="0" fontId="68" fillId="0" borderId="28" xfId="0" applyFont="1" applyFill="1" applyBorder="1" applyAlignment="1">
      <alignment vertical="center"/>
    </xf>
    <xf numFmtId="0" fontId="68" fillId="0" borderId="34" xfId="0" applyFont="1" applyFill="1" applyBorder="1" applyAlignment="1">
      <alignment vertical="center"/>
    </xf>
    <xf numFmtId="0" fontId="68" fillId="0" borderId="23" xfId="0" applyFont="1" applyFill="1" applyBorder="1" applyAlignment="1">
      <alignment vertical="center"/>
    </xf>
    <xf numFmtId="0" fontId="68" fillId="0" borderId="31" xfId="0" applyFont="1" applyFill="1" applyBorder="1" applyAlignment="1">
      <alignment vertical="center"/>
    </xf>
    <xf numFmtId="0" fontId="68" fillId="0" borderId="32" xfId="0" applyFont="1" applyFill="1" applyBorder="1" applyAlignment="1">
      <alignment vertical="center"/>
    </xf>
    <xf numFmtId="0" fontId="68" fillId="0" borderId="29" xfId="0" applyFont="1" applyFill="1" applyBorder="1" applyAlignment="1">
      <alignment vertical="center"/>
    </xf>
    <xf numFmtId="0" fontId="68" fillId="0" borderId="25" xfId="0" applyFont="1" applyFill="1" applyBorder="1" applyAlignment="1">
      <alignment vertical="center"/>
    </xf>
    <xf numFmtId="0" fontId="67" fillId="3" borderId="24" xfId="0" applyFont="1" applyFill="1" applyBorder="1" applyAlignment="1">
      <alignment horizontal="center" vertical="center"/>
    </xf>
    <xf numFmtId="0" fontId="67" fillId="3" borderId="29" xfId="0" applyFont="1" applyFill="1" applyBorder="1" applyAlignment="1">
      <alignment horizontal="center" vertical="center"/>
    </xf>
    <xf numFmtId="0" fontId="67" fillId="3" borderId="25" xfId="0" applyFont="1" applyFill="1" applyBorder="1" applyAlignment="1">
      <alignment horizontal="center" vertical="center"/>
    </xf>
    <xf numFmtId="0" fontId="67" fillId="3" borderId="30" xfId="0" applyFont="1" applyFill="1" applyBorder="1" applyAlignment="1">
      <alignment horizontal="center" vertical="center"/>
    </xf>
    <xf numFmtId="0" fontId="67" fillId="3" borderId="23" xfId="0" applyFont="1" applyFill="1" applyBorder="1" applyAlignment="1">
      <alignment horizontal="center" vertical="center"/>
    </xf>
    <xf numFmtId="0" fontId="67" fillId="3" borderId="31" xfId="0" applyFont="1" applyFill="1" applyBorder="1" applyAlignment="1">
      <alignment horizontal="center" vertical="center"/>
    </xf>
    <xf numFmtId="0" fontId="59" fillId="3" borderId="24" xfId="0" applyFont="1" applyFill="1" applyBorder="1" applyAlignment="1">
      <alignment vertical="center"/>
    </xf>
    <xf numFmtId="0" fontId="59" fillId="3" borderId="26" xfId="0" applyFont="1" applyFill="1" applyBorder="1" applyAlignment="1">
      <alignment vertical="center"/>
    </xf>
    <xf numFmtId="0" fontId="59" fillId="3" borderId="43" xfId="0" applyFont="1" applyFill="1" applyBorder="1" applyAlignment="1">
      <alignment vertical="center"/>
    </xf>
    <xf numFmtId="0" fontId="68" fillId="3" borderId="24" xfId="0" applyFont="1" applyFill="1" applyBorder="1" applyAlignment="1">
      <alignment horizontal="right" vertical="center"/>
    </xf>
    <xf numFmtId="0" fontId="68" fillId="3" borderId="26" xfId="0" applyFont="1" applyFill="1" applyBorder="1" applyAlignment="1">
      <alignment horizontal="right" vertical="center"/>
    </xf>
    <xf numFmtId="0" fontId="68" fillId="3" borderId="43" xfId="0" applyFont="1" applyFill="1" applyBorder="1" applyAlignment="1">
      <alignment horizontal="right" vertical="center"/>
    </xf>
    <xf numFmtId="0" fontId="67" fillId="3" borderId="27" xfId="0" applyFont="1" applyFill="1" applyBorder="1" applyAlignment="1">
      <alignment horizontal="center" vertical="center" wrapText="1"/>
    </xf>
    <xf numFmtId="0" fontId="67" fillId="3" borderId="0" xfId="0" applyFont="1" applyFill="1" applyAlignment="1">
      <alignment horizontal="center" vertical="center" wrapText="1"/>
    </xf>
    <xf numFmtId="0" fontId="67" fillId="3" borderId="28" xfId="0" applyFont="1" applyFill="1" applyBorder="1" applyAlignment="1">
      <alignment horizontal="center" vertical="center" wrapText="1"/>
    </xf>
    <xf numFmtId="0" fontId="61" fillId="0" borderId="23" xfId="0" applyFont="1" applyFill="1" applyBorder="1" applyAlignment="1">
      <alignment vertical="top"/>
    </xf>
    <xf numFmtId="0" fontId="67" fillId="3" borderId="43" xfId="0" applyFont="1" applyFill="1" applyBorder="1" applyAlignment="1">
      <alignment horizontal="center" vertical="center"/>
    </xf>
    <xf numFmtId="0" fontId="69" fillId="0" borderId="24" xfId="0" applyFont="1" applyFill="1" applyBorder="1" applyAlignment="1">
      <alignment horizontal="right" vertical="center"/>
    </xf>
    <xf numFmtId="0" fontId="69" fillId="0" borderId="26" xfId="0" applyFont="1" applyFill="1" applyBorder="1" applyAlignment="1">
      <alignment horizontal="right" vertical="center"/>
    </xf>
    <xf numFmtId="0" fontId="69" fillId="0" borderId="43" xfId="0" applyFont="1" applyFill="1" applyBorder="1" applyAlignment="1">
      <alignment horizontal="right" vertical="center"/>
    </xf>
    <xf numFmtId="0" fontId="69" fillId="0" borderId="24" xfId="0" applyFont="1" applyFill="1" applyBorder="1" applyAlignment="1">
      <alignment horizontal="right" vertical="center" wrapText="1"/>
    </xf>
    <xf numFmtId="0" fontId="69" fillId="0" borderId="26" xfId="0" applyFont="1" applyFill="1" applyBorder="1" applyAlignment="1">
      <alignment horizontal="right" vertical="center" wrapText="1"/>
    </xf>
    <xf numFmtId="0" fontId="69" fillId="0" borderId="43" xfId="0" applyFont="1" applyFill="1" applyBorder="1" applyAlignment="1">
      <alignment horizontal="right" vertical="center" wrapText="1"/>
    </xf>
    <xf numFmtId="0" fontId="67" fillId="3" borderId="26" xfId="0" applyFont="1" applyFill="1" applyBorder="1" applyAlignment="1">
      <alignment horizontal="center" vertical="center"/>
    </xf>
    <xf numFmtId="0" fontId="68" fillId="6" borderId="24" xfId="0" applyFont="1" applyFill="1" applyBorder="1" applyAlignment="1">
      <alignment vertical="center"/>
    </xf>
    <xf numFmtId="0" fontId="68" fillId="6" borderId="26" xfId="0" applyFont="1" applyFill="1" applyBorder="1" applyAlignment="1">
      <alignment vertical="center"/>
    </xf>
    <xf numFmtId="0" fontId="68" fillId="6" borderId="43" xfId="0" applyFont="1" applyFill="1" applyBorder="1" applyAlignment="1">
      <alignment vertical="center"/>
    </xf>
    <xf numFmtId="0" fontId="68" fillId="6" borderId="24" xfId="0" applyFont="1" applyFill="1" applyBorder="1" applyAlignment="1">
      <alignment horizontal="right" vertical="center"/>
    </xf>
    <xf numFmtId="0" fontId="68" fillId="6" borderId="26" xfId="0" applyFont="1" applyFill="1" applyBorder="1" applyAlignment="1">
      <alignment horizontal="right" vertical="center"/>
    </xf>
    <xf numFmtId="0" fontId="68" fillId="6" borderId="43" xfId="0" applyFont="1" applyFill="1" applyBorder="1" applyAlignment="1">
      <alignment horizontal="right" vertical="center"/>
    </xf>
    <xf numFmtId="0" fontId="59" fillId="0" borderId="33" xfId="0" applyFont="1" applyFill="1" applyBorder="1" applyAlignment="1">
      <alignment vertical="center"/>
    </xf>
    <xf numFmtId="0" fontId="59" fillId="0" borderId="0" xfId="0" applyFont="1" applyFill="1" applyAlignment="1">
      <alignment vertical="center"/>
    </xf>
    <xf numFmtId="0" fontId="59" fillId="0" borderId="28" xfId="0" applyFont="1" applyFill="1" applyBorder="1" applyAlignment="1">
      <alignment vertical="center"/>
    </xf>
    <xf numFmtId="0" fontId="59" fillId="0" borderId="32" xfId="0" applyFont="1" applyFill="1" applyBorder="1" applyAlignment="1">
      <alignment vertical="center"/>
    </xf>
    <xf numFmtId="0" fontId="59" fillId="0" borderId="29" xfId="0" applyFont="1" applyFill="1" applyBorder="1" applyAlignment="1">
      <alignment vertical="center"/>
    </xf>
    <xf numFmtId="0" fontId="59" fillId="0" borderId="25" xfId="0" applyFont="1" applyFill="1" applyBorder="1" applyAlignment="1">
      <alignment vertical="center"/>
    </xf>
    <xf numFmtId="0" fontId="44" fillId="0" borderId="20" xfId="0" applyNumberFormat="1" applyFont="1" applyBorder="1" applyAlignment="1">
      <alignment horizontal="left"/>
    </xf>
    <xf numFmtId="0" fontId="44" fillId="4" borderId="20" xfId="0" applyNumberFormat="1" applyFont="1" applyFill="1" applyBorder="1" applyAlignment="1">
      <alignment horizontal="left"/>
    </xf>
    <xf numFmtId="0" fontId="44" fillId="4" borderId="41" xfId="0" applyNumberFormat="1" applyFont="1" applyFill="1" applyBorder="1" applyAlignment="1">
      <alignment horizontal="left"/>
    </xf>
    <xf numFmtId="0" fontId="0" fillId="0" borderId="0" xfId="0" applyAlignment="1"/>
    <xf numFmtId="0" fontId="44" fillId="0" borderId="38" xfId="0" applyNumberFormat="1" applyFont="1" applyBorder="1" applyAlignment="1">
      <alignment horizontal="left"/>
    </xf>
    <xf numFmtId="0" fontId="44" fillId="0" borderId="36" xfId="0" applyNumberFormat="1" applyFont="1" applyBorder="1" applyAlignment="1">
      <alignment horizontal="left"/>
    </xf>
    <xf numFmtId="0" fontId="44" fillId="0" borderId="37" xfId="0" applyNumberFormat="1" applyFont="1" applyBorder="1" applyAlignment="1">
      <alignment horizontal="left"/>
    </xf>
    <xf numFmtId="0" fontId="44" fillId="0" borderId="4" xfId="0" applyNumberFormat="1" applyFont="1" applyBorder="1" applyAlignment="1">
      <alignment horizontal="left"/>
    </xf>
    <xf numFmtId="0" fontId="44" fillId="0" borderId="22" xfId="0" applyNumberFormat="1" applyFont="1" applyBorder="1" applyAlignment="1">
      <alignment horizontal="left"/>
    </xf>
    <xf numFmtId="0" fontId="44" fillId="4" borderId="20" xfId="0" applyNumberFormat="1" applyFont="1" applyFill="1" applyBorder="1" applyAlignment="1">
      <alignment horizontal="center" vertical="center"/>
    </xf>
    <xf numFmtId="0" fontId="44" fillId="4" borderId="37" xfId="0" applyNumberFormat="1" applyFont="1" applyFill="1" applyBorder="1" applyAlignment="1">
      <alignment horizontal="center" vertical="center"/>
    </xf>
    <xf numFmtId="0" fontId="44" fillId="4" borderId="21" xfId="0" applyNumberFormat="1" applyFont="1" applyFill="1" applyBorder="1" applyAlignment="1">
      <alignment horizontal="center" vertical="center"/>
    </xf>
    <xf numFmtId="0" fontId="44" fillId="4" borderId="20" xfId="0" applyNumberFormat="1" applyFont="1" applyFill="1" applyBorder="1" applyAlignment="1">
      <alignment horizontal="center"/>
    </xf>
    <xf numFmtId="0" fontId="44" fillId="4" borderId="37" xfId="0" applyNumberFormat="1" applyFont="1" applyFill="1" applyBorder="1" applyAlignment="1">
      <alignment horizontal="center"/>
    </xf>
    <xf numFmtId="49" fontId="44" fillId="4" borderId="37" xfId="0" applyNumberFormat="1" applyFont="1" applyFill="1" applyBorder="1" applyAlignment="1">
      <alignment horizontal="center"/>
    </xf>
    <xf numFmtId="0" fontId="44" fillId="4" borderId="21" xfId="0" applyNumberFormat="1" applyFont="1" applyFill="1" applyBorder="1" applyAlignment="1">
      <alignment horizontal="center"/>
    </xf>
    <xf numFmtId="0" fontId="44" fillId="4" borderId="41" xfId="0" applyNumberFormat="1" applyFont="1" applyFill="1" applyBorder="1" applyAlignment="1">
      <alignment horizontal="center"/>
    </xf>
    <xf numFmtId="0" fontId="2" fillId="0" borderId="7" xfId="0" applyNumberFormat="1" applyFont="1" applyBorder="1" applyAlignment="1">
      <alignment horizontal="left"/>
    </xf>
    <xf numFmtId="0" fontId="0" fillId="0" borderId="21" xfId="0" applyBorder="1" applyAlignment="1">
      <alignment horizontal="left"/>
    </xf>
    <xf numFmtId="167" fontId="2" fillId="0" borderId="41" xfId="0" applyNumberFormat="1" applyFont="1" applyBorder="1" applyAlignment="1">
      <alignment horizontal="right"/>
    </xf>
    <xf numFmtId="0" fontId="0" fillId="0" borderId="39" xfId="0" applyBorder="1" applyAlignment="1"/>
    <xf numFmtId="0" fontId="2" fillId="0" borderId="6" xfId="0" applyNumberFormat="1" applyFont="1" applyBorder="1" applyAlignment="1">
      <alignment horizontal="left"/>
    </xf>
    <xf numFmtId="0" fontId="70" fillId="4" borderId="22" xfId="0" applyNumberFormat="1" applyFont="1" applyFill="1" applyBorder="1" applyAlignment="1">
      <alignment horizontal="center" vertical="center"/>
    </xf>
    <xf numFmtId="0" fontId="70" fillId="4" borderId="20" xfId="0" applyNumberFormat="1" applyFont="1" applyFill="1" applyBorder="1" applyAlignment="1">
      <alignment horizontal="center" vertical="center"/>
    </xf>
    <xf numFmtId="0" fontId="70" fillId="4" borderId="7" xfId="0" applyNumberFormat="1" applyFont="1" applyFill="1" applyBorder="1" applyAlignment="1">
      <alignment horizontal="center" vertical="center"/>
    </xf>
    <xf numFmtId="0" fontId="70" fillId="4" borderId="21" xfId="0" applyNumberFormat="1" applyFont="1" applyFill="1" applyBorder="1" applyAlignment="1">
      <alignment horizontal="center" vertical="center"/>
    </xf>
    <xf numFmtId="49" fontId="2" fillId="4" borderId="20" xfId="0" applyNumberFormat="1" applyFont="1" applyFill="1" applyBorder="1" applyAlignment="1">
      <alignment horizontal="center"/>
    </xf>
    <xf numFmtId="0" fontId="70" fillId="4" borderId="37" xfId="0" applyNumberFormat="1" applyFont="1" applyFill="1" applyBorder="1" applyAlignment="1">
      <alignment horizontal="center" vertical="center"/>
    </xf>
    <xf numFmtId="167" fontId="2" fillId="0" borderId="20" xfId="0" applyNumberFormat="1" applyFont="1" applyBorder="1" applyAlignment="1">
      <alignment horizontal="right"/>
    </xf>
    <xf numFmtId="167" fontId="2" fillId="0" borderId="37" xfId="0" applyNumberFormat="1" applyFont="1" applyBorder="1" applyAlignment="1">
      <alignment horizontal="right"/>
    </xf>
    <xf numFmtId="167" fontId="2" fillId="0" borderId="21" xfId="0" applyNumberFormat="1" applyFont="1" applyBorder="1" applyAlignment="1">
      <alignment horizontal="right"/>
    </xf>
    <xf numFmtId="0" fontId="70" fillId="4" borderId="36" xfId="0" applyNumberFormat="1" applyFont="1" applyFill="1" applyBorder="1" applyAlignment="1">
      <alignment horizontal="center" vertical="center"/>
    </xf>
  </cellXfs>
  <cellStyles count="7">
    <cellStyle name="Moeda" xfId="6" builtinId="4"/>
    <cellStyle name="Normal" xfId="0" builtinId="0"/>
    <cellStyle name="Normal 6" xfId="3" xr:uid="{00000000-0005-0000-0000-000002000000}"/>
    <cellStyle name="Porcentagem" xfId="2" builtinId="5"/>
    <cellStyle name="Porcentagem 3" xfId="4" xr:uid="{00000000-0005-0000-0000-000004000000}"/>
    <cellStyle name="Vírgula" xfId="1" builtinId="3"/>
    <cellStyle name="Vírgula 3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1950" b="1" i="0" u="none" strike="noStrike" baseline="0"/>
              <a:t>Janeiro</a:t>
            </a:r>
            <a:r>
              <a:rPr lang="pt-BR"/>
              <a:t> de 2021 a Dezembro de 2021</a:t>
            </a:r>
          </a:p>
        </c:rich>
      </c:tx>
      <c:layout>
        <c:manualLayout>
          <c:xMode val="edge"/>
          <c:yMode val="edge"/>
          <c:x val="0.2902156379388785"/>
          <c:y val="4.95011964564034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8047796284399"/>
          <c:y val="0.17138589988039549"/>
          <c:w val="0.85117366903648162"/>
          <c:h val="0.57263216759063251"/>
        </c:manualLayout>
      </c:layout>
      <c:lineChart>
        <c:grouping val="standard"/>
        <c:varyColors val="0"/>
        <c:ser>
          <c:idx val="0"/>
          <c:order val="0"/>
          <c:tx>
            <c:v>Realizado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DCLP_RCL!$D$8:$O$8</c:f>
              <c:numCache>
                <c:formatCode>0.00%</c:formatCode>
                <c:ptCount val="12"/>
                <c:pt idx="0">
                  <c:v>0.77081378647924415</c:v>
                </c:pt>
                <c:pt idx="1">
                  <c:v>0.53791020418278379</c:v>
                </c:pt>
                <c:pt idx="2">
                  <c:v>0.56039408765662646</c:v>
                </c:pt>
                <c:pt idx="3">
                  <c:v>0.67278778864699185</c:v>
                </c:pt>
                <c:pt idx="4">
                  <c:v>0.6133891332982101</c:v>
                </c:pt>
                <c:pt idx="5">
                  <c:v>0.46902254184791631</c:v>
                </c:pt>
                <c:pt idx="6">
                  <c:v>0.64448907406513412</c:v>
                </c:pt>
                <c:pt idx="7">
                  <c:v>0.59224038308943761</c:v>
                </c:pt>
                <c:pt idx="8">
                  <c:v>0.59096300050678974</c:v>
                </c:pt>
                <c:pt idx="9">
                  <c:v>0.65456131230131354</c:v>
                </c:pt>
                <c:pt idx="10">
                  <c:v>0.65820187251254014</c:v>
                </c:pt>
                <c:pt idx="11">
                  <c:v>0.56622916319431238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F5-47CC-9EA8-2BE68F6E313A}"/>
            </c:ext>
          </c:extLst>
        </c:ser>
        <c:ser>
          <c:idx val="1"/>
          <c:order val="1"/>
          <c:tx>
            <c:v>Limite: 54,00%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[1]Plan1!$D$9:$O$9</c:f>
              <c:numCache>
                <c:formatCode>General</c:formatCode>
                <c:ptCount val="12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F5-47CC-9EA8-2BE68F6E3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50720"/>
        <c:axId val="98559872"/>
      </c:lineChart>
      <c:catAx>
        <c:axId val="97950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Meses</a:t>
                </a:r>
              </a:p>
            </c:rich>
          </c:tx>
          <c:layout>
            <c:manualLayout>
              <c:xMode val="edge"/>
              <c:yMode val="edge"/>
              <c:x val="0.51061638571772427"/>
              <c:y val="0.888421894283091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9855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55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85323643055657E-2"/>
              <c:y val="0.24631613101342847"/>
            </c:manualLayout>
          </c:layout>
          <c:overlay val="0"/>
          <c:spPr>
            <a:noFill/>
            <a:ln w="25400">
              <a:noFill/>
            </a:ln>
          </c:spPr>
        </c:title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97950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82683005049901603"/>
          <c:y val="2.9473501242808224E-2"/>
          <c:w val="0.13375806747560814"/>
          <c:h val="9.05264987571948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643" footer="0.4921259850000064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[2]CRUZ!$J$102:$J$117</c:f>
              <c:numCache>
                <c:formatCode>General</c:formatCode>
                <c:ptCount val="16"/>
                <c:pt idx="0">
                  <c:v>59301.533333333209</c:v>
                </c:pt>
                <c:pt idx="1">
                  <c:v>-28113.66333333333</c:v>
                </c:pt>
                <c:pt idx="2">
                  <c:v>-8269.1199999999953</c:v>
                </c:pt>
                <c:pt idx="3">
                  <c:v>5654.826666666675</c:v>
                </c:pt>
                <c:pt idx="4">
                  <c:v>-70756.576666666893</c:v>
                </c:pt>
                <c:pt idx="5">
                  <c:v>13654.580000000016</c:v>
                </c:pt>
                <c:pt idx="6">
                  <c:v>78357.869999999966</c:v>
                </c:pt>
                <c:pt idx="7">
                  <c:v>-182954.47666666657</c:v>
                </c:pt>
                <c:pt idx="8">
                  <c:v>-129513.63666666579</c:v>
                </c:pt>
                <c:pt idx="9">
                  <c:v>88479.670000000391</c:v>
                </c:pt>
                <c:pt idx="10">
                  <c:v>80146.053333333286</c:v>
                </c:pt>
                <c:pt idx="11">
                  <c:v>104245.48333333328</c:v>
                </c:pt>
                <c:pt idx="12">
                  <c:v>7241.7066666666651</c:v>
                </c:pt>
                <c:pt idx="13">
                  <c:v>35295.373333333329</c:v>
                </c:pt>
                <c:pt idx="14">
                  <c:v>217853.67333333334</c:v>
                </c:pt>
                <c:pt idx="15">
                  <c:v>-176204.25333333411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E0-4DB9-9F3C-E9F7FC45A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961472"/>
        <c:axId val="99963264"/>
      </c:barChart>
      <c:catAx>
        <c:axId val="999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9996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963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9996147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654" footer="0.4921259850000065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[2]CRUZ!$J$192:$J$207</c:f>
              <c:numCache>
                <c:formatCode>General</c:formatCode>
                <c:ptCount val="16"/>
                <c:pt idx="0">
                  <c:v>67808.04999999993</c:v>
                </c:pt>
                <c:pt idx="1">
                  <c:v>18918.219999999972</c:v>
                </c:pt>
                <c:pt idx="2">
                  <c:v>9857.5100000000093</c:v>
                </c:pt>
                <c:pt idx="3">
                  <c:v>1006.5599999999977</c:v>
                </c:pt>
                <c:pt idx="4">
                  <c:v>249769.87999999989</c:v>
                </c:pt>
                <c:pt idx="5">
                  <c:v>29268.719999999972</c:v>
                </c:pt>
                <c:pt idx="6">
                  <c:v>13008.560000000056</c:v>
                </c:pt>
                <c:pt idx="7">
                  <c:v>101946.72999999998</c:v>
                </c:pt>
                <c:pt idx="8">
                  <c:v>533680.19999999925</c:v>
                </c:pt>
                <c:pt idx="9">
                  <c:v>378077.09999999963</c:v>
                </c:pt>
                <c:pt idx="10">
                  <c:v>35528.70000000007</c:v>
                </c:pt>
                <c:pt idx="11">
                  <c:v>60700.789999999804</c:v>
                </c:pt>
                <c:pt idx="12">
                  <c:v>23912.360000000102</c:v>
                </c:pt>
                <c:pt idx="13">
                  <c:v>7234.86</c:v>
                </c:pt>
                <c:pt idx="14">
                  <c:v>222838.98999999976</c:v>
                </c:pt>
                <c:pt idx="15">
                  <c:v>-676947.98000000138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FF-41A8-980E-9A38F6916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995648"/>
        <c:axId val="99997184"/>
      </c:barChart>
      <c:catAx>
        <c:axId val="9999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9999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99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9999564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654" footer="0.4921259850000065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Termometro de Cruz</a:t>
            </a:r>
          </a:p>
        </c:rich>
      </c:tx>
      <c:layout>
        <c:manualLayout>
          <c:xMode val="edge"/>
          <c:yMode val="edge"/>
          <c:x val="0.38213951629748732"/>
          <c:y val="2.85715147675506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80283152707991"/>
          <c:y val="0.22285755739873017"/>
          <c:w val="0.8286612764688982"/>
          <c:h val="0.72952516652746768"/>
        </c:manualLayout>
      </c:layout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Cruz!$K$11:$K$26</c:f>
              <c:numCache>
                <c:formatCode>_(* #,##0.00_);_(* \(#,##0.00\);_(* "-"??_);_(@_)</c:formatCode>
                <c:ptCount val="16"/>
                <c:pt idx="0">
                  <c:v>16.053080926235399</c:v>
                </c:pt>
                <c:pt idx="1">
                  <c:v>3.8243319009978571</c:v>
                </c:pt>
                <c:pt idx="2">
                  <c:v>38.628741636019164</c:v>
                </c:pt>
                <c:pt idx="3">
                  <c:v>-1.9509063104247044</c:v>
                </c:pt>
                <c:pt idx="4">
                  <c:v>-10.318086890050399</c:v>
                </c:pt>
                <c:pt idx="5">
                  <c:v>3.4375505154689638</c:v>
                </c:pt>
                <c:pt idx="6">
                  <c:v>7.3100099713915405</c:v>
                </c:pt>
                <c:pt idx="7">
                  <c:v>1.924148326527771</c:v>
                </c:pt>
                <c:pt idx="8">
                  <c:v>5.9502209948337006</c:v>
                </c:pt>
                <c:pt idx="9">
                  <c:v>-9.394805295389288</c:v>
                </c:pt>
                <c:pt idx="10">
                  <c:v>-0.84184287705595839</c:v>
                </c:pt>
                <c:pt idx="11">
                  <c:v>5.0706977292618678</c:v>
                </c:pt>
                <c:pt idx="12">
                  <c:v>-6.9035642271327173</c:v>
                </c:pt>
                <c:pt idx="13">
                  <c:v>100</c:v>
                </c:pt>
                <c:pt idx="14">
                  <c:v>6.1773373267943255</c:v>
                </c:pt>
                <c:pt idx="15">
                  <c:v>-29.208442422814446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9-4B8E-975D-EF74DB8B5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771520"/>
        <c:axId val="99773056"/>
      </c:barChart>
      <c:catAx>
        <c:axId val="9977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99773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773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.00_);_(* \(#,##0.0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99771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3208802186923849"/>
          <c:y val="3.0476161744149802E-2"/>
          <c:w val="0.15057116130379897"/>
          <c:h val="6.8571715891835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654" footer="0.4921259850000065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14</xdr:col>
      <xdr:colOff>527050</xdr:colOff>
      <xdr:row>51</xdr:row>
      <xdr:rowOff>58737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0.44856</cdr:x>
      <cdr:y>0.3173</cdr:y>
    </cdr:from>
    <cdr:to>
      <cdr:x>0.50644</cdr:x>
      <cdr:y>0.37775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30466" y="1348443"/>
          <a:ext cx="520067" cy="2568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Ago/21</a:t>
          </a:r>
        </a:p>
      </cdr:txBody>
    </cdr:sp>
  </cdr:relSizeAnchor>
  <cdr:relSizeAnchor xmlns:cdr="http://schemas.openxmlformats.org/drawingml/2006/chartDrawing">
    <cdr:from>
      <cdr:x>0.29334</cdr:x>
      <cdr:y>0.38881</cdr:y>
    </cdr:from>
    <cdr:to>
      <cdr:x>0.35196</cdr:x>
      <cdr:y>0.44999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5690" y="1652339"/>
          <a:ext cx="526716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Out/21</a:t>
          </a:r>
        </a:p>
      </cdr:txBody>
    </cdr:sp>
  </cdr:relSizeAnchor>
  <cdr:relSizeAnchor xmlns:cdr="http://schemas.openxmlformats.org/drawingml/2006/chartDrawing">
    <cdr:from>
      <cdr:x>0.23831</cdr:x>
      <cdr:y>0.34783</cdr:y>
    </cdr:from>
    <cdr:to>
      <cdr:x>0.29619</cdr:x>
      <cdr:y>0.41002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41238" y="1478207"/>
          <a:ext cx="520067" cy="2642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Nov/21</a:t>
          </a:r>
        </a:p>
      </cdr:txBody>
    </cdr:sp>
  </cdr:relSizeAnchor>
  <cdr:relSizeAnchor xmlns:cdr="http://schemas.openxmlformats.org/drawingml/2006/chartDrawing">
    <cdr:from>
      <cdr:x>0.65163</cdr:x>
      <cdr:y>0.30708</cdr:y>
    </cdr:from>
    <cdr:to>
      <cdr:x>0.70927</cdr:x>
      <cdr:y>0.36827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5100" y="1305027"/>
          <a:ext cx="517910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Mai/21</a:t>
          </a:r>
        </a:p>
      </cdr:txBody>
    </cdr:sp>
  </cdr:relSizeAnchor>
  <cdr:relSizeAnchor xmlns:cdr="http://schemas.openxmlformats.org/drawingml/2006/chartDrawing">
    <cdr:from>
      <cdr:x>0.58165</cdr:x>
      <cdr:y>0.28654</cdr:y>
    </cdr:from>
    <cdr:to>
      <cdr:x>0.63879</cdr:x>
      <cdr:y>0.34748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26314" y="1217721"/>
          <a:ext cx="513417" cy="2589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Jun/21</a:t>
          </a:r>
        </a:p>
      </cdr:txBody>
    </cdr:sp>
  </cdr:relSizeAnchor>
  <cdr:relSizeAnchor xmlns:cdr="http://schemas.openxmlformats.org/drawingml/2006/chartDrawing">
    <cdr:from>
      <cdr:x>0.72363</cdr:x>
      <cdr:y>0.30882</cdr:y>
    </cdr:from>
    <cdr:to>
      <cdr:x>0.78225</cdr:x>
      <cdr:y>0.37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01953" y="1312394"/>
          <a:ext cx="526715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Abr/21</a:t>
          </a:r>
        </a:p>
      </cdr:txBody>
    </cdr:sp>
  </cdr:relSizeAnchor>
  <cdr:relSizeAnchor xmlns:cdr="http://schemas.openxmlformats.org/drawingml/2006/chartDrawing">
    <cdr:from>
      <cdr:x>0.7969</cdr:x>
      <cdr:y>0.25581</cdr:y>
    </cdr:from>
    <cdr:to>
      <cdr:x>0.85552</cdr:x>
      <cdr:y>0.31699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60386" y="1087145"/>
          <a:ext cx="526715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Mar/21</a:t>
          </a:r>
        </a:p>
      </cdr:txBody>
    </cdr:sp>
  </cdr:relSizeAnchor>
  <cdr:relSizeAnchor xmlns:cdr="http://schemas.openxmlformats.org/drawingml/2006/chartDrawing">
    <cdr:from>
      <cdr:x>0.16598</cdr:x>
      <cdr:y>0.18367</cdr:y>
    </cdr:from>
    <cdr:to>
      <cdr:x>0.22311</cdr:x>
      <cdr:y>0.24485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91361" y="780531"/>
          <a:ext cx="513327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Dez/21</a:t>
          </a:r>
        </a:p>
      </cdr:txBody>
    </cdr:sp>
  </cdr:relSizeAnchor>
  <cdr:relSizeAnchor xmlns:cdr="http://schemas.openxmlformats.org/drawingml/2006/chartDrawing">
    <cdr:from>
      <cdr:x>0.93354</cdr:x>
      <cdr:y>0.38734</cdr:y>
    </cdr:from>
    <cdr:to>
      <cdr:x>0.99142</cdr:x>
      <cdr:y>0.44853</cdr:y>
    </cdr:to>
    <cdr:sp macro="" textlink="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8048" y="1646084"/>
          <a:ext cx="520066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Jan/21</a:t>
          </a:r>
        </a:p>
      </cdr:txBody>
    </cdr:sp>
  </cdr:relSizeAnchor>
  <cdr:relSizeAnchor xmlns:cdr="http://schemas.openxmlformats.org/drawingml/2006/chartDrawing">
    <cdr:from>
      <cdr:x>0.88694</cdr:x>
      <cdr:y>0.28753</cdr:y>
    </cdr:from>
    <cdr:to>
      <cdr:x>0.94482</cdr:x>
      <cdr:y>0.3475</cdr:y>
    </cdr:to>
    <cdr:sp macro="" textlink="">
      <cdr:nvSpPr>
        <cdr:cNvPr id="205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9420" y="1221928"/>
          <a:ext cx="520066" cy="2548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Fev/21</a:t>
          </a:r>
        </a:p>
      </cdr:txBody>
    </cdr:sp>
  </cdr:relSizeAnchor>
  <cdr:relSizeAnchor xmlns:cdr="http://schemas.openxmlformats.org/drawingml/2006/chartDrawing">
    <cdr:from>
      <cdr:x>0.50968</cdr:x>
      <cdr:y>0.43533</cdr:y>
    </cdr:from>
    <cdr:to>
      <cdr:x>0.56855</cdr:x>
      <cdr:y>0.49726</cdr:y>
    </cdr:to>
    <cdr:sp macro="" textlink="">
      <cdr:nvSpPr>
        <cdr:cNvPr id="205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79646" y="1850037"/>
          <a:ext cx="528962" cy="2631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Jul/21</a:t>
          </a:r>
        </a:p>
      </cdr:txBody>
    </cdr:sp>
  </cdr:relSizeAnchor>
  <cdr:relSizeAnchor xmlns:cdr="http://schemas.openxmlformats.org/drawingml/2006/chartDrawing">
    <cdr:from>
      <cdr:x>0.37128</cdr:x>
      <cdr:y>0.25201</cdr:y>
    </cdr:from>
    <cdr:to>
      <cdr:x>0.42916</cdr:x>
      <cdr:y>0.3132</cdr:y>
    </cdr:to>
    <cdr:sp macro="" textlink="">
      <cdr:nvSpPr>
        <cdr:cNvPr id="206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36084" y="1070977"/>
          <a:ext cx="520066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Set/21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76200</xdr:rowOff>
    </xdr:from>
    <xdr:to>
      <xdr:col>10</xdr:col>
      <xdr:colOff>628650</xdr:colOff>
      <xdr:row>73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</xdr:colOff>
      <xdr:row>42</xdr:row>
      <xdr:rowOff>0</xdr:rowOff>
    </xdr:from>
    <xdr:to>
      <xdr:col>11</xdr:col>
      <xdr:colOff>733426</xdr:colOff>
      <xdr:row>42</xdr:row>
      <xdr:rowOff>93067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39051" y="6353175"/>
          <a:ext cx="1276350" cy="9306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113</xdr:row>
      <xdr:rowOff>0</xdr:rowOff>
    </xdr:from>
    <xdr:to>
      <xdr:col>13</xdr:col>
      <xdr:colOff>17145</xdr:colOff>
      <xdr:row>113</xdr:row>
      <xdr:rowOff>104775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39050" y="16668750"/>
          <a:ext cx="1341120" cy="1047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139</xdr:row>
      <xdr:rowOff>0</xdr:rowOff>
    </xdr:from>
    <xdr:to>
      <xdr:col>12</xdr:col>
      <xdr:colOff>20411</xdr:colOff>
      <xdr:row>139</xdr:row>
      <xdr:rowOff>95250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39050" y="20926425"/>
          <a:ext cx="1306286" cy="952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164</xdr:row>
      <xdr:rowOff>0</xdr:rowOff>
    </xdr:from>
    <xdr:to>
      <xdr:col>13</xdr:col>
      <xdr:colOff>17145</xdr:colOff>
      <xdr:row>164</xdr:row>
      <xdr:rowOff>104775</xdr:rowOff>
    </xdr:to>
    <xdr:pic>
      <xdr:nvPicPr>
        <xdr:cNvPr id="5" name="Picture 4" descr="image0000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39050" y="24936450"/>
          <a:ext cx="1341120" cy="104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133302</xdr:colOff>
      <xdr:row>77</xdr:row>
      <xdr:rowOff>0</xdr:rowOff>
    </xdr:from>
    <xdr:to>
      <xdr:col>37</xdr:col>
      <xdr:colOff>1</xdr:colOff>
      <xdr:row>77</xdr:row>
      <xdr:rowOff>108779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34077" y="11039475"/>
          <a:ext cx="2724199" cy="108779"/>
        </a:xfrm>
        <a:prstGeom prst="rect">
          <a:avLst/>
        </a:prstGeom>
      </xdr:spPr>
    </xdr:pic>
    <xdr:clientData/>
  </xdr:twoCellAnchor>
  <xdr:twoCellAnchor editAs="oneCell">
    <xdr:from>
      <xdr:col>30</xdr:col>
      <xdr:colOff>123825</xdr:colOff>
      <xdr:row>77</xdr:row>
      <xdr:rowOff>38101</xdr:rowOff>
    </xdr:from>
    <xdr:to>
      <xdr:col>38</xdr:col>
      <xdr:colOff>375600</xdr:colOff>
      <xdr:row>77</xdr:row>
      <xdr:rowOff>180975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58100" y="11077576"/>
          <a:ext cx="2385375" cy="142874"/>
        </a:xfrm>
        <a:prstGeom prst="rect">
          <a:avLst/>
        </a:prstGeom>
      </xdr:spPr>
    </xdr:pic>
    <xdr:clientData/>
  </xdr:twoCellAnchor>
  <xdr:twoCellAnchor editAs="oneCell">
    <xdr:from>
      <xdr:col>31</xdr:col>
      <xdr:colOff>1</xdr:colOff>
      <xdr:row>78</xdr:row>
      <xdr:rowOff>19050</xdr:rowOff>
    </xdr:from>
    <xdr:to>
      <xdr:col>39</xdr:col>
      <xdr:colOff>548987</xdr:colOff>
      <xdr:row>78</xdr:row>
      <xdr:rowOff>200025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67626" y="11277600"/>
          <a:ext cx="3158836" cy="18097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83</xdr:row>
      <xdr:rowOff>0</xdr:rowOff>
    </xdr:from>
    <xdr:to>
      <xdr:col>35</xdr:col>
      <xdr:colOff>381000</xdr:colOff>
      <xdr:row>84</xdr:row>
      <xdr:rowOff>0</xdr:rowOff>
    </xdr:to>
    <xdr:pic>
      <xdr:nvPicPr>
        <xdr:cNvPr id="5" name="Picture 4" descr="image0000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29150" y="12258675"/>
          <a:ext cx="1343025" cy="14287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83</xdr:row>
      <xdr:rowOff>0</xdr:rowOff>
    </xdr:from>
    <xdr:to>
      <xdr:col>30</xdr:col>
      <xdr:colOff>28575</xdr:colOff>
      <xdr:row>84</xdr:row>
      <xdr:rowOff>0</xdr:rowOff>
    </xdr:to>
    <xdr:pic>
      <xdr:nvPicPr>
        <xdr:cNvPr id="6" name="Picture 5" descr="image0000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72175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83</xdr:row>
      <xdr:rowOff>0</xdr:rowOff>
    </xdr:from>
    <xdr:to>
      <xdr:col>35</xdr:col>
      <xdr:colOff>561975</xdr:colOff>
      <xdr:row>84</xdr:row>
      <xdr:rowOff>0</xdr:rowOff>
    </xdr:to>
    <xdr:pic>
      <xdr:nvPicPr>
        <xdr:cNvPr id="7" name="Picture 6" descr="image0000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38925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83</xdr:row>
      <xdr:rowOff>0</xdr:rowOff>
    </xdr:from>
    <xdr:to>
      <xdr:col>37</xdr:col>
      <xdr:colOff>447675</xdr:colOff>
      <xdr:row>84</xdr:row>
      <xdr:rowOff>0</xdr:rowOff>
    </xdr:to>
    <xdr:pic>
      <xdr:nvPicPr>
        <xdr:cNvPr id="8" name="Picture 7" descr="image0000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05675" y="12258675"/>
          <a:ext cx="600075" cy="142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Presta&#231;&#227;o_De_Contas_Abril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Exerc2006\Apresenta12de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REO"/>
      <sheetName val="RGF"/>
      <sheetName val="BalOrç"/>
      <sheetName val="SubFunç"/>
      <sheetName val="RPPS"/>
      <sheetName val="Prim"/>
      <sheetName val="RCL"/>
      <sheetName val="DCLP"/>
      <sheetName val="Plan1"/>
      <sheetName val="Mini"/>
      <sheetName val="DespEduc"/>
      <sheetName val="Cronogra"/>
      <sheetName val="Cruz"/>
      <sheetName val="MDE"/>
      <sheetName val="ASPS"/>
      <sheetName val="DespEmp"/>
      <sheetName val="DespLiq"/>
      <sheetName val="DespPaga"/>
      <sheetName val="Exec"/>
      <sheetName val="RAP"/>
      <sheetName val="AcompF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9">
            <v>0.54</v>
          </cell>
          <cell r="E9">
            <v>0.54</v>
          </cell>
          <cell r="F9">
            <v>0.54</v>
          </cell>
          <cell r="G9">
            <v>0.54</v>
          </cell>
          <cell r="H9">
            <v>0.54</v>
          </cell>
          <cell r="I9">
            <v>0.54</v>
          </cell>
          <cell r="J9">
            <v>0.54</v>
          </cell>
          <cell r="K9">
            <v>0.54</v>
          </cell>
          <cell r="L9">
            <v>0.54</v>
          </cell>
          <cell r="M9">
            <v>0.54</v>
          </cell>
          <cell r="N9">
            <v>0.54</v>
          </cell>
          <cell r="O9">
            <v>0.54</v>
          </cell>
        </row>
      </sheetData>
      <sheetData sheetId="9">
        <row r="20">
          <cell r="D20">
            <v>8576229.0500000007</v>
          </cell>
        </row>
      </sheetData>
      <sheetData sheetId="10" refreshError="1"/>
      <sheetData sheetId="11">
        <row r="40">
          <cell r="AE40">
            <v>40865393.119999997</v>
          </cell>
        </row>
      </sheetData>
      <sheetData sheetId="12">
        <row r="28">
          <cell r="I28">
            <v>144789216.63000003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PPS"/>
      <sheetName val="BalFin"/>
      <sheetName val="VarRPPS"/>
      <sheetName val="PatRPPS"/>
      <sheetName val="FinCons"/>
      <sheetName val="VarCons"/>
      <sheetName val="PatCons"/>
      <sheetName val="Consolid"/>
      <sheetName val="Financ"/>
      <sheetName val="BalSISTN"/>
      <sheetName val="Patrim"/>
      <sheetName val="Resum2"/>
      <sheetName val="DivAt"/>
      <sheetName val="Limites"/>
      <sheetName val="Mínim"/>
      <sheetName val="Atuarial"/>
      <sheetName val="CRUZ"/>
      <sheetName val="Metas"/>
      <sheetName val="DDPEL"/>
      <sheetName val="Resumos"/>
      <sheetName val="RCL"/>
      <sheetName val="MPS"/>
      <sheetName val="Disponib"/>
      <sheetName val="Funç"/>
      <sheetName val="BalOrç"/>
      <sheetName val="Prim"/>
      <sheetName val="Nomi"/>
      <sheetName val="DCL"/>
      <sheetName val="Restos"/>
      <sheetName val="RAPinscritos"/>
      <sheetName val="RecDespFAPS"/>
      <sheetName val="VINC"/>
      <sheetName val="Plan3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2">
          <cell r="J102">
            <v>59301.533333333209</v>
          </cell>
        </row>
        <row r="103">
          <cell r="J103">
            <v>-28113.66333333333</v>
          </cell>
        </row>
        <row r="104">
          <cell r="J104">
            <v>-8269.1199999999953</v>
          </cell>
        </row>
        <row r="105">
          <cell r="J105">
            <v>5654.826666666675</v>
          </cell>
        </row>
        <row r="106">
          <cell r="J106">
            <v>-70756.576666666893</v>
          </cell>
        </row>
        <row r="107">
          <cell r="J107">
            <v>13654.580000000016</v>
          </cell>
        </row>
        <row r="108">
          <cell r="J108">
            <v>78357.869999999966</v>
          </cell>
        </row>
        <row r="109">
          <cell r="J109">
            <v>-182954.47666666657</v>
          </cell>
        </row>
        <row r="110">
          <cell r="J110">
            <v>-129513.63666666579</v>
          </cell>
        </row>
        <row r="111">
          <cell r="J111">
            <v>88479.670000000391</v>
          </cell>
        </row>
        <row r="112">
          <cell r="J112">
            <v>80146.053333333286</v>
          </cell>
        </row>
        <row r="113">
          <cell r="J113">
            <v>104245.48333333328</v>
          </cell>
        </row>
        <row r="114">
          <cell r="J114">
            <v>7241.7066666666651</v>
          </cell>
        </row>
        <row r="115">
          <cell r="J115">
            <v>35295.373333333329</v>
          </cell>
        </row>
        <row r="116">
          <cell r="J116">
            <v>217853.67333333334</v>
          </cell>
        </row>
        <row r="117">
          <cell r="J117">
            <v>-176204.25333333411</v>
          </cell>
        </row>
        <row r="192">
          <cell r="J192">
            <v>67808.04999999993</v>
          </cell>
        </row>
        <row r="193">
          <cell r="J193">
            <v>18918.219999999972</v>
          </cell>
        </row>
        <row r="194">
          <cell r="J194">
            <v>9857.5100000000093</v>
          </cell>
        </row>
        <row r="195">
          <cell r="J195">
            <v>1006.5599999999977</v>
          </cell>
        </row>
        <row r="196">
          <cell r="J196">
            <v>249769.87999999989</v>
          </cell>
        </row>
        <row r="197">
          <cell r="J197">
            <v>29268.719999999972</v>
          </cell>
        </row>
        <row r="198">
          <cell r="J198">
            <v>13008.560000000056</v>
          </cell>
        </row>
        <row r="199">
          <cell r="J199">
            <v>101946.72999999998</v>
          </cell>
        </row>
        <row r="200">
          <cell r="J200">
            <v>533680.19999999925</v>
          </cell>
        </row>
        <row r="201">
          <cell r="J201">
            <v>378077.09999999963</v>
          </cell>
        </row>
        <row r="202">
          <cell r="J202">
            <v>35528.70000000007</v>
          </cell>
        </row>
        <row r="203">
          <cell r="J203">
            <v>60700.789999999804</v>
          </cell>
        </row>
        <row r="204">
          <cell r="J204">
            <v>23912.360000000102</v>
          </cell>
        </row>
        <row r="205">
          <cell r="J205">
            <v>7234.86</v>
          </cell>
        </row>
        <row r="206">
          <cell r="J206">
            <v>222838.98999999976</v>
          </cell>
        </row>
        <row r="207">
          <cell r="J207">
            <v>-676947.98000000138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opLeftCell="A88" workbookViewId="0">
      <selection activeCell="B93" sqref="B93"/>
    </sheetView>
  </sheetViews>
  <sheetFormatPr defaultRowHeight="15" x14ac:dyDescent="0.25"/>
  <cols>
    <col min="1" max="2" width="1.7109375" customWidth="1"/>
    <col min="3" max="3" width="38.42578125" customWidth="1"/>
    <col min="4" max="4" width="11.7109375" bestFit="1" customWidth="1"/>
    <col min="5" max="5" width="14.28515625" bestFit="1" customWidth="1"/>
    <col min="6" max="7" width="11.28515625" bestFit="1" customWidth="1"/>
  </cols>
  <sheetData>
    <row r="1" spans="1:7" x14ac:dyDescent="0.25">
      <c r="A1" s="657" t="s">
        <v>917</v>
      </c>
      <c r="B1" s="657"/>
      <c r="C1" s="657"/>
      <c r="D1" s="657"/>
      <c r="E1" s="657"/>
      <c r="F1" s="657"/>
      <c r="G1" s="657"/>
    </row>
    <row r="2" spans="1:7" x14ac:dyDescent="0.25">
      <c r="A2" s="657" t="s">
        <v>824</v>
      </c>
      <c r="B2" s="657"/>
      <c r="C2" s="657"/>
      <c r="D2" s="657"/>
      <c r="E2" s="657"/>
      <c r="F2" s="657"/>
      <c r="G2" s="657"/>
    </row>
    <row r="3" spans="1:7" x14ac:dyDescent="0.25">
      <c r="A3" s="658" t="s">
        <v>918</v>
      </c>
      <c r="B3" s="658"/>
      <c r="C3" s="658"/>
      <c r="D3" s="658"/>
      <c r="E3" s="658"/>
      <c r="F3" s="658"/>
      <c r="G3" s="658"/>
    </row>
    <row r="4" spans="1:7" x14ac:dyDescent="0.25">
      <c r="A4" s="657" t="s">
        <v>919</v>
      </c>
      <c r="B4" s="657"/>
      <c r="C4" s="657"/>
      <c r="D4" s="657"/>
      <c r="E4" s="657"/>
      <c r="F4" s="657"/>
      <c r="G4" s="657"/>
    </row>
    <row r="5" spans="1:7" x14ac:dyDescent="0.25">
      <c r="A5" s="657" t="s">
        <v>920</v>
      </c>
      <c r="B5" s="657"/>
      <c r="C5" s="657"/>
      <c r="D5" s="657"/>
      <c r="E5" s="657"/>
      <c r="F5" s="657"/>
      <c r="G5" s="657"/>
    </row>
    <row r="6" spans="1:7" ht="15.75" thickBot="1" x14ac:dyDescent="0.3">
      <c r="A6" s="657" t="s">
        <v>921</v>
      </c>
      <c r="B6" s="657"/>
      <c r="C6" s="657"/>
      <c r="F6" s="659" t="s">
        <v>922</v>
      </c>
      <c r="G6" s="659"/>
    </row>
    <row r="7" spans="1:7" ht="15.75" thickBot="1" x14ac:dyDescent="0.3">
      <c r="A7" s="624" t="s">
        <v>923</v>
      </c>
      <c r="B7" s="625"/>
      <c r="C7" s="625"/>
      <c r="D7" s="625" t="s">
        <v>924</v>
      </c>
      <c r="E7" s="625"/>
      <c r="F7" s="625"/>
      <c r="G7" s="626"/>
    </row>
    <row r="8" spans="1:7" x14ac:dyDescent="0.25">
      <c r="A8" s="620" t="s">
        <v>925</v>
      </c>
      <c r="B8" s="621"/>
      <c r="C8" s="621"/>
      <c r="D8" s="653"/>
      <c r="E8" s="653"/>
      <c r="F8" s="653"/>
      <c r="G8" s="654"/>
    </row>
    <row r="9" spans="1:7" x14ac:dyDescent="0.25">
      <c r="B9" s="627" t="s">
        <v>926</v>
      </c>
      <c r="C9" s="628"/>
      <c r="D9" s="629">
        <v>140361710.27000001</v>
      </c>
      <c r="E9" s="629"/>
      <c r="F9" s="629"/>
      <c r="G9" s="630"/>
    </row>
    <row r="10" spans="1:7" x14ac:dyDescent="0.25">
      <c r="B10" s="627" t="s">
        <v>927</v>
      </c>
      <c r="C10" s="628"/>
      <c r="D10" s="629">
        <v>149202363.99000001</v>
      </c>
      <c r="E10" s="629"/>
      <c r="F10" s="629"/>
      <c r="G10" s="630"/>
    </row>
    <row r="11" spans="1:7" x14ac:dyDescent="0.25">
      <c r="B11" s="627" t="s">
        <v>928</v>
      </c>
      <c r="C11" s="628"/>
      <c r="D11" s="629">
        <v>153888659.43000001</v>
      </c>
      <c r="E11" s="629"/>
      <c r="F11" s="629"/>
      <c r="G11" s="630"/>
    </row>
    <row r="12" spans="1:7" x14ac:dyDescent="0.25">
      <c r="B12" s="627" t="s">
        <v>929</v>
      </c>
      <c r="C12" s="628"/>
      <c r="D12" s="655" t="s">
        <v>825</v>
      </c>
      <c r="E12" s="655"/>
      <c r="F12" s="655"/>
      <c r="G12" s="656"/>
    </row>
    <row r="13" spans="1:7" x14ac:dyDescent="0.25">
      <c r="B13" s="627" t="s">
        <v>930</v>
      </c>
      <c r="C13" s="628"/>
      <c r="D13" s="629">
        <v>7327192.9400000004</v>
      </c>
      <c r="E13" s="629"/>
      <c r="F13" s="629"/>
      <c r="G13" s="630"/>
    </row>
    <row r="14" spans="1:7" x14ac:dyDescent="0.25">
      <c r="A14" s="627" t="s">
        <v>931</v>
      </c>
      <c r="B14" s="628"/>
      <c r="C14" s="628"/>
      <c r="D14" s="651"/>
      <c r="E14" s="651"/>
      <c r="F14" s="651"/>
      <c r="G14" s="652"/>
    </row>
    <row r="15" spans="1:7" x14ac:dyDescent="0.25">
      <c r="B15" s="627" t="s">
        <v>932</v>
      </c>
      <c r="C15" s="628"/>
      <c r="D15" s="629">
        <v>137392690.61000001</v>
      </c>
      <c r="E15" s="629"/>
      <c r="F15" s="629"/>
      <c r="G15" s="630"/>
    </row>
    <row r="16" spans="1:7" x14ac:dyDescent="0.25">
      <c r="B16" s="627" t="s">
        <v>933</v>
      </c>
      <c r="C16" s="628"/>
      <c r="D16" s="629">
        <v>156155806.41999999</v>
      </c>
      <c r="E16" s="629"/>
      <c r="F16" s="629"/>
      <c r="G16" s="630"/>
    </row>
    <row r="17" spans="1:7" x14ac:dyDescent="0.25">
      <c r="B17" s="627" t="s">
        <v>934</v>
      </c>
      <c r="C17" s="628"/>
      <c r="D17" s="629">
        <v>141056689.88999999</v>
      </c>
      <c r="E17" s="629"/>
      <c r="F17" s="629"/>
      <c r="G17" s="630"/>
    </row>
    <row r="18" spans="1:7" x14ac:dyDescent="0.25">
      <c r="B18" s="635" t="s">
        <v>935</v>
      </c>
      <c r="C18" s="627"/>
      <c r="D18" s="629">
        <v>139225135.18000001</v>
      </c>
      <c r="E18" s="629"/>
      <c r="F18" s="629"/>
      <c r="G18" s="630"/>
    </row>
    <row r="19" spans="1:7" x14ac:dyDescent="0.25">
      <c r="B19" s="627" t="s">
        <v>936</v>
      </c>
      <c r="C19" s="628"/>
      <c r="D19" s="629">
        <v>133480989.17</v>
      </c>
      <c r="E19" s="629"/>
      <c r="F19" s="629"/>
      <c r="G19" s="630"/>
    </row>
    <row r="20" spans="1:7" ht="15.75" thickBot="1" x14ac:dyDescent="0.3">
      <c r="B20" s="627" t="s">
        <v>937</v>
      </c>
      <c r="C20" s="628"/>
      <c r="D20" s="629">
        <v>12831969.539999999</v>
      </c>
      <c r="E20" s="629"/>
      <c r="F20" s="629"/>
      <c r="G20" s="630"/>
    </row>
    <row r="21" spans="1:7" ht="15.75" thickBot="1" x14ac:dyDescent="0.3">
      <c r="A21" s="461"/>
      <c r="B21" s="461"/>
      <c r="C21" s="461"/>
      <c r="D21" s="461"/>
      <c r="E21" s="461"/>
      <c r="F21" s="461"/>
      <c r="G21" s="461"/>
    </row>
    <row r="22" spans="1:7" ht="15.75" thickBot="1" x14ac:dyDescent="0.3">
      <c r="A22" s="624" t="s">
        <v>938</v>
      </c>
      <c r="B22" s="625"/>
      <c r="C22" s="625"/>
      <c r="D22" s="625" t="s">
        <v>924</v>
      </c>
      <c r="E22" s="625"/>
      <c r="F22" s="625"/>
      <c r="G22" s="626"/>
    </row>
    <row r="23" spans="1:7" x14ac:dyDescent="0.25">
      <c r="A23" s="462" t="s">
        <v>934</v>
      </c>
      <c r="B23" s="463"/>
      <c r="C23" s="463"/>
      <c r="D23" s="636">
        <v>141056689.88999999</v>
      </c>
      <c r="E23" s="636"/>
      <c r="F23" s="636"/>
      <c r="G23" s="637"/>
    </row>
    <row r="24" spans="1:7" ht="15.75" thickBot="1" x14ac:dyDescent="0.3">
      <c r="A24" s="635" t="s">
        <v>935</v>
      </c>
      <c r="B24" s="635"/>
      <c r="C24" s="627"/>
      <c r="D24" s="629">
        <v>139225135.18000001</v>
      </c>
      <c r="E24" s="629"/>
      <c r="F24" s="629"/>
      <c r="G24" s="630"/>
    </row>
    <row r="25" spans="1:7" ht="15.75" thickBot="1" x14ac:dyDescent="0.3">
      <c r="A25" s="461"/>
      <c r="B25" s="461"/>
      <c r="C25" s="461"/>
      <c r="D25" s="461"/>
      <c r="E25" s="461"/>
      <c r="F25" s="461"/>
      <c r="G25" s="461"/>
    </row>
    <row r="26" spans="1:7" ht="15.75" thickBot="1" x14ac:dyDescent="0.3">
      <c r="A26" s="624" t="s">
        <v>939</v>
      </c>
      <c r="B26" s="625"/>
      <c r="C26" s="625"/>
      <c r="D26" s="625" t="s">
        <v>924</v>
      </c>
      <c r="E26" s="625"/>
      <c r="F26" s="625"/>
      <c r="G26" s="626"/>
    </row>
    <row r="27" spans="1:7" ht="15.75" thickBot="1" x14ac:dyDescent="0.3">
      <c r="A27" s="620" t="s">
        <v>479</v>
      </c>
      <c r="B27" s="621"/>
      <c r="C27" s="621"/>
      <c r="D27" s="636">
        <v>114730918.98</v>
      </c>
      <c r="E27" s="636"/>
      <c r="F27" s="636"/>
      <c r="G27" s="637"/>
    </row>
    <row r="28" spans="1:7" ht="15.75" thickBot="1" x14ac:dyDescent="0.3">
      <c r="A28" s="620" t="s">
        <v>940</v>
      </c>
      <c r="B28" s="621"/>
      <c r="C28" s="621"/>
      <c r="D28" s="636">
        <v>113400918.98</v>
      </c>
      <c r="E28" s="636"/>
      <c r="F28" s="636"/>
      <c r="G28" s="637"/>
    </row>
    <row r="29" spans="1:7" ht="15.75" thickBot="1" x14ac:dyDescent="0.3">
      <c r="A29" s="620" t="s">
        <v>941</v>
      </c>
      <c r="B29" s="621"/>
      <c r="C29" s="621"/>
      <c r="D29" s="636">
        <v>113400918.98</v>
      </c>
      <c r="E29" s="636"/>
      <c r="F29" s="636"/>
      <c r="G29" s="637"/>
    </row>
    <row r="30" spans="1:7" ht="15.75" thickBot="1" x14ac:dyDescent="0.3">
      <c r="A30" s="461"/>
      <c r="B30" s="461"/>
      <c r="C30" s="461"/>
      <c r="D30" s="461"/>
      <c r="E30" s="461"/>
      <c r="F30" s="461"/>
      <c r="G30" s="461"/>
    </row>
    <row r="31" spans="1:7" ht="15.75" thickBot="1" x14ac:dyDescent="0.3">
      <c r="A31" s="624" t="s">
        <v>942</v>
      </c>
      <c r="B31" s="625"/>
      <c r="C31" s="625"/>
      <c r="D31" s="625" t="s">
        <v>924</v>
      </c>
      <c r="E31" s="625"/>
      <c r="F31" s="625"/>
      <c r="G31" s="626"/>
    </row>
    <row r="32" spans="1:7" x14ac:dyDescent="0.25">
      <c r="A32" s="620" t="s">
        <v>943</v>
      </c>
      <c r="B32" s="621"/>
      <c r="C32" s="621"/>
      <c r="D32" s="653"/>
      <c r="E32" s="653"/>
      <c r="F32" s="653"/>
      <c r="G32" s="654"/>
    </row>
    <row r="33" spans="1:7" x14ac:dyDescent="0.25">
      <c r="B33" s="627" t="s">
        <v>944</v>
      </c>
      <c r="C33" s="628"/>
      <c r="D33" s="629">
        <v>17623290.07</v>
      </c>
      <c r="E33" s="629"/>
      <c r="F33" s="629"/>
      <c r="G33" s="630"/>
    </row>
    <row r="34" spans="1:7" x14ac:dyDescent="0.25">
      <c r="B34" s="635" t="s">
        <v>945</v>
      </c>
      <c r="C34" s="627"/>
      <c r="D34" s="629">
        <v>24197417.52</v>
      </c>
      <c r="E34" s="629"/>
      <c r="F34" s="629"/>
      <c r="G34" s="630"/>
    </row>
    <row r="35" spans="1:7" x14ac:dyDescent="0.25">
      <c r="B35" s="635" t="s">
        <v>946</v>
      </c>
      <c r="C35" s="627"/>
      <c r="D35" s="629">
        <v>24197417.52</v>
      </c>
      <c r="E35" s="629"/>
      <c r="F35" s="629"/>
      <c r="G35" s="630"/>
    </row>
    <row r="36" spans="1:7" x14ac:dyDescent="0.25">
      <c r="B36" s="627" t="s">
        <v>947</v>
      </c>
      <c r="C36" s="628"/>
      <c r="D36" s="629">
        <v>-6574127.4500000002</v>
      </c>
      <c r="E36" s="629"/>
      <c r="F36" s="629"/>
      <c r="G36" s="630"/>
    </row>
    <row r="37" spans="1:7" x14ac:dyDescent="0.25">
      <c r="A37" s="627" t="s">
        <v>948</v>
      </c>
      <c r="B37" s="628"/>
      <c r="C37" s="628"/>
      <c r="D37" s="651"/>
      <c r="E37" s="651"/>
      <c r="F37" s="651"/>
      <c r="G37" s="652"/>
    </row>
    <row r="38" spans="1:7" x14ac:dyDescent="0.25">
      <c r="B38" s="627" t="s">
        <v>944</v>
      </c>
      <c r="C38" s="628"/>
      <c r="D38" s="629">
        <v>0</v>
      </c>
      <c r="E38" s="629"/>
      <c r="F38" s="629"/>
      <c r="G38" s="630"/>
    </row>
    <row r="39" spans="1:7" x14ac:dyDescent="0.25">
      <c r="B39" s="635" t="s">
        <v>945</v>
      </c>
      <c r="C39" s="627"/>
      <c r="D39" s="629">
        <v>0</v>
      </c>
      <c r="E39" s="629"/>
      <c r="F39" s="629"/>
      <c r="G39" s="630"/>
    </row>
    <row r="40" spans="1:7" x14ac:dyDescent="0.25">
      <c r="B40" s="635" t="s">
        <v>946</v>
      </c>
      <c r="C40" s="627"/>
      <c r="D40" s="629">
        <v>0</v>
      </c>
      <c r="E40" s="629"/>
      <c r="F40" s="629"/>
      <c r="G40" s="630"/>
    </row>
    <row r="41" spans="1:7" ht="15.75" thickBot="1" x14ac:dyDescent="0.3">
      <c r="B41" s="627" t="s">
        <v>947</v>
      </c>
      <c r="C41" s="628"/>
      <c r="D41" s="629">
        <v>0</v>
      </c>
      <c r="E41" s="629"/>
      <c r="F41" s="629"/>
      <c r="G41" s="630"/>
    </row>
    <row r="42" spans="1:7" ht="15.75" thickBot="1" x14ac:dyDescent="0.3">
      <c r="A42" s="461"/>
      <c r="B42" s="461"/>
      <c r="C42" s="461"/>
      <c r="D42" s="461"/>
      <c r="E42" s="461"/>
      <c r="F42" s="461"/>
      <c r="G42" s="461"/>
    </row>
    <row r="43" spans="1:7" x14ac:dyDescent="0.25">
      <c r="A43" s="632" t="s">
        <v>949</v>
      </c>
      <c r="B43" s="647"/>
      <c r="C43" s="647"/>
      <c r="D43" s="464" t="s">
        <v>950</v>
      </c>
      <c r="E43" s="464" t="s">
        <v>951</v>
      </c>
      <c r="F43" s="625" t="s">
        <v>952</v>
      </c>
      <c r="G43" s="626"/>
    </row>
    <row r="44" spans="1:7" x14ac:dyDescent="0.25">
      <c r="A44" s="616"/>
      <c r="B44" s="650"/>
      <c r="C44" s="650"/>
      <c r="D44" s="465" t="s">
        <v>953</v>
      </c>
      <c r="E44" s="465" t="s">
        <v>954</v>
      </c>
      <c r="F44" s="617"/>
      <c r="G44" s="618"/>
    </row>
    <row r="45" spans="1:7" x14ac:dyDescent="0.25">
      <c r="A45" s="616"/>
      <c r="B45" s="650"/>
      <c r="C45" s="650"/>
      <c r="D45" s="465" t="s">
        <v>955</v>
      </c>
      <c r="E45" s="465"/>
      <c r="F45" s="617"/>
      <c r="G45" s="618"/>
    </row>
    <row r="46" spans="1:7" ht="15.75" thickBot="1" x14ac:dyDescent="0.3">
      <c r="A46" s="616"/>
      <c r="B46" s="650"/>
      <c r="C46" s="650"/>
      <c r="D46" s="465" t="s">
        <v>956</v>
      </c>
      <c r="E46" s="465" t="s">
        <v>957</v>
      </c>
      <c r="F46" s="617" t="s">
        <v>958</v>
      </c>
      <c r="G46" s="618"/>
    </row>
    <row r="47" spans="1:7" x14ac:dyDescent="0.25">
      <c r="A47" s="620" t="s">
        <v>959</v>
      </c>
      <c r="B47" s="621"/>
      <c r="C47" s="621"/>
      <c r="D47" s="466">
        <v>126749255.05</v>
      </c>
      <c r="E47" s="466">
        <v>10331990.83</v>
      </c>
      <c r="F47" s="645">
        <v>8.15</v>
      </c>
      <c r="G47" s="646"/>
    </row>
    <row r="48" spans="1:7" ht="15.75" thickBot="1" x14ac:dyDescent="0.3">
      <c r="A48" s="627" t="s">
        <v>960</v>
      </c>
      <c r="B48" s="628"/>
      <c r="C48" s="628"/>
      <c r="D48" s="467">
        <v>5797498.6500000004</v>
      </c>
      <c r="E48" s="467">
        <v>10776597.369999999</v>
      </c>
      <c r="F48" s="629">
        <v>185.88</v>
      </c>
      <c r="G48" s="630"/>
    </row>
    <row r="49" spans="1:7" ht="15.75" thickBot="1" x14ac:dyDescent="0.3">
      <c r="A49" s="461"/>
      <c r="B49" s="461"/>
      <c r="C49" s="461"/>
      <c r="D49" s="461"/>
      <c r="E49" s="461"/>
      <c r="F49" s="461"/>
      <c r="G49" s="461"/>
    </row>
    <row r="50" spans="1:7" x14ac:dyDescent="0.25">
      <c r="A50" s="632" t="s">
        <v>961</v>
      </c>
      <c r="B50" s="647"/>
      <c r="C50" s="647"/>
      <c r="D50" s="464" t="s">
        <v>962</v>
      </c>
      <c r="E50" s="464" t="s">
        <v>963</v>
      </c>
      <c r="F50" s="464" t="s">
        <v>964</v>
      </c>
      <c r="G50" s="468" t="s">
        <v>965</v>
      </c>
    </row>
    <row r="51" spans="1:7" ht="15.75" thickBot="1" x14ac:dyDescent="0.3">
      <c r="A51" s="648"/>
      <c r="B51" s="649"/>
      <c r="C51" s="650"/>
      <c r="D51" s="465"/>
      <c r="E51" s="465" t="s">
        <v>924</v>
      </c>
      <c r="F51" s="465" t="s">
        <v>924</v>
      </c>
      <c r="G51" s="469" t="s">
        <v>1045</v>
      </c>
    </row>
    <row r="52" spans="1:7" x14ac:dyDescent="0.25">
      <c r="B52" s="619" t="s">
        <v>966</v>
      </c>
      <c r="C52" s="620"/>
      <c r="D52" s="466">
        <v>26684024.18</v>
      </c>
      <c r="E52" s="466">
        <v>32792.559999999998</v>
      </c>
      <c r="F52" s="466">
        <v>7119249.2400000002</v>
      </c>
      <c r="G52" s="470">
        <v>19531982.379999999</v>
      </c>
    </row>
    <row r="53" spans="1:7" x14ac:dyDescent="0.25">
      <c r="C53" s="471" t="s">
        <v>967</v>
      </c>
      <c r="D53" s="467">
        <v>26681873.27</v>
      </c>
      <c r="E53" s="467">
        <v>32792.559999999998</v>
      </c>
      <c r="F53" s="467">
        <v>7117098.3300000001</v>
      </c>
      <c r="G53" s="472">
        <v>19531982.379999999</v>
      </c>
    </row>
    <row r="54" spans="1:7" x14ac:dyDescent="0.25">
      <c r="C54" s="471" t="s">
        <v>968</v>
      </c>
      <c r="D54" s="467">
        <v>2150.91</v>
      </c>
      <c r="E54" s="467">
        <v>0</v>
      </c>
      <c r="F54" s="467">
        <v>2150.91</v>
      </c>
      <c r="G54" s="472">
        <v>0</v>
      </c>
    </row>
    <row r="55" spans="1:7" x14ac:dyDescent="0.25">
      <c r="B55" s="635" t="s">
        <v>969</v>
      </c>
      <c r="C55" s="627"/>
      <c r="D55" s="467">
        <v>2756615.15</v>
      </c>
      <c r="E55" s="467">
        <v>12404.78</v>
      </c>
      <c r="F55" s="467">
        <v>1370029.01</v>
      </c>
      <c r="G55" s="472">
        <v>1374181.36</v>
      </c>
    </row>
    <row r="56" spans="1:7" x14ac:dyDescent="0.25">
      <c r="C56" s="471" t="s">
        <v>967</v>
      </c>
      <c r="D56" s="467">
        <v>2756615.15</v>
      </c>
      <c r="E56" s="467">
        <v>12404.78</v>
      </c>
      <c r="F56" s="467">
        <v>1370029.01</v>
      </c>
      <c r="G56" s="472">
        <v>1374181.36</v>
      </c>
    </row>
    <row r="57" spans="1:7" ht="15.75" thickBot="1" x14ac:dyDescent="0.3">
      <c r="C57" s="471" t="s">
        <v>968</v>
      </c>
      <c r="D57" s="467">
        <v>0</v>
      </c>
      <c r="E57" s="467">
        <v>0</v>
      </c>
      <c r="F57" s="467">
        <v>0</v>
      </c>
      <c r="G57" s="472">
        <v>0</v>
      </c>
    </row>
    <row r="58" spans="1:7" ht="15.75" thickBot="1" x14ac:dyDescent="0.3">
      <c r="A58" s="609" t="s">
        <v>282</v>
      </c>
      <c r="B58" s="610"/>
      <c r="C58" s="610"/>
      <c r="D58" s="473">
        <v>29440639.329999998</v>
      </c>
      <c r="E58" s="473">
        <v>45197.34</v>
      </c>
      <c r="F58" s="473">
        <v>8489278.25</v>
      </c>
      <c r="G58" s="474">
        <v>20906163.739999998</v>
      </c>
    </row>
    <row r="60" spans="1:7" ht="15.75" thickBot="1" x14ac:dyDescent="0.3">
      <c r="A60" s="641"/>
      <c r="B60" s="641"/>
      <c r="C60" s="640"/>
      <c r="D60" s="465"/>
      <c r="E60" s="642" t="s">
        <v>970</v>
      </c>
      <c r="F60" s="642"/>
      <c r="G60" s="643"/>
    </row>
    <row r="61" spans="1:7" x14ac:dyDescent="0.25">
      <c r="A61" s="641" t="s">
        <v>971</v>
      </c>
      <c r="B61" s="641"/>
      <c r="C61" s="640"/>
      <c r="D61" s="465" t="s">
        <v>972</v>
      </c>
      <c r="E61" s="465" t="s">
        <v>973</v>
      </c>
      <c r="F61" s="626" t="s">
        <v>974</v>
      </c>
      <c r="G61" s="644"/>
    </row>
    <row r="62" spans="1:7" ht="15.75" thickBot="1" x14ac:dyDescent="0.3">
      <c r="A62" s="639"/>
      <c r="B62" s="639"/>
      <c r="C62" s="640"/>
      <c r="D62" s="465" t="s">
        <v>954</v>
      </c>
      <c r="E62" s="465" t="s">
        <v>975</v>
      </c>
      <c r="F62" s="618" t="s">
        <v>1046</v>
      </c>
      <c r="G62" s="639"/>
    </row>
    <row r="63" spans="1:7" x14ac:dyDescent="0.25">
      <c r="A63" s="620" t="s">
        <v>976</v>
      </c>
      <c r="B63" s="621"/>
      <c r="C63" s="621"/>
      <c r="D63" s="466">
        <v>21507764.311999999</v>
      </c>
      <c r="E63" s="475">
        <v>0.25</v>
      </c>
      <c r="F63" s="636">
        <v>24.27</v>
      </c>
      <c r="G63" s="637"/>
    </row>
    <row r="64" spans="1:7" x14ac:dyDescent="0.25">
      <c r="A64" s="627" t="s">
        <v>977</v>
      </c>
      <c r="B64" s="628"/>
      <c r="C64" s="628"/>
      <c r="D64" s="467">
        <v>0</v>
      </c>
      <c r="E64" s="476">
        <v>0.7</v>
      </c>
      <c r="F64" s="629">
        <v>0</v>
      </c>
      <c r="G64" s="630"/>
    </row>
    <row r="65" spans="1:7" x14ac:dyDescent="0.25">
      <c r="A65" s="627" t="s">
        <v>978</v>
      </c>
      <c r="B65" s="628"/>
      <c r="C65" s="628"/>
      <c r="D65" s="467">
        <v>0</v>
      </c>
      <c r="E65" s="476">
        <v>0.5</v>
      </c>
      <c r="F65" s="629">
        <v>0</v>
      </c>
      <c r="G65" s="630"/>
    </row>
    <row r="66" spans="1:7" ht="15.75" thickBot="1" x14ac:dyDescent="0.3">
      <c r="A66" s="627" t="s">
        <v>979</v>
      </c>
      <c r="B66" s="628"/>
      <c r="C66" s="628"/>
      <c r="D66" s="467">
        <v>0</v>
      </c>
      <c r="E66" s="476">
        <v>0.15</v>
      </c>
      <c r="F66" s="629">
        <v>0</v>
      </c>
      <c r="G66" s="630"/>
    </row>
    <row r="67" spans="1:7" ht="15.75" thickBot="1" x14ac:dyDescent="0.3">
      <c r="A67" s="461"/>
      <c r="B67" s="461"/>
      <c r="C67" s="461"/>
      <c r="D67" s="461"/>
      <c r="E67" s="461"/>
      <c r="F67" s="461"/>
      <c r="G67" s="461"/>
    </row>
    <row r="68" spans="1:7" ht="15.75" thickBot="1" x14ac:dyDescent="0.3">
      <c r="A68" s="624" t="s">
        <v>980</v>
      </c>
      <c r="B68" s="625"/>
      <c r="C68" s="625"/>
      <c r="D68" s="625" t="s">
        <v>981</v>
      </c>
      <c r="E68" s="625"/>
      <c r="F68" s="625" t="s">
        <v>982</v>
      </c>
      <c r="G68" s="626"/>
    </row>
    <row r="69" spans="1:7" x14ac:dyDescent="0.25">
      <c r="A69" s="620" t="s">
        <v>983</v>
      </c>
      <c r="B69" s="621"/>
      <c r="C69" s="621"/>
      <c r="D69" s="636">
        <v>0</v>
      </c>
      <c r="E69" s="636"/>
      <c r="F69" s="636">
        <v>0</v>
      </c>
      <c r="G69" s="637"/>
    </row>
    <row r="70" spans="1:7" ht="15.75" thickBot="1" x14ac:dyDescent="0.3">
      <c r="A70" s="627" t="s">
        <v>984</v>
      </c>
      <c r="B70" s="628"/>
      <c r="C70" s="628"/>
      <c r="D70" s="629">
        <v>2711152.56</v>
      </c>
      <c r="E70" s="629"/>
      <c r="F70" s="629">
        <v>5418116.0499999998</v>
      </c>
      <c r="G70" s="630"/>
    </row>
    <row r="71" spans="1:7" ht="15.75" thickBot="1" x14ac:dyDescent="0.3">
      <c r="A71" s="461"/>
      <c r="B71" s="461"/>
      <c r="C71" s="461"/>
      <c r="D71" s="461"/>
      <c r="E71" s="461"/>
      <c r="F71" s="461"/>
      <c r="G71" s="461"/>
    </row>
    <row r="72" spans="1:7" ht="15.75" thickBot="1" x14ac:dyDescent="0.3">
      <c r="A72" s="638" t="s">
        <v>985</v>
      </c>
      <c r="B72" s="633"/>
      <c r="C72" s="625"/>
      <c r="D72" s="464" t="s">
        <v>986</v>
      </c>
      <c r="E72" s="464" t="s">
        <v>987</v>
      </c>
      <c r="F72" s="464" t="s">
        <v>988</v>
      </c>
      <c r="G72" s="468" t="s">
        <v>989</v>
      </c>
    </row>
    <row r="73" spans="1:7" x14ac:dyDescent="0.25">
      <c r="A73" s="431" t="s">
        <v>990</v>
      </c>
      <c r="C73" s="477"/>
      <c r="D73" s="463"/>
      <c r="E73" s="463"/>
      <c r="F73" s="463"/>
      <c r="G73" s="478"/>
    </row>
    <row r="74" spans="1:7" x14ac:dyDescent="0.25">
      <c r="B74" s="635" t="s">
        <v>991</v>
      </c>
      <c r="C74" s="627"/>
      <c r="D74" s="467">
        <v>24652330.879999999</v>
      </c>
      <c r="E74" s="467">
        <v>32869212.02</v>
      </c>
      <c r="F74" s="467">
        <v>36166789.119999997</v>
      </c>
      <c r="G74" s="472">
        <v>3476650.01</v>
      </c>
    </row>
    <row r="75" spans="1:7" x14ac:dyDescent="0.25">
      <c r="B75" s="635" t="s">
        <v>992</v>
      </c>
      <c r="C75" s="627"/>
      <c r="D75" s="467">
        <v>25545441.780000001</v>
      </c>
      <c r="E75" s="467">
        <v>40462929.670000002</v>
      </c>
      <c r="F75" s="467">
        <v>48280407.969999999</v>
      </c>
      <c r="G75" s="472">
        <v>35820755.310000002</v>
      </c>
    </row>
    <row r="76" spans="1:7" x14ac:dyDescent="0.25">
      <c r="B76" s="635" t="s">
        <v>947</v>
      </c>
      <c r="C76" s="627"/>
      <c r="D76" s="467">
        <v>-893110.9</v>
      </c>
      <c r="E76" s="467">
        <v>-7593717.6500000004</v>
      </c>
      <c r="F76" s="467">
        <v>-12113618.85</v>
      </c>
      <c r="G76" s="472">
        <v>-32344105.300000001</v>
      </c>
    </row>
    <row r="77" spans="1:7" x14ac:dyDescent="0.25">
      <c r="A77" s="431" t="s">
        <v>993</v>
      </c>
      <c r="C77" s="479"/>
      <c r="D77" s="480"/>
      <c r="E77" s="480"/>
      <c r="F77" s="480"/>
      <c r="G77" s="481"/>
    </row>
    <row r="78" spans="1:7" x14ac:dyDescent="0.25">
      <c r="B78" s="635" t="s">
        <v>991</v>
      </c>
      <c r="C78" s="627"/>
      <c r="D78" s="467">
        <v>0</v>
      </c>
      <c r="E78" s="467">
        <v>0</v>
      </c>
      <c r="F78" s="467">
        <v>0</v>
      </c>
      <c r="G78" s="472">
        <v>0</v>
      </c>
    </row>
    <row r="79" spans="1:7" x14ac:dyDescent="0.25">
      <c r="B79" s="635" t="s">
        <v>992</v>
      </c>
      <c r="C79" s="627"/>
      <c r="D79" s="467">
        <v>0</v>
      </c>
      <c r="E79" s="467">
        <v>0</v>
      </c>
      <c r="F79" s="467">
        <v>0</v>
      </c>
      <c r="G79" s="472">
        <v>0</v>
      </c>
    </row>
    <row r="80" spans="1:7" ht="15.75" thickBot="1" x14ac:dyDescent="0.3">
      <c r="B80" s="635" t="s">
        <v>947</v>
      </c>
      <c r="C80" s="627"/>
      <c r="D80" s="467">
        <v>0</v>
      </c>
      <c r="E80" s="467">
        <v>0</v>
      </c>
      <c r="F80" s="467">
        <v>0</v>
      </c>
      <c r="G80" s="472">
        <v>0</v>
      </c>
    </row>
    <row r="81" spans="1:7" ht="15.75" thickBot="1" x14ac:dyDescent="0.3">
      <c r="A81" s="461"/>
      <c r="B81" s="461"/>
      <c r="C81" s="461"/>
      <c r="D81" s="461"/>
      <c r="E81" s="461"/>
      <c r="F81" s="461"/>
      <c r="G81" s="461"/>
    </row>
    <row r="82" spans="1:7" ht="15.75" thickBot="1" x14ac:dyDescent="0.3">
      <c r="A82" s="624" t="s">
        <v>994</v>
      </c>
      <c r="B82" s="625"/>
      <c r="C82" s="625"/>
      <c r="D82" s="625" t="s">
        <v>995</v>
      </c>
      <c r="E82" s="625"/>
      <c r="F82" s="625" t="s">
        <v>996</v>
      </c>
      <c r="G82" s="626"/>
    </row>
    <row r="83" spans="1:7" x14ac:dyDescent="0.25">
      <c r="A83" s="620" t="s">
        <v>997</v>
      </c>
      <c r="B83" s="621"/>
      <c r="C83" s="621"/>
      <c r="D83" s="636">
        <v>0</v>
      </c>
      <c r="E83" s="636"/>
      <c r="F83" s="636">
        <v>0</v>
      </c>
      <c r="G83" s="637"/>
    </row>
    <row r="84" spans="1:7" ht="15.75" thickBot="1" x14ac:dyDescent="0.3">
      <c r="A84" s="627" t="s">
        <v>998</v>
      </c>
      <c r="B84" s="628"/>
      <c r="C84" s="628"/>
      <c r="D84" s="629">
        <v>0</v>
      </c>
      <c r="E84" s="629"/>
      <c r="F84" s="629">
        <v>0</v>
      </c>
      <c r="G84" s="630"/>
    </row>
    <row r="85" spans="1:7" ht="15.75" thickBot="1" x14ac:dyDescent="0.3">
      <c r="A85" s="461"/>
      <c r="B85" s="461"/>
      <c r="C85" s="461"/>
      <c r="D85" s="461"/>
      <c r="E85" s="461"/>
      <c r="F85" s="461"/>
      <c r="G85" s="461"/>
    </row>
    <row r="86" spans="1:7" ht="15.75" thickBot="1" x14ac:dyDescent="0.3">
      <c r="A86" s="631"/>
      <c r="B86" s="631"/>
      <c r="C86" s="632"/>
      <c r="D86" s="464" t="s">
        <v>972</v>
      </c>
      <c r="E86" s="633" t="s">
        <v>999</v>
      </c>
      <c r="F86" s="633"/>
      <c r="G86" s="634"/>
    </row>
    <row r="87" spans="1:7" x14ac:dyDescent="0.25">
      <c r="A87" s="615" t="s">
        <v>1000</v>
      </c>
      <c r="B87" s="615"/>
      <c r="C87" s="616"/>
      <c r="D87" s="465" t="s">
        <v>954</v>
      </c>
      <c r="E87" s="465" t="s">
        <v>973</v>
      </c>
      <c r="F87" s="625" t="s">
        <v>1001</v>
      </c>
      <c r="G87" s="626"/>
    </row>
    <row r="88" spans="1:7" ht="15.75" thickBot="1" x14ac:dyDescent="0.3">
      <c r="A88" s="614"/>
      <c r="B88" s="615"/>
      <c r="C88" s="616"/>
      <c r="D88" s="465"/>
      <c r="E88" s="465" t="s">
        <v>1002</v>
      </c>
      <c r="F88" s="617"/>
      <c r="G88" s="618"/>
    </row>
    <row r="89" spans="1:7" ht="15.75" thickBot="1" x14ac:dyDescent="0.3">
      <c r="A89" s="619" t="s">
        <v>1003</v>
      </c>
      <c r="B89" s="620"/>
      <c r="C89" s="621"/>
      <c r="D89" s="466">
        <v>19560962.629999999</v>
      </c>
      <c r="E89" s="475">
        <v>0.15</v>
      </c>
      <c r="F89" s="622">
        <v>20.09</v>
      </c>
      <c r="G89" s="623"/>
    </row>
    <row r="90" spans="1:7" ht="15.75" thickBot="1" x14ac:dyDescent="0.3">
      <c r="A90" s="461"/>
      <c r="B90" s="461"/>
      <c r="C90" s="461"/>
      <c r="D90" s="461"/>
      <c r="E90" s="461"/>
      <c r="F90" s="461"/>
      <c r="G90" s="461"/>
    </row>
    <row r="91" spans="1:7" ht="15.75" thickBot="1" x14ac:dyDescent="0.3">
      <c r="A91" s="624" t="s">
        <v>1004</v>
      </c>
      <c r="B91" s="625"/>
      <c r="C91" s="625"/>
      <c r="D91" s="625" t="s">
        <v>1005</v>
      </c>
      <c r="E91" s="625"/>
      <c r="F91" s="625"/>
      <c r="G91" s="626"/>
    </row>
    <row r="92" spans="1:7" ht="15.75" thickBot="1" x14ac:dyDescent="0.3">
      <c r="A92" s="609" t="s">
        <v>1006</v>
      </c>
      <c r="B92" s="610"/>
      <c r="C92" s="610"/>
      <c r="D92" s="611">
        <v>0</v>
      </c>
      <c r="E92" s="611"/>
      <c r="F92" s="611"/>
      <c r="G92" s="612"/>
    </row>
    <row r="93" spans="1:7" s="3" customFormat="1" ht="8.25" x14ac:dyDescent="0.15">
      <c r="A93" s="3" t="s">
        <v>1049</v>
      </c>
    </row>
    <row r="94" spans="1:7" s="3" customFormat="1" ht="8.25" x14ac:dyDescent="0.15">
      <c r="A94" s="3" t="s">
        <v>1048</v>
      </c>
    </row>
    <row r="95" spans="1:7" s="3" customFormat="1" ht="8.25" x14ac:dyDescent="0.15">
      <c r="A95" s="3" t="s">
        <v>1047</v>
      </c>
    </row>
    <row r="98" spans="3:8" x14ac:dyDescent="0.25">
      <c r="C98" s="55" t="s">
        <v>99</v>
      </c>
      <c r="D98" s="56" t="s">
        <v>100</v>
      </c>
      <c r="F98" s="613" t="s">
        <v>101</v>
      </c>
      <c r="G98" s="613"/>
      <c r="H98" s="55"/>
    </row>
    <row r="99" spans="3:8" x14ac:dyDescent="0.25">
      <c r="C99" s="55" t="s">
        <v>102</v>
      </c>
      <c r="D99" s="56" t="s">
        <v>103</v>
      </c>
      <c r="F99" s="499" t="s">
        <v>104</v>
      </c>
      <c r="G99" s="57"/>
      <c r="H99" s="55"/>
    </row>
  </sheetData>
  <mergeCells count="136"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B41:C41"/>
    <mergeCell ref="D41:G41"/>
    <mergeCell ref="A43:C46"/>
    <mergeCell ref="F43:G43"/>
    <mergeCell ref="F44:G44"/>
    <mergeCell ref="F45:G45"/>
    <mergeCell ref="F46:G46"/>
    <mergeCell ref="B38:C38"/>
    <mergeCell ref="D38:G38"/>
    <mergeCell ref="B39:C39"/>
    <mergeCell ref="D39:G39"/>
    <mergeCell ref="B40:C40"/>
    <mergeCell ref="D40:G40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A65:C65"/>
    <mergeCell ref="F65:G65"/>
    <mergeCell ref="A66:C66"/>
    <mergeCell ref="F66:G66"/>
    <mergeCell ref="A68:C68"/>
    <mergeCell ref="D68:E68"/>
    <mergeCell ref="F68:G68"/>
    <mergeCell ref="A62:C62"/>
    <mergeCell ref="F62:G62"/>
    <mergeCell ref="A63:C63"/>
    <mergeCell ref="F63:G63"/>
    <mergeCell ref="A64:C64"/>
    <mergeCell ref="F64:G64"/>
    <mergeCell ref="A72:C72"/>
    <mergeCell ref="B74:C74"/>
    <mergeCell ref="B75:C75"/>
    <mergeCell ref="B76:C76"/>
    <mergeCell ref="B78:C78"/>
    <mergeCell ref="B79:C79"/>
    <mergeCell ref="A69:C69"/>
    <mergeCell ref="D69:E69"/>
    <mergeCell ref="F69:G69"/>
    <mergeCell ref="A70:C70"/>
    <mergeCell ref="D70:E70"/>
    <mergeCell ref="F70:G70"/>
    <mergeCell ref="A84:C84"/>
    <mergeCell ref="D84:E84"/>
    <mergeCell ref="F84:G84"/>
    <mergeCell ref="A86:C86"/>
    <mergeCell ref="E86:G86"/>
    <mergeCell ref="A87:C87"/>
    <mergeCell ref="F87:G87"/>
    <mergeCell ref="B80:C80"/>
    <mergeCell ref="A82:C82"/>
    <mergeCell ref="D82:E82"/>
    <mergeCell ref="F82:G82"/>
    <mergeCell ref="A83:C83"/>
    <mergeCell ref="D83:E83"/>
    <mergeCell ref="F83:G83"/>
    <mergeCell ref="A92:C92"/>
    <mergeCell ref="D92:G92"/>
    <mergeCell ref="F98:G98"/>
    <mergeCell ref="A88:C88"/>
    <mergeCell ref="F88:G88"/>
    <mergeCell ref="A89:C89"/>
    <mergeCell ref="F89:G89"/>
    <mergeCell ref="A91:C91"/>
    <mergeCell ref="D91:G9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45"/>
  <sheetViews>
    <sheetView topLeftCell="A23" workbookViewId="0">
      <selection activeCell="F11" sqref="F11"/>
    </sheetView>
  </sheetViews>
  <sheetFormatPr defaultRowHeight="15" x14ac:dyDescent="0.25"/>
  <cols>
    <col min="1" max="2" width="1.7109375" customWidth="1"/>
    <col min="3" max="3" width="20" customWidth="1"/>
    <col min="4" max="4" width="32" customWidth="1"/>
    <col min="5" max="5" width="14.7109375" customWidth="1"/>
    <col min="6" max="6" width="16.5703125" customWidth="1"/>
    <col min="8" max="8" width="15.7109375" bestFit="1" customWidth="1"/>
  </cols>
  <sheetData>
    <row r="2" spans="1:6" x14ac:dyDescent="0.25">
      <c r="A2" s="660" t="s">
        <v>1050</v>
      </c>
      <c r="B2" s="660"/>
      <c r="C2" s="660"/>
      <c r="D2" s="660"/>
      <c r="E2" s="660"/>
      <c r="F2" s="660"/>
    </row>
    <row r="3" spans="1:6" x14ac:dyDescent="0.25">
      <c r="A3" s="660" t="s">
        <v>1051</v>
      </c>
      <c r="B3" s="660"/>
      <c r="C3" s="660"/>
      <c r="D3" s="660"/>
      <c r="E3" s="660"/>
      <c r="F3" s="660"/>
    </row>
    <row r="4" spans="1:6" x14ac:dyDescent="0.25">
      <c r="A4" s="674" t="s">
        <v>1052</v>
      </c>
      <c r="B4" s="674"/>
      <c r="C4" s="674"/>
      <c r="D4" s="674"/>
      <c r="E4" s="674"/>
      <c r="F4" s="674"/>
    </row>
    <row r="5" spans="1:6" x14ac:dyDescent="0.25">
      <c r="A5" s="660" t="s">
        <v>1053</v>
      </c>
      <c r="B5" s="660"/>
      <c r="C5" s="660"/>
      <c r="D5" s="660"/>
      <c r="E5" s="660"/>
      <c r="F5" s="660"/>
    </row>
    <row r="6" spans="1:6" x14ac:dyDescent="0.25">
      <c r="A6" s="660" t="s">
        <v>1054</v>
      </c>
      <c r="B6" s="660"/>
      <c r="C6" s="660"/>
      <c r="D6" s="660"/>
      <c r="E6" s="660"/>
      <c r="F6" s="660"/>
    </row>
    <row r="8" spans="1:6" x14ac:dyDescent="0.25">
      <c r="A8" s="660" t="s">
        <v>1055</v>
      </c>
      <c r="B8" s="660"/>
      <c r="C8" s="660"/>
      <c r="D8" s="660"/>
      <c r="F8" s="512" t="s">
        <v>1017</v>
      </c>
    </row>
    <row r="9" spans="1:6" x14ac:dyDescent="0.25">
      <c r="A9" s="675" t="s">
        <v>1056</v>
      </c>
      <c r="B9" s="675"/>
      <c r="C9" s="676"/>
      <c r="D9" s="676"/>
      <c r="E9" s="676" t="s">
        <v>1057</v>
      </c>
      <c r="F9" s="679"/>
    </row>
    <row r="10" spans="1:6" x14ac:dyDescent="0.25">
      <c r="A10" s="677"/>
      <c r="B10" s="677"/>
      <c r="C10" s="678"/>
      <c r="D10" s="678"/>
      <c r="E10" s="680" t="s">
        <v>1058</v>
      </c>
      <c r="F10" s="681"/>
    </row>
    <row r="11" spans="1:6" ht="45" x14ac:dyDescent="0.25">
      <c r="A11" s="677"/>
      <c r="B11" s="677"/>
      <c r="C11" s="678"/>
      <c r="D11" s="678"/>
      <c r="E11" s="513" t="s">
        <v>1059</v>
      </c>
      <c r="F11" s="514" t="s">
        <v>1060</v>
      </c>
    </row>
    <row r="12" spans="1:6" x14ac:dyDescent="0.25">
      <c r="A12" s="682"/>
      <c r="B12" s="682"/>
      <c r="C12" s="683"/>
      <c r="D12" s="684"/>
      <c r="E12" s="515" t="s">
        <v>956</v>
      </c>
      <c r="F12" s="516" t="s">
        <v>957</v>
      </c>
    </row>
    <row r="13" spans="1:6" x14ac:dyDescent="0.25">
      <c r="A13" s="661" t="s">
        <v>1061</v>
      </c>
      <c r="B13" s="661"/>
      <c r="C13" s="661"/>
      <c r="D13" s="662"/>
      <c r="E13" s="517">
        <v>96023380.099999994</v>
      </c>
      <c r="F13" s="518">
        <v>0</v>
      </c>
    </row>
    <row r="14" spans="1:6" x14ac:dyDescent="0.25">
      <c r="C14" s="660" t="s">
        <v>1062</v>
      </c>
      <c r="D14" s="668"/>
      <c r="E14" s="519">
        <v>70695068.670000002</v>
      </c>
      <c r="F14" s="520">
        <v>0</v>
      </c>
    </row>
    <row r="15" spans="1:6" x14ac:dyDescent="0.25">
      <c r="D15" s="521" t="s">
        <v>1063</v>
      </c>
      <c r="E15" s="519">
        <v>47695867.729999997</v>
      </c>
      <c r="F15" s="520">
        <v>0</v>
      </c>
    </row>
    <row r="16" spans="1:6" x14ac:dyDescent="0.25">
      <c r="D16" s="521" t="s">
        <v>1064</v>
      </c>
      <c r="E16" s="519">
        <v>22999200.940000001</v>
      </c>
      <c r="F16" s="520">
        <v>0</v>
      </c>
    </row>
    <row r="17" spans="1:8" x14ac:dyDescent="0.25">
      <c r="C17" s="660" t="s">
        <v>1065</v>
      </c>
      <c r="D17" s="668"/>
      <c r="E17" s="519">
        <v>24213570.420000002</v>
      </c>
      <c r="F17" s="520">
        <v>0</v>
      </c>
    </row>
    <row r="18" spans="1:8" x14ac:dyDescent="0.25">
      <c r="D18" s="521" t="s">
        <v>1066</v>
      </c>
      <c r="E18" s="519">
        <v>21412072.82</v>
      </c>
      <c r="F18" s="520">
        <v>0</v>
      </c>
    </row>
    <row r="19" spans="1:8" x14ac:dyDescent="0.25">
      <c r="D19" s="521" t="s">
        <v>1067</v>
      </c>
      <c r="E19" s="519">
        <v>2801497.6</v>
      </c>
      <c r="F19" s="520">
        <v>0</v>
      </c>
    </row>
    <row r="20" spans="1:8" ht="30" customHeight="1" x14ac:dyDescent="0.25">
      <c r="C20" s="672" t="s">
        <v>1068</v>
      </c>
      <c r="D20" s="673"/>
      <c r="E20" s="519">
        <v>1114741.01</v>
      </c>
      <c r="F20" s="520">
        <v>0</v>
      </c>
    </row>
    <row r="21" spans="1:8" ht="30" customHeight="1" x14ac:dyDescent="0.25">
      <c r="C21" s="660" t="s">
        <v>1069</v>
      </c>
      <c r="D21" s="668"/>
      <c r="E21" s="519">
        <v>0</v>
      </c>
      <c r="F21" s="520">
        <v>0</v>
      </c>
    </row>
    <row r="22" spans="1:8" x14ac:dyDescent="0.25">
      <c r="A22" s="660" t="s">
        <v>1070</v>
      </c>
      <c r="B22" s="660"/>
      <c r="C22" s="660"/>
      <c r="D22" s="668"/>
      <c r="E22" s="519">
        <v>26584786.699999999</v>
      </c>
      <c r="F22" s="520">
        <v>0</v>
      </c>
    </row>
    <row r="23" spans="1:8" x14ac:dyDescent="0.25">
      <c r="C23" s="660" t="s">
        <v>1071</v>
      </c>
      <c r="D23" s="668"/>
      <c r="E23" s="519">
        <v>2314037.42</v>
      </c>
      <c r="F23" s="520">
        <v>0</v>
      </c>
    </row>
    <row r="24" spans="1:8" x14ac:dyDescent="0.25">
      <c r="C24" s="660" t="s">
        <v>1072</v>
      </c>
      <c r="D24" s="668"/>
      <c r="E24" s="519">
        <v>73331.759999999995</v>
      </c>
      <c r="F24" s="520">
        <v>0</v>
      </c>
    </row>
    <row r="25" spans="1:8" x14ac:dyDescent="0.25">
      <c r="C25" s="660" t="s">
        <v>1073</v>
      </c>
      <c r="D25" s="668"/>
      <c r="E25" s="519">
        <v>0</v>
      </c>
      <c r="F25" s="520">
        <v>0</v>
      </c>
    </row>
    <row r="26" spans="1:8" x14ac:dyDescent="0.25">
      <c r="C26" s="660" t="s">
        <v>1074</v>
      </c>
      <c r="D26" s="668"/>
      <c r="E26" s="519">
        <v>24197417.52</v>
      </c>
      <c r="F26" s="520">
        <v>0</v>
      </c>
    </row>
    <row r="27" spans="1:8" x14ac:dyDescent="0.25">
      <c r="A27" s="662" t="s">
        <v>1093</v>
      </c>
      <c r="B27" s="662"/>
      <c r="C27" s="669"/>
      <c r="D27" s="669"/>
      <c r="E27" s="526">
        <v>69438593.400000006</v>
      </c>
      <c r="F27" s="518">
        <v>0</v>
      </c>
      <c r="H27" s="528"/>
    </row>
    <row r="28" spans="1:8" x14ac:dyDescent="0.25">
      <c r="A28" s="530"/>
      <c r="B28" s="530"/>
      <c r="C28" s="530" t="s">
        <v>1094</v>
      </c>
      <c r="D28" s="530"/>
      <c r="F28" s="529">
        <f>69604042.07-E27</f>
        <v>165448.66999998689</v>
      </c>
    </row>
    <row r="29" spans="1:8" x14ac:dyDescent="0.25">
      <c r="A29" s="670" t="s">
        <v>1075</v>
      </c>
      <c r="B29" s="670"/>
      <c r="C29" s="670"/>
      <c r="D29" s="671"/>
      <c r="E29" s="522" t="s">
        <v>1076</v>
      </c>
      <c r="F29" s="523" t="s">
        <v>1077</v>
      </c>
    </row>
    <row r="30" spans="1:8" x14ac:dyDescent="0.25">
      <c r="A30" s="661" t="s">
        <v>1078</v>
      </c>
      <c r="B30" s="661"/>
      <c r="C30" s="661"/>
      <c r="D30" s="662"/>
      <c r="E30" s="517">
        <v>114730918.98</v>
      </c>
      <c r="F30" s="518">
        <v>0</v>
      </c>
    </row>
    <row r="31" spans="1:8" x14ac:dyDescent="0.25">
      <c r="A31" s="663" t="s">
        <v>1079</v>
      </c>
      <c r="B31" s="663"/>
      <c r="C31" s="664"/>
      <c r="D31" s="665"/>
      <c r="E31" s="517">
        <f>100000+880000</f>
        <v>980000</v>
      </c>
      <c r="F31" s="518">
        <v>0</v>
      </c>
    </row>
    <row r="32" spans="1:8" x14ac:dyDescent="0.25">
      <c r="A32" s="663" t="s">
        <v>1080</v>
      </c>
      <c r="B32" s="663"/>
      <c r="C32" s="664"/>
      <c r="D32" s="665"/>
      <c r="E32" s="517">
        <v>350000</v>
      </c>
      <c r="F32" s="518">
        <v>0</v>
      </c>
    </row>
    <row r="33" spans="1:8" ht="24.95" customHeight="1" x14ac:dyDescent="0.25">
      <c r="A33" s="666" t="s">
        <v>1089</v>
      </c>
      <c r="B33" s="666"/>
      <c r="C33" s="664"/>
      <c r="D33" s="665"/>
      <c r="E33" s="517">
        <v>113400918.98</v>
      </c>
      <c r="F33" s="518">
        <v>0</v>
      </c>
      <c r="H33" s="546"/>
    </row>
    <row r="34" spans="1:8" x14ac:dyDescent="0.25">
      <c r="A34" s="667" t="s">
        <v>1081</v>
      </c>
      <c r="B34" s="667"/>
      <c r="C34" s="664"/>
      <c r="D34" s="665"/>
      <c r="E34" s="524">
        <v>69438593.400000006</v>
      </c>
      <c r="F34" s="525">
        <f>(E34/E30)*100</f>
        <v>60.522999394875065</v>
      </c>
    </row>
    <row r="35" spans="1:8" x14ac:dyDescent="0.25">
      <c r="A35" s="663" t="s">
        <v>1082</v>
      </c>
      <c r="B35" s="663"/>
      <c r="C35" s="664"/>
      <c r="D35" s="665"/>
      <c r="E35" s="517">
        <f>E30*0.54</f>
        <v>61954696.249200009</v>
      </c>
      <c r="F35" s="518">
        <v>54</v>
      </c>
    </row>
    <row r="36" spans="1:8" x14ac:dyDescent="0.25">
      <c r="A36" s="663" t="s">
        <v>1083</v>
      </c>
      <c r="B36" s="663"/>
      <c r="C36" s="664"/>
      <c r="D36" s="665"/>
      <c r="E36" s="517">
        <f>E30*0.513</f>
        <v>58856961.436740004</v>
      </c>
      <c r="F36" s="518">
        <v>51.3</v>
      </c>
    </row>
    <row r="37" spans="1:8" x14ac:dyDescent="0.25">
      <c r="A37" s="663" t="s">
        <v>1084</v>
      </c>
      <c r="B37" s="663"/>
      <c r="C37" s="664"/>
      <c r="D37" s="665"/>
      <c r="E37" s="526">
        <f>E30*0.486</f>
        <v>55759226.624279998</v>
      </c>
      <c r="F37" s="527">
        <v>48.6</v>
      </c>
    </row>
    <row r="38" spans="1:8" x14ac:dyDescent="0.25">
      <c r="A38" s="661" t="s">
        <v>1085</v>
      </c>
      <c r="B38" s="661"/>
      <c r="C38" s="661"/>
      <c r="D38" s="661"/>
      <c r="E38" s="661"/>
      <c r="F38" s="661"/>
    </row>
    <row r="39" spans="1:8" x14ac:dyDescent="0.25">
      <c r="A39" s="660" t="s">
        <v>1086</v>
      </c>
      <c r="B39" s="660"/>
      <c r="C39" s="660"/>
      <c r="D39" s="660"/>
      <c r="E39" s="660"/>
      <c r="F39" s="660"/>
    </row>
    <row r="40" spans="1:8" x14ac:dyDescent="0.25">
      <c r="A40" s="660" t="s">
        <v>1087</v>
      </c>
      <c r="B40" s="660"/>
      <c r="C40" s="660"/>
      <c r="D40" s="660"/>
      <c r="E40" s="660"/>
      <c r="F40" s="660"/>
    </row>
    <row r="41" spans="1:8" x14ac:dyDescent="0.25">
      <c r="A41" s="660" t="s">
        <v>1088</v>
      </c>
      <c r="B41" s="660"/>
      <c r="C41" s="660"/>
      <c r="D41" s="660"/>
      <c r="E41" s="660"/>
      <c r="F41" s="660"/>
    </row>
    <row r="44" spans="1:8" x14ac:dyDescent="0.25">
      <c r="C44" s="547" t="s">
        <v>99</v>
      </c>
      <c r="D44" s="55" t="s">
        <v>100</v>
      </c>
      <c r="F44" s="548" t="s">
        <v>101</v>
      </c>
      <c r="G44" s="548"/>
    </row>
    <row r="45" spans="1:8" x14ac:dyDescent="0.25">
      <c r="C45" s="547" t="s">
        <v>102</v>
      </c>
      <c r="D45" s="55" t="s">
        <v>103</v>
      </c>
      <c r="F45" s="397" t="s">
        <v>104</v>
      </c>
      <c r="G45" s="168"/>
    </row>
  </sheetData>
  <mergeCells count="34">
    <mergeCell ref="C14:D14"/>
    <mergeCell ref="A2:F2"/>
    <mergeCell ref="A3:F3"/>
    <mergeCell ref="A4:F4"/>
    <mergeCell ref="A5:F5"/>
    <mergeCell ref="A6:F6"/>
    <mergeCell ref="A8:D8"/>
    <mergeCell ref="A9:D11"/>
    <mergeCell ref="E9:F9"/>
    <mergeCell ref="E10:F10"/>
    <mergeCell ref="A12:D12"/>
    <mergeCell ref="A13:D13"/>
    <mergeCell ref="C25:D25"/>
    <mergeCell ref="C26:D26"/>
    <mergeCell ref="A27:D27"/>
    <mergeCell ref="A29:D29"/>
    <mergeCell ref="C17:D17"/>
    <mergeCell ref="C20:D20"/>
    <mergeCell ref="C21:D21"/>
    <mergeCell ref="A22:D22"/>
    <mergeCell ref="C23:D23"/>
    <mergeCell ref="C24:D24"/>
    <mergeCell ref="A41:F41"/>
    <mergeCell ref="A30:D30"/>
    <mergeCell ref="A31:D31"/>
    <mergeCell ref="A32:D32"/>
    <mergeCell ref="A33:D33"/>
    <mergeCell ref="A34:D34"/>
    <mergeCell ref="A35:D35"/>
    <mergeCell ref="A36:D36"/>
    <mergeCell ref="A37:D37"/>
    <mergeCell ref="A38:F38"/>
    <mergeCell ref="A39:F39"/>
    <mergeCell ref="A40:F4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1"/>
  <sheetViews>
    <sheetView workbookViewId="0">
      <selection sqref="A1:XFD1048576"/>
    </sheetView>
  </sheetViews>
  <sheetFormatPr defaultRowHeight="15" x14ac:dyDescent="0.25"/>
  <cols>
    <col min="1" max="1" width="32.7109375" customWidth="1"/>
    <col min="2" max="2" width="12" bestFit="1" customWidth="1"/>
    <col min="3" max="3" width="13.5703125" bestFit="1" customWidth="1"/>
    <col min="4" max="4" width="11.140625" bestFit="1" customWidth="1"/>
    <col min="5" max="5" width="9" bestFit="1" customWidth="1"/>
    <col min="6" max="6" width="12" bestFit="1" customWidth="1"/>
    <col min="7" max="7" width="10" bestFit="1" customWidth="1"/>
    <col min="8" max="8" width="13.5703125" bestFit="1" customWidth="1"/>
    <col min="9" max="10" width="11.140625" bestFit="1" customWidth="1"/>
    <col min="11" max="11" width="9" bestFit="1" customWidth="1"/>
    <col min="12" max="12" width="11.140625" bestFit="1" customWidth="1"/>
    <col min="13" max="13" width="12" bestFit="1" customWidth="1"/>
  </cols>
  <sheetData>
    <row r="2" spans="1:13" x14ac:dyDescent="0.25">
      <c r="A2" s="657" t="s">
        <v>917</v>
      </c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</row>
    <row r="3" spans="1:13" x14ac:dyDescent="0.25">
      <c r="A3" s="657" t="s">
        <v>824</v>
      </c>
      <c r="B3" s="657"/>
      <c r="C3" s="657"/>
      <c r="D3" s="657"/>
      <c r="E3" s="657"/>
      <c r="F3" s="657"/>
      <c r="G3" s="657"/>
      <c r="H3" s="657"/>
      <c r="I3" s="657"/>
      <c r="J3" s="657"/>
      <c r="K3" s="657"/>
      <c r="L3" s="657"/>
      <c r="M3" s="657"/>
    </row>
    <row r="4" spans="1:13" x14ac:dyDescent="0.25">
      <c r="A4" s="658" t="s">
        <v>1015</v>
      </c>
      <c r="B4" s="658"/>
      <c r="C4" s="658"/>
      <c r="D4" s="658"/>
      <c r="E4" s="658"/>
      <c r="F4" s="658"/>
      <c r="G4" s="658"/>
      <c r="H4" s="658"/>
      <c r="I4" s="658"/>
      <c r="J4" s="658"/>
      <c r="K4" s="658"/>
      <c r="L4" s="658"/>
      <c r="M4" s="658"/>
    </row>
    <row r="5" spans="1:13" x14ac:dyDescent="0.25">
      <c r="A5" s="657" t="s">
        <v>919</v>
      </c>
      <c r="B5" s="657"/>
      <c r="C5" s="657"/>
      <c r="D5" s="657"/>
      <c r="E5" s="657"/>
      <c r="F5" s="657"/>
      <c r="G5" s="657"/>
      <c r="H5" s="657"/>
      <c r="I5" s="657"/>
      <c r="J5" s="657"/>
      <c r="K5" s="657"/>
      <c r="L5" s="657"/>
      <c r="M5" s="657"/>
    </row>
    <row r="6" spans="1:13" x14ac:dyDescent="0.25">
      <c r="A6" s="657" t="s">
        <v>920</v>
      </c>
      <c r="B6" s="657"/>
      <c r="C6" s="657"/>
      <c r="D6" s="657"/>
      <c r="E6" s="657"/>
      <c r="F6" s="657"/>
      <c r="G6" s="657"/>
      <c r="H6" s="657"/>
      <c r="I6" s="657"/>
      <c r="J6" s="657"/>
      <c r="K6" s="657"/>
      <c r="L6" s="657"/>
      <c r="M6" s="657"/>
    </row>
    <row r="8" spans="1:13" ht="15.75" thickBot="1" x14ac:dyDescent="0.3">
      <c r="A8" s="635" t="s">
        <v>1016</v>
      </c>
      <c r="B8" s="635"/>
      <c r="C8" s="635"/>
      <c r="D8" s="635"/>
      <c r="E8" s="635"/>
      <c r="F8" s="635"/>
      <c r="G8" s="635"/>
      <c r="H8" s="635"/>
      <c r="I8" s="635"/>
      <c r="J8" s="635"/>
      <c r="K8" s="635"/>
      <c r="L8" s="635"/>
      <c r="M8" s="501" t="s">
        <v>1017</v>
      </c>
    </row>
    <row r="9" spans="1:13" x14ac:dyDescent="0.25">
      <c r="A9" s="631" t="s">
        <v>1018</v>
      </c>
      <c r="B9" s="685" t="s">
        <v>966</v>
      </c>
      <c r="C9" s="686"/>
      <c r="D9" s="686"/>
      <c r="E9" s="686"/>
      <c r="F9" s="686"/>
      <c r="G9" s="685" t="s">
        <v>1019</v>
      </c>
      <c r="H9" s="631"/>
      <c r="I9" s="631"/>
      <c r="J9" s="631"/>
      <c r="K9" s="631"/>
      <c r="L9" s="631"/>
      <c r="M9" s="685" t="s">
        <v>1020</v>
      </c>
    </row>
    <row r="10" spans="1:13" ht="15.75" thickBot="1" x14ac:dyDescent="0.3">
      <c r="A10" s="615"/>
      <c r="B10" s="687"/>
      <c r="C10" s="688"/>
      <c r="D10" s="688"/>
      <c r="E10" s="688"/>
      <c r="F10" s="688"/>
      <c r="G10" s="689"/>
      <c r="H10" s="615"/>
      <c r="I10" s="615"/>
      <c r="J10" s="615"/>
      <c r="K10" s="615"/>
      <c r="L10" s="615"/>
      <c r="M10" s="689"/>
    </row>
    <row r="11" spans="1:13" ht="15.75" thickBot="1" x14ac:dyDescent="0.3">
      <c r="A11" s="632"/>
      <c r="B11" s="633" t="s">
        <v>1021</v>
      </c>
      <c r="C11" s="633"/>
      <c r="D11" s="647" t="s">
        <v>1022</v>
      </c>
      <c r="E11" s="647" t="s">
        <v>1023</v>
      </c>
      <c r="F11" s="647" t="s">
        <v>965</v>
      </c>
      <c r="G11" s="633" t="s">
        <v>1021</v>
      </c>
      <c r="H11" s="633"/>
      <c r="I11" s="647" t="s">
        <v>1024</v>
      </c>
      <c r="J11" s="647" t="s">
        <v>1022</v>
      </c>
      <c r="K11" s="647" t="s">
        <v>1023</v>
      </c>
      <c r="L11" s="647" t="s">
        <v>965</v>
      </c>
      <c r="M11" s="685"/>
    </row>
    <row r="12" spans="1:13" x14ac:dyDescent="0.25">
      <c r="A12" s="616"/>
      <c r="B12" s="465" t="s">
        <v>1025</v>
      </c>
      <c r="C12" s="465" t="s">
        <v>1026</v>
      </c>
      <c r="D12" s="690"/>
      <c r="E12" s="650"/>
      <c r="F12" s="650"/>
      <c r="G12" s="465" t="s">
        <v>1025</v>
      </c>
      <c r="H12" s="465" t="s">
        <v>1026</v>
      </c>
      <c r="I12" s="650"/>
      <c r="J12" s="650"/>
      <c r="K12" s="650"/>
      <c r="L12" s="650"/>
      <c r="M12" s="689"/>
    </row>
    <row r="13" spans="1:13" x14ac:dyDescent="0.25">
      <c r="A13" s="616"/>
      <c r="B13" s="465" t="s">
        <v>1027</v>
      </c>
      <c r="C13" s="465" t="s">
        <v>1028</v>
      </c>
      <c r="D13" s="690"/>
      <c r="E13" s="650"/>
      <c r="F13" s="650"/>
      <c r="G13" s="465" t="s">
        <v>1027</v>
      </c>
      <c r="H13" s="465" t="s">
        <v>1028</v>
      </c>
      <c r="I13" s="650"/>
      <c r="J13" s="650"/>
      <c r="K13" s="650"/>
      <c r="L13" s="650"/>
      <c r="M13" s="689"/>
    </row>
    <row r="14" spans="1:13" ht="15.75" thickBot="1" x14ac:dyDescent="0.3">
      <c r="A14" s="616"/>
      <c r="B14" s="465" t="s">
        <v>956</v>
      </c>
      <c r="C14" s="465" t="s">
        <v>957</v>
      </c>
      <c r="D14" s="465" t="s">
        <v>1029</v>
      </c>
      <c r="E14" s="465" t="s">
        <v>1030</v>
      </c>
      <c r="F14" s="465" t="s">
        <v>1031</v>
      </c>
      <c r="G14" s="465" t="s">
        <v>1032</v>
      </c>
      <c r="H14" s="465" t="s">
        <v>1033</v>
      </c>
      <c r="I14" s="465" t="s">
        <v>1034</v>
      </c>
      <c r="J14" s="465" t="s">
        <v>1035</v>
      </c>
      <c r="K14" s="465" t="s">
        <v>1036</v>
      </c>
      <c r="L14" s="465" t="s">
        <v>1037</v>
      </c>
      <c r="M14" s="469" t="s">
        <v>1038</v>
      </c>
    </row>
    <row r="15" spans="1:13" x14ac:dyDescent="0.25">
      <c r="A15" s="462" t="s">
        <v>1039</v>
      </c>
      <c r="B15" s="502">
        <v>1303549.9099999999</v>
      </c>
      <c r="C15" s="502">
        <v>2281327.08</v>
      </c>
      <c r="D15" s="502">
        <v>2246576.65</v>
      </c>
      <c r="E15" s="502">
        <v>32792.54</v>
      </c>
      <c r="F15" s="502">
        <v>1305507.8</v>
      </c>
      <c r="G15" s="502">
        <v>509042.12</v>
      </c>
      <c r="H15" s="502">
        <v>2247573.0299999998</v>
      </c>
      <c r="I15" s="502">
        <v>1424399.16</v>
      </c>
      <c r="J15" s="502">
        <v>1370029.01</v>
      </c>
      <c r="K15" s="502">
        <v>12404.78</v>
      </c>
      <c r="L15" s="502">
        <v>1374181.36</v>
      </c>
      <c r="M15" s="503">
        <v>2679689.16</v>
      </c>
    </row>
    <row r="16" spans="1:13" x14ac:dyDescent="0.25">
      <c r="A16" s="504" t="s">
        <v>1040</v>
      </c>
      <c r="B16" s="505">
        <v>1303549.9099999999</v>
      </c>
      <c r="C16" s="505">
        <v>2279176.17</v>
      </c>
      <c r="D16" s="505">
        <v>2244425.7400000002</v>
      </c>
      <c r="E16" s="505">
        <v>32792.54</v>
      </c>
      <c r="F16" s="505">
        <v>1305507.8</v>
      </c>
      <c r="G16" s="505">
        <v>509042.12</v>
      </c>
      <c r="H16" s="505">
        <v>2247573.0299999998</v>
      </c>
      <c r="I16" s="505">
        <v>1424399.16</v>
      </c>
      <c r="J16" s="505">
        <v>1370029.01</v>
      </c>
      <c r="K16" s="505">
        <v>12404.78</v>
      </c>
      <c r="L16" s="505">
        <v>1374181.36</v>
      </c>
      <c r="M16" s="506">
        <v>2679689.16</v>
      </c>
    </row>
    <row r="17" spans="1:13" x14ac:dyDescent="0.25">
      <c r="A17" s="504" t="s">
        <v>1041</v>
      </c>
      <c r="B17" s="505">
        <v>0</v>
      </c>
      <c r="C17" s="505">
        <v>2150.91</v>
      </c>
      <c r="D17" s="505">
        <v>2150.91</v>
      </c>
      <c r="E17" s="505">
        <v>0</v>
      </c>
      <c r="F17" s="505">
        <v>0</v>
      </c>
      <c r="G17" s="505">
        <v>0</v>
      </c>
      <c r="H17" s="505">
        <v>0</v>
      </c>
      <c r="I17" s="505">
        <v>0</v>
      </c>
      <c r="J17" s="505">
        <v>0</v>
      </c>
      <c r="K17" s="505">
        <v>0</v>
      </c>
      <c r="L17" s="505">
        <v>0</v>
      </c>
      <c r="M17" s="506">
        <v>0</v>
      </c>
    </row>
    <row r="18" spans="1:13" x14ac:dyDescent="0.25">
      <c r="A18" s="507" t="s">
        <v>1042</v>
      </c>
      <c r="B18" s="505">
        <v>0</v>
      </c>
      <c r="C18" s="505">
        <v>2150.91</v>
      </c>
      <c r="D18" s="505">
        <v>2150.91</v>
      </c>
      <c r="E18" s="505">
        <v>0</v>
      </c>
      <c r="F18" s="505">
        <v>0</v>
      </c>
      <c r="G18" s="505">
        <v>0</v>
      </c>
      <c r="H18" s="505">
        <v>0</v>
      </c>
      <c r="I18" s="505">
        <v>0</v>
      </c>
      <c r="J18" s="505">
        <v>0</v>
      </c>
      <c r="K18" s="505">
        <v>0</v>
      </c>
      <c r="L18" s="505">
        <v>0</v>
      </c>
      <c r="M18" s="506">
        <v>0</v>
      </c>
    </row>
    <row r="19" spans="1:13" x14ac:dyDescent="0.25">
      <c r="A19" s="508" t="s">
        <v>1043</v>
      </c>
      <c r="B19" s="505">
        <v>14044179.27</v>
      </c>
      <c r="C19" s="505">
        <v>9054967.9199999999</v>
      </c>
      <c r="D19" s="505">
        <v>4872672.59</v>
      </c>
      <c r="E19" s="505">
        <v>0.02</v>
      </c>
      <c r="F19" s="505">
        <v>18226474.579999998</v>
      </c>
      <c r="G19" s="505">
        <v>0</v>
      </c>
      <c r="H19" s="505">
        <v>0</v>
      </c>
      <c r="I19" s="505">
        <v>0</v>
      </c>
      <c r="J19" s="505">
        <v>0</v>
      </c>
      <c r="K19" s="505">
        <v>0</v>
      </c>
      <c r="L19" s="505">
        <v>0</v>
      </c>
      <c r="M19" s="506">
        <v>18226474.579999998</v>
      </c>
    </row>
    <row r="20" spans="1:13" ht="15.75" thickBot="1" x14ac:dyDescent="0.3">
      <c r="A20" s="504" t="s">
        <v>1040</v>
      </c>
      <c r="B20" s="505">
        <v>14044179.27</v>
      </c>
      <c r="C20" s="505">
        <v>9054967.9199999999</v>
      </c>
      <c r="D20" s="505">
        <v>4872672.59</v>
      </c>
      <c r="E20" s="505">
        <v>0.02</v>
      </c>
      <c r="F20" s="505">
        <v>18226474.579999998</v>
      </c>
      <c r="G20" s="505">
        <v>0</v>
      </c>
      <c r="H20" s="505">
        <v>0</v>
      </c>
      <c r="I20" s="505">
        <v>0</v>
      </c>
      <c r="J20" s="505">
        <v>0</v>
      </c>
      <c r="K20" s="505">
        <v>0</v>
      </c>
      <c r="L20" s="505">
        <v>0</v>
      </c>
      <c r="M20" s="506">
        <v>18226474.579999998</v>
      </c>
    </row>
    <row r="21" spans="1:13" ht="15.75" thickBot="1" x14ac:dyDescent="0.3">
      <c r="A21" s="509" t="s">
        <v>1044</v>
      </c>
      <c r="B21" s="510">
        <v>15347729.18</v>
      </c>
      <c r="C21" s="510">
        <v>11336295</v>
      </c>
      <c r="D21" s="510">
        <v>7119249.2400000002</v>
      </c>
      <c r="E21" s="510">
        <v>32792.559999999998</v>
      </c>
      <c r="F21" s="510">
        <v>19531982.379999999</v>
      </c>
      <c r="G21" s="510">
        <v>509042.12</v>
      </c>
      <c r="H21" s="510">
        <v>2247573.0299999998</v>
      </c>
      <c r="I21" s="510">
        <v>1424399.16</v>
      </c>
      <c r="J21" s="510">
        <v>1370029.01</v>
      </c>
      <c r="K21" s="510">
        <v>12404.78</v>
      </c>
      <c r="L21" s="510">
        <v>1374181.36</v>
      </c>
      <c r="M21" s="511">
        <v>20906163.739999998</v>
      </c>
    </row>
  </sheetData>
  <mergeCells count="19">
    <mergeCell ref="A8:L8"/>
    <mergeCell ref="A2:M2"/>
    <mergeCell ref="A3:M3"/>
    <mergeCell ref="A4:M4"/>
    <mergeCell ref="A5:M5"/>
    <mergeCell ref="A6:M6"/>
    <mergeCell ref="A9:A14"/>
    <mergeCell ref="B9:F10"/>
    <mergeCell ref="G9:L10"/>
    <mergeCell ref="M9:M13"/>
    <mergeCell ref="B11:C11"/>
    <mergeCell ref="D11:D13"/>
    <mergeCell ref="E11:E13"/>
    <mergeCell ref="F11:F13"/>
    <mergeCell ref="G11:H11"/>
    <mergeCell ref="I11:I13"/>
    <mergeCell ref="J11:J13"/>
    <mergeCell ref="K11:K13"/>
    <mergeCell ref="L11:L1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5"/>
  <sheetViews>
    <sheetView zoomScale="130" zoomScaleNormal="130" workbookViewId="0">
      <selection activeCell="E2" sqref="E2"/>
    </sheetView>
  </sheetViews>
  <sheetFormatPr defaultRowHeight="11.25" x14ac:dyDescent="0.2"/>
  <cols>
    <col min="1" max="1" width="49.42578125" style="1" bestFit="1" customWidth="1"/>
    <col min="2" max="2" width="10.5703125" style="1" customWidth="1"/>
    <col min="3" max="3" width="12.28515625" style="1" bestFit="1" customWidth="1"/>
    <col min="4" max="5" width="11.42578125" style="1" bestFit="1" customWidth="1"/>
    <col min="6" max="6" width="10.5703125" style="1" bestFit="1" customWidth="1"/>
    <col min="7" max="8" width="11.42578125" style="1" bestFit="1" customWidth="1"/>
    <col min="9" max="10" width="10.5703125" style="1" bestFit="1" customWidth="1"/>
    <col min="11" max="11" width="11.42578125" style="1" bestFit="1" customWidth="1"/>
    <col min="12" max="12" width="10.5703125" style="1" bestFit="1" customWidth="1"/>
    <col min="13" max="13" width="11.42578125" style="1" bestFit="1" customWidth="1"/>
    <col min="14" max="14" width="10.5703125" style="1" bestFit="1" customWidth="1"/>
    <col min="15" max="15" width="11.42578125" style="1" bestFit="1" customWidth="1"/>
    <col min="16" max="16384" width="9.140625" style="1"/>
  </cols>
  <sheetData>
    <row r="1" spans="1:21" x14ac:dyDescent="0.2">
      <c r="B1" s="2" t="s">
        <v>1</v>
      </c>
      <c r="E1" s="2" t="s">
        <v>1091</v>
      </c>
      <c r="H1" s="66" t="s">
        <v>488</v>
      </c>
      <c r="I1" s="2" t="s">
        <v>1</v>
      </c>
      <c r="M1" s="2" t="s">
        <v>1091</v>
      </c>
      <c r="U1" s="66" t="s">
        <v>489</v>
      </c>
    </row>
    <row r="2" spans="1:21" x14ac:dyDescent="0.2">
      <c r="A2" s="11"/>
      <c r="B2" s="6"/>
      <c r="C2" s="691" t="s">
        <v>10</v>
      </c>
      <c r="D2" s="321">
        <v>44531</v>
      </c>
      <c r="E2" s="321">
        <v>44501</v>
      </c>
      <c r="F2" s="321">
        <v>44470</v>
      </c>
      <c r="G2" s="321">
        <v>44440</v>
      </c>
      <c r="H2" s="321">
        <v>44409</v>
      </c>
      <c r="I2" s="321">
        <v>44378</v>
      </c>
      <c r="J2" s="321">
        <v>44348</v>
      </c>
      <c r="K2" s="321">
        <v>44317</v>
      </c>
      <c r="L2" s="321">
        <v>44287</v>
      </c>
      <c r="M2" s="42">
        <v>44256</v>
      </c>
      <c r="N2" s="44">
        <v>44228</v>
      </c>
      <c r="O2" s="42">
        <v>44197</v>
      </c>
    </row>
    <row r="3" spans="1:21" x14ac:dyDescent="0.2">
      <c r="A3" s="12" t="s">
        <v>0</v>
      </c>
      <c r="B3" s="8"/>
      <c r="C3" s="692"/>
      <c r="D3" s="322" t="s">
        <v>38</v>
      </c>
      <c r="E3" s="43" t="s">
        <v>39</v>
      </c>
      <c r="F3" s="41" t="s">
        <v>40</v>
      </c>
      <c r="G3" s="43" t="s">
        <v>459</v>
      </c>
      <c r="H3" s="41" t="s">
        <v>460</v>
      </c>
      <c r="I3" s="43" t="s">
        <v>461</v>
      </c>
      <c r="J3" s="41" t="s">
        <v>462</v>
      </c>
      <c r="K3" s="43" t="s">
        <v>463</v>
      </c>
      <c r="L3" s="41" t="s">
        <v>464</v>
      </c>
      <c r="M3" s="43" t="s">
        <v>465</v>
      </c>
      <c r="N3" s="41" t="s">
        <v>466</v>
      </c>
      <c r="O3" s="43" t="s">
        <v>467</v>
      </c>
    </row>
    <row r="4" spans="1:21" x14ac:dyDescent="0.2">
      <c r="A4" s="9" t="s">
        <v>44</v>
      </c>
      <c r="B4" s="14" t="s">
        <v>45</v>
      </c>
      <c r="C4" s="13">
        <f>SUM(D4:O4)</f>
        <v>0</v>
      </c>
      <c r="D4" s="382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1" x14ac:dyDescent="0.2">
      <c r="A5" s="5" t="s">
        <v>2</v>
      </c>
      <c r="B5" s="5"/>
      <c r="C5" s="13">
        <f>SUM(D5:O5)</f>
        <v>125445278</v>
      </c>
      <c r="D5" s="62">
        <f t="shared" ref="D5:I5" si="0">D6-D7</f>
        <v>16377826.710000001</v>
      </c>
      <c r="E5" s="62">
        <f t="shared" si="0"/>
        <v>11336687.890000001</v>
      </c>
      <c r="F5" s="62">
        <f t="shared" si="0"/>
        <v>11215124.91</v>
      </c>
      <c r="G5" s="62">
        <f t="shared" si="0"/>
        <v>8599619.8900000006</v>
      </c>
      <c r="H5" s="62">
        <f t="shared" si="0"/>
        <v>9409782.5599999987</v>
      </c>
      <c r="I5" s="62">
        <f t="shared" si="0"/>
        <v>12193906.34</v>
      </c>
      <c r="J5" s="62">
        <f t="shared" ref="J5:O5" si="1">J6-J7</f>
        <v>8870336.4799999986</v>
      </c>
      <c r="K5" s="62">
        <f t="shared" si="1"/>
        <v>9932379.9400000013</v>
      </c>
      <c r="L5" s="62">
        <f t="shared" si="1"/>
        <v>9629502.4100000001</v>
      </c>
      <c r="M5" s="62">
        <f t="shared" si="1"/>
        <v>9014518.75</v>
      </c>
      <c r="N5" s="62">
        <f t="shared" si="1"/>
        <v>8766516.5800000001</v>
      </c>
      <c r="O5" s="62">
        <f t="shared" si="1"/>
        <v>10099075.539999999</v>
      </c>
    </row>
    <row r="6" spans="1:21" x14ac:dyDescent="0.2">
      <c r="A6" s="5" t="s">
        <v>3</v>
      </c>
      <c r="B6" s="10" t="s">
        <v>46</v>
      </c>
      <c r="C6" s="13">
        <f>SUM(D6:O6)</f>
        <v>141530135.24000001</v>
      </c>
      <c r="D6" s="62">
        <f>18101953.5</f>
        <v>18101953.5</v>
      </c>
      <c r="E6" s="62">
        <f>12785520.99</f>
        <v>12785520.99</v>
      </c>
      <c r="F6" s="62">
        <v>13127307.9</v>
      </c>
      <c r="G6" s="62">
        <v>9720598.4900000002</v>
      </c>
      <c r="H6" s="62">
        <f>10728421.86</f>
        <v>10728421.859999999</v>
      </c>
      <c r="I6" s="62">
        <v>13657496.41</v>
      </c>
      <c r="J6" s="62">
        <f>9968466.03</f>
        <v>9968466.0299999993</v>
      </c>
      <c r="K6" s="62">
        <v>11100660.310000001</v>
      </c>
      <c r="L6" s="62">
        <f>10680236.85</f>
        <v>10680236.85</v>
      </c>
      <c r="M6" s="62">
        <v>10150953.99</v>
      </c>
      <c r="N6" s="62">
        <f>9916523.05</f>
        <v>9916523.0500000007</v>
      </c>
      <c r="O6" s="62">
        <f>11591995.86</f>
        <v>11591995.859999999</v>
      </c>
    </row>
    <row r="7" spans="1:21" x14ac:dyDescent="0.2">
      <c r="A7" s="5" t="s">
        <v>4</v>
      </c>
      <c r="B7" s="10" t="s">
        <v>47</v>
      </c>
      <c r="C7" s="13">
        <f>SUM(D7:O7)</f>
        <v>16084857.24</v>
      </c>
      <c r="D7" s="323">
        <f>1724126.79</f>
        <v>1724126.79</v>
      </c>
      <c r="E7" s="323">
        <f>1448833.1</f>
        <v>1448833.1</v>
      </c>
      <c r="F7" s="323">
        <v>1912182.99</v>
      </c>
      <c r="G7" s="323">
        <f>1120978.6</f>
        <v>1120978.6000000001</v>
      </c>
      <c r="H7" s="323">
        <f>1318639.3</f>
        <v>1318639.3</v>
      </c>
      <c r="I7" s="323">
        <v>1463590.07</v>
      </c>
      <c r="J7" s="323">
        <f>1098129.55</f>
        <v>1098129.55</v>
      </c>
      <c r="K7" s="323">
        <f>1168280.37</f>
        <v>1168280.3700000001</v>
      </c>
      <c r="L7" s="323">
        <v>1050734.44</v>
      </c>
      <c r="M7" s="323">
        <v>1136435.24</v>
      </c>
      <c r="N7" s="323">
        <v>1150006.47</v>
      </c>
      <c r="O7" s="323">
        <v>1492920.3200000001</v>
      </c>
    </row>
    <row r="8" spans="1:21" s="2" customFormat="1" x14ac:dyDescent="0.2">
      <c r="A8" s="9" t="s">
        <v>5</v>
      </c>
      <c r="B8" s="15"/>
      <c r="C8" s="16">
        <f>SUM(D8:O8)</f>
        <v>10714359.02</v>
      </c>
      <c r="D8" s="16">
        <f t="shared" ref="D8" si="2">SUM(D9:D30)</f>
        <v>1700784.6300000001</v>
      </c>
      <c r="E8" s="16">
        <f t="shared" ref="E8:O8" si="3">SUM(E9:E30)</f>
        <v>1208448.18</v>
      </c>
      <c r="F8" s="16">
        <f t="shared" si="3"/>
        <v>758296.15999999992</v>
      </c>
      <c r="G8" s="16">
        <f t="shared" si="3"/>
        <v>789004.9700000002</v>
      </c>
      <c r="H8" s="16">
        <f t="shared" si="3"/>
        <v>672336.2</v>
      </c>
      <c r="I8" s="16">
        <f t="shared" si="3"/>
        <v>678619.85000000009</v>
      </c>
      <c r="J8" s="16">
        <f t="shared" si="3"/>
        <v>698021.14999999991</v>
      </c>
      <c r="K8" s="16">
        <f t="shared" si="3"/>
        <v>853276.06</v>
      </c>
      <c r="L8" s="16">
        <f t="shared" si="3"/>
        <v>953538.44</v>
      </c>
      <c r="M8" s="16">
        <f t="shared" si="3"/>
        <v>694792.86999999988</v>
      </c>
      <c r="N8" s="16">
        <f t="shared" si="3"/>
        <v>654440.6</v>
      </c>
      <c r="O8" s="16">
        <f t="shared" si="3"/>
        <v>1052799.9099999999</v>
      </c>
    </row>
    <row r="9" spans="1:21" s="2" customFormat="1" x14ac:dyDescent="0.2">
      <c r="A9" s="341" t="s">
        <v>483</v>
      </c>
      <c r="B9" s="10" t="s">
        <v>485</v>
      </c>
      <c r="C9" s="13">
        <f t="shared" ref="C9:C36" si="4">SUM(D9:O9)</f>
        <v>352766.44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>
        <v>352766.44</v>
      </c>
    </row>
    <row r="10" spans="1:21" s="2" customFormat="1" x14ac:dyDescent="0.2">
      <c r="A10" s="341" t="s">
        <v>484</v>
      </c>
      <c r="B10" s="10" t="s">
        <v>486</v>
      </c>
      <c r="C10" s="13">
        <f>SUM(D10:O10)</f>
        <v>43092.75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>
        <v>43092.75</v>
      </c>
    </row>
    <row r="11" spans="1:21" x14ac:dyDescent="0.2">
      <c r="A11" s="7" t="s">
        <v>6</v>
      </c>
      <c r="B11" s="342"/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</row>
    <row r="12" spans="1:21" s="2" customFormat="1" x14ac:dyDescent="0.2">
      <c r="A12" s="9" t="s">
        <v>7</v>
      </c>
      <c r="B12" s="30" t="s">
        <v>30</v>
      </c>
      <c r="C12" s="326"/>
      <c r="D12" s="326"/>
      <c r="E12" s="326"/>
      <c r="F12" s="326"/>
      <c r="G12" s="326"/>
      <c r="H12" s="326"/>
      <c r="I12" s="326"/>
      <c r="J12" s="326"/>
      <c r="K12" s="326"/>
      <c r="L12" s="326"/>
      <c r="M12" s="326"/>
      <c r="N12" s="326"/>
      <c r="O12" s="326"/>
    </row>
    <row r="13" spans="1:21" s="2" customFormat="1" x14ac:dyDescent="0.2">
      <c r="A13" s="5" t="s">
        <v>472</v>
      </c>
      <c r="B13" s="10" t="s">
        <v>473</v>
      </c>
      <c r="C13" s="13">
        <f t="shared" si="4"/>
        <v>5206384.080000001</v>
      </c>
      <c r="D13" s="325">
        <f>653486.68+91787.64+94059.92</f>
        <v>839334.24000000011</v>
      </c>
      <c r="E13" s="325">
        <f>293422.03+89308.42+5470.32</f>
        <v>388200.77</v>
      </c>
      <c r="F13" s="325">
        <f>293539.42+89308.42+5470.32</f>
        <v>388318.16</v>
      </c>
      <c r="G13" s="325">
        <f>299513.45+89308.42+5470.32</f>
        <v>394292.19</v>
      </c>
      <c r="H13" s="325">
        <f>294469.34+89696.81+5886.79</f>
        <v>390052.94</v>
      </c>
      <c r="I13" s="325">
        <f>296366.8+88943.6+5398.89</f>
        <v>390709.29000000004</v>
      </c>
      <c r="J13" s="325">
        <f>298472.38+5398.89+88625.3</f>
        <v>392496.57</v>
      </c>
      <c r="K13" s="325">
        <f>298361.17+88371.47+5398.89</f>
        <v>392131.53</v>
      </c>
      <c r="L13" s="325">
        <f>313926.32+96754.49+6252.66</f>
        <v>416933.47</v>
      </c>
      <c r="M13" s="325">
        <f>318012.38+94784+6494.53</f>
        <v>419290.91000000003</v>
      </c>
      <c r="N13" s="325">
        <f>307814.79+84619.56+4732.59</f>
        <v>397166.94</v>
      </c>
      <c r="O13" s="325">
        <f>302663.53+89412.23+5381.31</f>
        <v>397457.07</v>
      </c>
    </row>
    <row r="14" spans="1:21" s="2" customFormat="1" x14ac:dyDescent="0.2">
      <c r="A14" s="5" t="s">
        <v>474</v>
      </c>
      <c r="B14" s="10" t="s">
        <v>475</v>
      </c>
      <c r="C14" s="324">
        <f t="shared" si="4"/>
        <v>1622104.78</v>
      </c>
      <c r="D14" s="62">
        <f>78489.05+53390.9</f>
        <v>131879.95000000001</v>
      </c>
      <c r="E14" s="62">
        <f>79522.33+53379.19</f>
        <v>132901.52000000002</v>
      </c>
      <c r="F14" s="62">
        <f>97373.51+54029.42</f>
        <v>151402.93</v>
      </c>
      <c r="G14" s="62">
        <f>78297.89+53855.24</f>
        <v>132153.13</v>
      </c>
      <c r="H14" s="62">
        <f>79675.55+54607.44</f>
        <v>134282.99</v>
      </c>
      <c r="I14" s="62">
        <f>79600.29+53390.39</f>
        <v>132990.68</v>
      </c>
      <c r="J14" s="62">
        <f>80247.08+53261.04</f>
        <v>133508.12</v>
      </c>
      <c r="K14" s="62">
        <f>79557.62+53143.65</f>
        <v>132701.26999999999</v>
      </c>
      <c r="L14" s="62">
        <f>81236.98+55047.24</f>
        <v>136284.22</v>
      </c>
      <c r="M14" s="62">
        <f>79585.02+54161.84</f>
        <v>133746.85999999999</v>
      </c>
      <c r="N14" s="62">
        <f>77926.13+51030.99</f>
        <v>128957.12</v>
      </c>
      <c r="O14" s="62">
        <f>90346.65+50949.34</f>
        <v>141295.99</v>
      </c>
    </row>
    <row r="15" spans="1:21" x14ac:dyDescent="0.2">
      <c r="A15" s="5" t="s">
        <v>8</v>
      </c>
      <c r="B15" s="10"/>
      <c r="C15" s="324">
        <f t="shared" si="4"/>
        <v>0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spans="1:21" x14ac:dyDescent="0.2">
      <c r="A16" s="10" t="s">
        <v>815</v>
      </c>
      <c r="B16" s="10" t="s">
        <v>470</v>
      </c>
      <c r="C16" s="13">
        <f t="shared" si="4"/>
        <v>462025.24999999988</v>
      </c>
      <c r="D16" s="62">
        <v>90184.06</v>
      </c>
      <c r="E16" s="62">
        <f>41374.67</f>
        <v>41374.67</v>
      </c>
      <c r="F16" s="62">
        <v>41374.67</v>
      </c>
      <c r="G16" s="62">
        <v>41374.67</v>
      </c>
      <c r="H16" s="62">
        <f>41374.67</f>
        <v>41374.67</v>
      </c>
      <c r="I16" s="62">
        <v>41374.67</v>
      </c>
      <c r="J16" s="62">
        <v>41374.67</v>
      </c>
      <c r="K16" s="62">
        <f>41257.47</f>
        <v>41257.47</v>
      </c>
      <c r="L16" s="62">
        <v>41167.85</v>
      </c>
      <c r="M16" s="62">
        <v>41167.85</v>
      </c>
      <c r="N16" s="62"/>
      <c r="O16" s="62"/>
    </row>
    <row r="17" spans="1:15" x14ac:dyDescent="0.2">
      <c r="A17" s="5" t="s">
        <v>9</v>
      </c>
      <c r="B17" s="10"/>
      <c r="C17" s="13">
        <f t="shared" si="4"/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816</v>
      </c>
      <c r="B18" s="10" t="s">
        <v>31</v>
      </c>
      <c r="C18" s="324">
        <f t="shared" si="4"/>
        <v>1456072.0999999999</v>
      </c>
      <c r="D18" s="62">
        <f>468274.43</f>
        <v>468274.43</v>
      </c>
      <c r="E18" s="62">
        <f>559892.02-(2703.66+30050.01)</f>
        <v>527138.35</v>
      </c>
      <c r="F18" s="62">
        <f>356724.71-334520.02</f>
        <v>22204.690000000002</v>
      </c>
      <c r="G18" s="62">
        <f>207190.52-117856.34</f>
        <v>89334.18</v>
      </c>
      <c r="H18" s="62">
        <f>93050.89-139895.26</f>
        <v>-46844.37000000001</v>
      </c>
      <c r="I18" s="62">
        <f>73898.94-87402.27</f>
        <v>-13503.330000000002</v>
      </c>
      <c r="J18" s="62">
        <f>48213.11-50509.62</f>
        <v>-2296.510000000002</v>
      </c>
      <c r="K18" s="62">
        <f>196118.17-25818.29</f>
        <v>170299.88</v>
      </c>
      <c r="L18" s="62">
        <f>248546.13-11575.91</f>
        <v>236970.22</v>
      </c>
      <c r="M18" s="62">
        <f>70335.98-81867.41</f>
        <v>-11531.430000000008</v>
      </c>
      <c r="N18" s="62">
        <f>7644.48</f>
        <v>7644.48</v>
      </c>
      <c r="O18" s="62">
        <f>21390.5-13008.99</f>
        <v>8381.51</v>
      </c>
    </row>
    <row r="19" spans="1:15" x14ac:dyDescent="0.2">
      <c r="A19" s="5" t="s">
        <v>693</v>
      </c>
      <c r="B19" s="10" t="s">
        <v>32</v>
      </c>
      <c r="C19" s="324">
        <f t="shared" si="4"/>
        <v>24676.119999999995</v>
      </c>
      <c r="D19" s="62">
        <v>12818.13</v>
      </c>
      <c r="E19" s="62"/>
      <c r="F19" s="62"/>
      <c r="G19" s="62"/>
      <c r="H19" s="62"/>
      <c r="I19" s="62">
        <v>1056.75</v>
      </c>
      <c r="J19" s="62">
        <v>1981.34</v>
      </c>
      <c r="K19" s="62">
        <v>1981.34</v>
      </c>
      <c r="L19" s="62">
        <f>1981.34</f>
        <v>1981.34</v>
      </c>
      <c r="M19" s="62">
        <f>1981.34</f>
        <v>1981.34</v>
      </c>
      <c r="N19" s="62">
        <v>1437.94</v>
      </c>
      <c r="O19" s="62">
        <v>1437.94</v>
      </c>
    </row>
    <row r="20" spans="1:15" x14ac:dyDescent="0.2">
      <c r="A20" s="5" t="s">
        <v>12</v>
      </c>
      <c r="B20" s="10" t="s">
        <v>468</v>
      </c>
      <c r="C20" s="13">
        <f t="shared" si="4"/>
        <v>0</v>
      </c>
      <c r="D20" s="382"/>
      <c r="E20" s="382"/>
      <c r="F20" s="382"/>
      <c r="G20" s="382"/>
      <c r="H20" s="382"/>
      <c r="I20" s="382"/>
      <c r="J20" s="7"/>
      <c r="K20" s="7"/>
      <c r="L20" s="7"/>
      <c r="M20" s="7"/>
      <c r="N20" s="7"/>
      <c r="O20" s="7"/>
    </row>
    <row r="21" spans="1:15" x14ac:dyDescent="0.2">
      <c r="A21" s="10" t="s">
        <v>13</v>
      </c>
      <c r="B21" s="10" t="s">
        <v>471</v>
      </c>
      <c r="C21" s="324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" t="s">
        <v>14</v>
      </c>
      <c r="B22" s="10" t="s">
        <v>33</v>
      </c>
      <c r="C22" s="13">
        <f t="shared" si="4"/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">
      <c r="A23" s="5" t="s">
        <v>15</v>
      </c>
      <c r="B23" s="10"/>
      <c r="C23" s="13">
        <f t="shared" si="4"/>
        <v>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">
      <c r="A24" s="10" t="s">
        <v>817</v>
      </c>
      <c r="B24" s="10" t="s">
        <v>469</v>
      </c>
      <c r="C24" s="324">
        <f t="shared" si="4"/>
        <v>35040.630000000005</v>
      </c>
      <c r="D24" s="62">
        <f>7750.51</f>
        <v>7750.51</v>
      </c>
      <c r="E24" s="62">
        <f>3451.15</f>
        <v>3451.15</v>
      </c>
      <c r="F24" s="62">
        <v>3251.51</v>
      </c>
      <c r="G24" s="62">
        <v>3466.3</v>
      </c>
      <c r="H24" s="62">
        <f>3240.91</f>
        <v>3240.91</v>
      </c>
      <c r="I24" s="62">
        <f>2716.37</f>
        <v>2716.37</v>
      </c>
      <c r="J24" s="62">
        <f>3681.13</f>
        <v>3681.13</v>
      </c>
      <c r="K24" s="62">
        <f>2624.65</f>
        <v>2624.65</v>
      </c>
      <c r="L24" s="62">
        <f>390.81</f>
        <v>390.81</v>
      </c>
      <c r="M24" s="62">
        <v>1595.84</v>
      </c>
      <c r="N24" s="62">
        <v>1427.22</v>
      </c>
      <c r="O24" s="62">
        <f>1444.23</f>
        <v>1444.23</v>
      </c>
    </row>
    <row r="25" spans="1:15" x14ac:dyDescent="0.2">
      <c r="A25" s="10" t="s">
        <v>708</v>
      </c>
      <c r="B25" s="10" t="s">
        <v>34</v>
      </c>
      <c r="C25" s="324">
        <f t="shared" si="4"/>
        <v>1512196.8699999999</v>
      </c>
      <c r="D25" s="100">
        <f>150593.31-50</f>
        <v>150543.31</v>
      </c>
      <c r="E25" s="100">
        <f>115381.72</f>
        <v>115381.72</v>
      </c>
      <c r="F25" s="100">
        <v>151744.20000000001</v>
      </c>
      <c r="G25" s="100">
        <f>128384.5</f>
        <v>128384.5</v>
      </c>
      <c r="H25" s="100">
        <f>150351.34-122.28</f>
        <v>150229.06</v>
      </c>
      <c r="I25" s="100">
        <f>123275.42</f>
        <v>123275.42</v>
      </c>
      <c r="J25" s="100">
        <f>127275.83</f>
        <v>127275.83</v>
      </c>
      <c r="K25" s="100">
        <f>112279.92</f>
        <v>112279.92</v>
      </c>
      <c r="L25" s="100">
        <f>119852.53-42</f>
        <v>119810.53</v>
      </c>
      <c r="M25" s="100">
        <f>108541.5</f>
        <v>108541.5</v>
      </c>
      <c r="N25" s="100">
        <f>119962.13-2155.23</f>
        <v>117806.90000000001</v>
      </c>
      <c r="O25" s="100">
        <f>107183.73-259.75</f>
        <v>106923.98</v>
      </c>
    </row>
    <row r="26" spans="1:15" x14ac:dyDescent="0.2">
      <c r="A26" s="5" t="s">
        <v>16</v>
      </c>
      <c r="B26" s="10"/>
      <c r="C26" s="13">
        <f t="shared" si="4"/>
        <v>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">
      <c r="A27" s="5" t="s">
        <v>17</v>
      </c>
      <c r="B27" s="10" t="s">
        <v>35</v>
      </c>
      <c r="C27" s="13">
        <f t="shared" si="4"/>
        <v>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">
      <c r="A28" s="5" t="s">
        <v>18</v>
      </c>
      <c r="B28" s="10" t="s">
        <v>37</v>
      </c>
      <c r="C28" s="13">
        <f t="shared" si="4"/>
        <v>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">
      <c r="A29" s="5" t="s">
        <v>19</v>
      </c>
      <c r="B29" s="10" t="s">
        <v>36</v>
      </c>
      <c r="C29" s="13">
        <f t="shared" si="4"/>
        <v>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20</v>
      </c>
      <c r="B30" s="10"/>
      <c r="C30" s="13">
        <f t="shared" si="4"/>
        <v>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s="2" customFormat="1" x14ac:dyDescent="0.2">
      <c r="A31" s="9" t="s">
        <v>21</v>
      </c>
      <c r="B31" s="15"/>
      <c r="C31" s="16">
        <f>SUM(D31:O31)</f>
        <v>114730918.97999999</v>
      </c>
      <c r="D31" s="17">
        <f t="shared" ref="D31" si="5">D5-D8</f>
        <v>14677042.08</v>
      </c>
      <c r="E31" s="17">
        <f t="shared" ref="E31:O31" si="6">E5-E8</f>
        <v>10128239.710000001</v>
      </c>
      <c r="F31" s="17">
        <f t="shared" si="6"/>
        <v>10456828.75</v>
      </c>
      <c r="G31" s="17">
        <f t="shared" si="6"/>
        <v>7810614.9199999999</v>
      </c>
      <c r="H31" s="17">
        <f t="shared" si="6"/>
        <v>8737446.3599999994</v>
      </c>
      <c r="I31" s="17">
        <f t="shared" si="6"/>
        <v>11515286.49</v>
      </c>
      <c r="J31" s="17">
        <f t="shared" si="6"/>
        <v>8172315.3299999982</v>
      </c>
      <c r="K31" s="17">
        <f t="shared" si="6"/>
        <v>9079103.8800000008</v>
      </c>
      <c r="L31" s="17">
        <f t="shared" si="6"/>
        <v>8675963.9700000007</v>
      </c>
      <c r="M31" s="17">
        <f t="shared" si="6"/>
        <v>8319725.8799999999</v>
      </c>
      <c r="N31" s="17">
        <f t="shared" si="6"/>
        <v>8112075.9800000004</v>
      </c>
      <c r="O31" s="17">
        <f t="shared" si="6"/>
        <v>9046275.629999999</v>
      </c>
    </row>
    <row r="32" spans="1:15" x14ac:dyDescent="0.2">
      <c r="A32" s="5" t="s">
        <v>22</v>
      </c>
      <c r="B32" s="5"/>
      <c r="C32" s="13">
        <f t="shared" si="4"/>
        <v>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23</v>
      </c>
      <c r="B33" s="5"/>
      <c r="C33" s="13">
        <f t="shared" si="4"/>
        <v>114730918.97999999</v>
      </c>
      <c r="D33" s="18">
        <f>D31+D32</f>
        <v>14677042.08</v>
      </c>
      <c r="E33" s="18">
        <f>E31+E32</f>
        <v>10128239.710000001</v>
      </c>
      <c r="F33" s="18">
        <f>F31+F32</f>
        <v>10456828.75</v>
      </c>
      <c r="G33" s="18">
        <f t="shared" ref="G33:O33" si="7">G31+G32</f>
        <v>7810614.9199999999</v>
      </c>
      <c r="H33" s="18">
        <f t="shared" si="7"/>
        <v>8737446.3599999994</v>
      </c>
      <c r="I33" s="18">
        <f t="shared" si="7"/>
        <v>11515286.49</v>
      </c>
      <c r="J33" s="18">
        <f t="shared" si="7"/>
        <v>8172315.3299999982</v>
      </c>
      <c r="K33" s="18">
        <f t="shared" si="7"/>
        <v>9079103.8800000008</v>
      </c>
      <c r="L33" s="18">
        <f t="shared" si="7"/>
        <v>8675963.9700000007</v>
      </c>
      <c r="M33" s="18">
        <f t="shared" si="7"/>
        <v>8319725.8799999999</v>
      </c>
      <c r="N33" s="18">
        <f t="shared" si="7"/>
        <v>8112075.9800000004</v>
      </c>
      <c r="O33" s="18">
        <f t="shared" si="7"/>
        <v>9046275.629999999</v>
      </c>
    </row>
    <row r="34" spans="1:15" x14ac:dyDescent="0.2">
      <c r="A34" s="5" t="s">
        <v>24</v>
      </c>
      <c r="B34" s="5"/>
      <c r="C34" s="13">
        <f>SUM(D34:O34)</f>
        <v>980000</v>
      </c>
      <c r="D34" s="62"/>
      <c r="E34" s="62">
        <v>100000</v>
      </c>
      <c r="F34" s="62">
        <f>880000</f>
        <v>880000</v>
      </c>
      <c r="G34" s="62"/>
      <c r="H34" s="62"/>
      <c r="I34" s="62"/>
      <c r="J34" s="62"/>
      <c r="K34" s="62"/>
      <c r="L34" s="62"/>
      <c r="M34" s="62"/>
      <c r="N34" s="62"/>
      <c r="O34" s="62"/>
    </row>
    <row r="35" spans="1:15" x14ac:dyDescent="0.2">
      <c r="A35" s="5" t="s">
        <v>695</v>
      </c>
      <c r="B35" s="5"/>
      <c r="C35" s="13">
        <f>SUM(D35:O35)</f>
        <v>113750918.97999999</v>
      </c>
      <c r="D35" s="18">
        <f>D33-D34</f>
        <v>14677042.08</v>
      </c>
      <c r="E35" s="18">
        <f>E33-E34</f>
        <v>10028239.710000001</v>
      </c>
      <c r="F35" s="18">
        <f>F33-F34</f>
        <v>9576828.75</v>
      </c>
      <c r="G35" s="18">
        <f>G33-G34</f>
        <v>7810614.9199999999</v>
      </c>
      <c r="H35" s="18">
        <f>H33-H34</f>
        <v>8737446.3599999994</v>
      </c>
      <c r="I35" s="18">
        <f t="shared" ref="I35:O35" si="8">I33-I34</f>
        <v>11515286.49</v>
      </c>
      <c r="J35" s="18">
        <f t="shared" si="8"/>
        <v>8172315.3299999982</v>
      </c>
      <c r="K35" s="18">
        <f t="shared" si="8"/>
        <v>9079103.8800000008</v>
      </c>
      <c r="L35" s="18">
        <f t="shared" si="8"/>
        <v>8675963.9700000007</v>
      </c>
      <c r="M35" s="18">
        <f t="shared" si="8"/>
        <v>8319725.8799999999</v>
      </c>
      <c r="N35" s="18">
        <f t="shared" si="8"/>
        <v>8112075.9800000004</v>
      </c>
      <c r="O35" s="18">
        <f t="shared" si="8"/>
        <v>9046275.629999999</v>
      </c>
    </row>
    <row r="36" spans="1:15" x14ac:dyDescent="0.2">
      <c r="A36" s="5" t="s">
        <v>25</v>
      </c>
      <c r="B36" s="5"/>
      <c r="C36" s="13">
        <f t="shared" si="4"/>
        <v>350000</v>
      </c>
      <c r="D36" s="5"/>
      <c r="E36" s="5"/>
      <c r="F36" s="5"/>
      <c r="G36" s="5"/>
      <c r="H36" s="5"/>
      <c r="I36" s="62">
        <v>350000</v>
      </c>
      <c r="J36" s="5"/>
      <c r="K36" s="5"/>
      <c r="L36" s="5"/>
      <c r="M36" s="5"/>
      <c r="N36" s="5"/>
      <c r="O36" s="5"/>
    </row>
    <row r="37" spans="1:15" s="2" customFormat="1" x14ac:dyDescent="0.2">
      <c r="A37" s="9" t="s">
        <v>26</v>
      </c>
      <c r="B37" s="9"/>
      <c r="C37" s="16">
        <f>SUM(D37:O37)</f>
        <v>113400918.97999999</v>
      </c>
      <c r="D37" s="17">
        <f>D35-D36</f>
        <v>14677042.08</v>
      </c>
      <c r="E37" s="17">
        <f t="shared" ref="E37:O37" si="9">E35-E36</f>
        <v>10028239.710000001</v>
      </c>
      <c r="F37" s="17">
        <f t="shared" si="9"/>
        <v>9576828.75</v>
      </c>
      <c r="G37" s="17">
        <f t="shared" si="9"/>
        <v>7810614.9199999999</v>
      </c>
      <c r="H37" s="17">
        <f t="shared" si="9"/>
        <v>8737446.3599999994</v>
      </c>
      <c r="I37" s="17">
        <f t="shared" si="9"/>
        <v>11165286.49</v>
      </c>
      <c r="J37" s="17">
        <f t="shared" si="9"/>
        <v>8172315.3299999982</v>
      </c>
      <c r="K37" s="17">
        <f t="shared" si="9"/>
        <v>9079103.8800000008</v>
      </c>
      <c r="L37" s="17">
        <f t="shared" si="9"/>
        <v>8675963.9700000007</v>
      </c>
      <c r="M37" s="17">
        <f t="shared" si="9"/>
        <v>8319725.8799999999</v>
      </c>
      <c r="N37" s="17">
        <f t="shared" si="9"/>
        <v>8112075.9800000004</v>
      </c>
      <c r="O37" s="17">
        <f t="shared" si="9"/>
        <v>9046275.629999999</v>
      </c>
    </row>
    <row r="38" spans="1:15" s="3" customFormat="1" ht="8.25" x14ac:dyDescent="0.15">
      <c r="A38" s="3" t="s">
        <v>895</v>
      </c>
      <c r="B38" s="349"/>
      <c r="C38" s="347"/>
      <c r="D38" s="347">
        <f>14677042.08-D37</f>
        <v>0</v>
      </c>
      <c r="E38" s="347">
        <f>10128239.71-E37</f>
        <v>100000</v>
      </c>
      <c r="F38" s="347">
        <f>10456828.75-F37</f>
        <v>880000</v>
      </c>
      <c r="G38" s="347">
        <f>7810614.92-G37</f>
        <v>0</v>
      </c>
      <c r="H38" s="347">
        <f>8737446.36-H37</f>
        <v>0</v>
      </c>
      <c r="I38" s="347">
        <f>11515286.49-I37</f>
        <v>350000</v>
      </c>
      <c r="J38" s="347">
        <f>8172315.33-J37</f>
        <v>0</v>
      </c>
      <c r="K38" s="347">
        <f>9079103.88-K37</f>
        <v>0</v>
      </c>
    </row>
    <row r="39" spans="1:15" s="24" customFormat="1" ht="8.25" x14ac:dyDescent="0.15">
      <c r="A39" s="24" t="s">
        <v>27</v>
      </c>
    </row>
    <row r="40" spans="1:15" s="24" customFormat="1" ht="8.25" x14ac:dyDescent="0.15">
      <c r="A40" s="24" t="s">
        <v>28</v>
      </c>
    </row>
    <row r="41" spans="1:15" s="24" customFormat="1" ht="8.25" x14ac:dyDescent="0.15">
      <c r="A41" s="24" t="s">
        <v>29</v>
      </c>
    </row>
    <row r="42" spans="1:15" x14ac:dyDescent="0.2">
      <c r="C42" s="361"/>
    </row>
    <row r="44" spans="1:15" x14ac:dyDescent="0.2">
      <c r="A44" s="55" t="s">
        <v>99</v>
      </c>
      <c r="B44" s="54"/>
      <c r="C44" s="56" t="s">
        <v>100</v>
      </c>
      <c r="D44" s="56"/>
      <c r="E44" s="57"/>
      <c r="F44" s="55"/>
      <c r="G44" s="58" t="s">
        <v>101</v>
      </c>
      <c r="H44" s="58"/>
    </row>
    <row r="45" spans="1:15" x14ac:dyDescent="0.2">
      <c r="A45" s="55" t="s">
        <v>102</v>
      </c>
      <c r="B45" s="54"/>
      <c r="C45" s="56" t="s">
        <v>103</v>
      </c>
      <c r="D45" s="56"/>
      <c r="E45" s="57"/>
      <c r="F45" s="55"/>
      <c r="G45" s="58" t="s">
        <v>104</v>
      </c>
      <c r="H45" s="58"/>
    </row>
  </sheetData>
  <mergeCells count="1">
    <mergeCell ref="C2:C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60"/>
  <sheetViews>
    <sheetView topLeftCell="A23" workbookViewId="0">
      <selection activeCell="I47" sqref="I47"/>
    </sheetView>
  </sheetViews>
  <sheetFormatPr defaultRowHeight="8.25" x14ac:dyDescent="0.15"/>
  <cols>
    <col min="1" max="1" width="31.140625" style="3" customWidth="1"/>
    <col min="2" max="6" width="9.140625" style="3"/>
    <col min="7" max="7" width="9.28515625" style="3" bestFit="1" customWidth="1"/>
    <col min="8" max="8" width="12.28515625" style="3" bestFit="1" customWidth="1"/>
    <col min="9" max="9" width="11.42578125" style="3" customWidth="1"/>
    <col min="10" max="10" width="11" style="3" bestFit="1" customWidth="1"/>
    <col min="11" max="11" width="11.140625" style="3" bestFit="1" customWidth="1"/>
    <col min="12" max="12" width="11.42578125" style="3" customWidth="1"/>
    <col min="13" max="13" width="11.42578125" style="3" bestFit="1" customWidth="1"/>
    <col min="14" max="14" width="11.140625" style="3" bestFit="1" customWidth="1"/>
    <col min="15" max="15" width="10.85546875" style="3" bestFit="1" customWidth="1"/>
    <col min="16" max="16" width="11.42578125" style="3" customWidth="1"/>
    <col min="17" max="17" width="11.140625" style="3" bestFit="1" customWidth="1"/>
    <col min="18" max="18" width="12.42578125" style="3" customWidth="1"/>
    <col min="19" max="19" width="11.85546875" style="3" bestFit="1" customWidth="1"/>
    <col min="20" max="20" width="11.7109375" style="3" bestFit="1" customWidth="1"/>
    <col min="21" max="21" width="10.42578125" style="3" bestFit="1" customWidth="1"/>
    <col min="22" max="16384" width="9.140625" style="3"/>
  </cols>
  <sheetData>
    <row r="1" spans="1:23" ht="11.25" x14ac:dyDescent="0.2">
      <c r="B1" s="24" t="s">
        <v>48</v>
      </c>
      <c r="H1" s="2" t="s">
        <v>1091</v>
      </c>
      <c r="I1" s="2"/>
      <c r="K1" s="349" t="s">
        <v>488</v>
      </c>
      <c r="L1" s="423"/>
      <c r="M1" s="24" t="s">
        <v>48</v>
      </c>
      <c r="R1" s="2" t="s">
        <v>1091</v>
      </c>
      <c r="W1" s="349" t="s">
        <v>489</v>
      </c>
    </row>
    <row r="2" spans="1:23" x14ac:dyDescent="0.15">
      <c r="A2" s="35" t="s">
        <v>49</v>
      </c>
      <c r="B2" s="35"/>
      <c r="C2" s="35"/>
      <c r="D2" s="35"/>
      <c r="E2" s="35"/>
      <c r="F2" s="35"/>
      <c r="G2" s="35"/>
      <c r="H2" s="347"/>
      <c r="L2" s="423"/>
      <c r="M2" s="347"/>
      <c r="N2" s="347"/>
    </row>
    <row r="3" spans="1:23" x14ac:dyDescent="0.15">
      <c r="A3" s="22" t="s">
        <v>50</v>
      </c>
      <c r="B3" s="25" t="s">
        <v>490</v>
      </c>
      <c r="C3" s="25"/>
      <c r="D3" s="25"/>
      <c r="E3" s="25"/>
      <c r="F3" s="25"/>
      <c r="G3" s="25"/>
      <c r="H3" s="47" t="s">
        <v>93</v>
      </c>
      <c r="I3" s="42">
        <f>RCL!D2</f>
        <v>44531</v>
      </c>
      <c r="J3" s="44">
        <f>RCL!E2</f>
        <v>44501</v>
      </c>
      <c r="K3" s="42">
        <f>RCL!F2</f>
        <v>44470</v>
      </c>
      <c r="L3" s="42">
        <f>RCL!G2</f>
        <v>44440</v>
      </c>
      <c r="M3" s="44">
        <f>RCL!H2</f>
        <v>44409</v>
      </c>
      <c r="N3" s="42">
        <f>RCL!I2</f>
        <v>44378</v>
      </c>
      <c r="O3" s="44">
        <f>RCL!J2</f>
        <v>44348</v>
      </c>
      <c r="P3" s="42">
        <f>RCL!K2</f>
        <v>44317</v>
      </c>
      <c r="Q3" s="44">
        <f>RCL!L2</f>
        <v>44287</v>
      </c>
      <c r="R3" s="42">
        <f>RCL!M2</f>
        <v>44256</v>
      </c>
      <c r="S3" s="44">
        <f>RCL!N2</f>
        <v>44228</v>
      </c>
      <c r="T3" s="42">
        <f>RCL!O2</f>
        <v>44197</v>
      </c>
    </row>
    <row r="4" spans="1:23" x14ac:dyDescent="0.15">
      <c r="A4" s="10" t="s">
        <v>44</v>
      </c>
      <c r="B4" s="350" t="s">
        <v>96</v>
      </c>
      <c r="C4" s="25"/>
      <c r="D4" s="25"/>
      <c r="E4" s="25"/>
      <c r="F4" s="25"/>
      <c r="G4" s="32" t="s">
        <v>84</v>
      </c>
      <c r="H4" s="48" t="s">
        <v>94</v>
      </c>
      <c r="I4" s="43" t="s">
        <v>38</v>
      </c>
      <c r="J4" s="41" t="s">
        <v>39</v>
      </c>
      <c r="K4" s="43" t="s">
        <v>40</v>
      </c>
      <c r="L4" s="43" t="s">
        <v>41</v>
      </c>
      <c r="M4" s="41" t="s">
        <v>42</v>
      </c>
      <c r="N4" s="43" t="s">
        <v>43</v>
      </c>
      <c r="O4" s="41" t="s">
        <v>87</v>
      </c>
      <c r="P4" s="43" t="s">
        <v>88</v>
      </c>
      <c r="Q4" s="41" t="s">
        <v>89</v>
      </c>
      <c r="R4" s="43" t="s">
        <v>90</v>
      </c>
      <c r="S4" s="41" t="s">
        <v>91</v>
      </c>
      <c r="T4" s="43" t="s">
        <v>92</v>
      </c>
    </row>
    <row r="5" spans="1:23" s="24" customFormat="1" x14ac:dyDescent="0.15">
      <c r="A5" s="40" t="s">
        <v>51</v>
      </c>
      <c r="B5" s="36"/>
      <c r="C5" s="37"/>
      <c r="D5" s="37"/>
      <c r="E5" s="37"/>
      <c r="F5" s="37"/>
      <c r="G5" s="37"/>
      <c r="H5" s="345">
        <f>SUM(I5:T5)</f>
        <v>96188828.769999996</v>
      </c>
      <c r="I5" s="170">
        <f>I6+I7</f>
        <v>15244093.890000001</v>
      </c>
      <c r="J5" s="170">
        <f t="shared" ref="J5:T5" si="0">J6+J7</f>
        <v>7378248.6099999994</v>
      </c>
      <c r="K5" s="170">
        <f t="shared" si="0"/>
        <v>7307481.9400000004</v>
      </c>
      <c r="L5" s="170">
        <f>L6+L7</f>
        <v>7201087.4400000004</v>
      </c>
      <c r="M5" s="170">
        <f t="shared" si="0"/>
        <v>7291245.2999999998</v>
      </c>
      <c r="N5" s="170">
        <f t="shared" si="0"/>
        <v>7457935.1899999995</v>
      </c>
      <c r="O5" s="170">
        <f t="shared" si="0"/>
        <v>7299492.0199999996</v>
      </c>
      <c r="P5" s="170">
        <f t="shared" si="0"/>
        <v>7278817.8399999999</v>
      </c>
      <c r="Q5" s="170">
        <f t="shared" si="0"/>
        <v>7237452.4900000002</v>
      </c>
      <c r="R5" s="170">
        <f t="shared" si="0"/>
        <v>7701416.3200000003</v>
      </c>
      <c r="S5" s="170">
        <f t="shared" si="0"/>
        <v>7539150.8300000001</v>
      </c>
      <c r="T5" s="170">
        <f t="shared" si="0"/>
        <v>7252406.9000000004</v>
      </c>
      <c r="V5" s="3"/>
      <c r="W5" s="3"/>
    </row>
    <row r="6" spans="1:23" x14ac:dyDescent="0.15">
      <c r="A6" s="10" t="s">
        <v>52</v>
      </c>
      <c r="B6" s="22"/>
      <c r="C6" s="25"/>
      <c r="D6" s="25"/>
      <c r="E6" s="25"/>
      <c r="F6" s="25"/>
      <c r="G6" s="23" t="s">
        <v>110</v>
      </c>
      <c r="H6" s="46">
        <f>SUM(I6:T6)</f>
        <v>95074087.760000005</v>
      </c>
      <c r="I6" s="45">
        <f>15177341.49</f>
        <v>15177341.49</v>
      </c>
      <c r="J6" s="45">
        <f>7311846.31</f>
        <v>7311846.3099999996</v>
      </c>
      <c r="K6" s="45">
        <v>7235984.9400000004</v>
      </c>
      <c r="L6" s="45">
        <f>7106261.44</f>
        <v>7106261.4400000004</v>
      </c>
      <c r="M6" s="45">
        <f>7167386.63</f>
        <v>7167386.6299999999</v>
      </c>
      <c r="N6" s="45">
        <f>7526337.83-236922.78</f>
        <v>7289415.0499999998</v>
      </c>
      <c r="O6" s="45">
        <f>7170867.52</f>
        <v>7170867.5199999996</v>
      </c>
      <c r="P6" s="45">
        <f>7046389.84</f>
        <v>7046389.8399999999</v>
      </c>
      <c r="Q6" s="45">
        <f>7237452.49</f>
        <v>7237452.4900000002</v>
      </c>
      <c r="R6" s="45">
        <v>7577072.3200000003</v>
      </c>
      <c r="S6" s="45">
        <f>7501662.83</f>
        <v>7501662.8300000001</v>
      </c>
      <c r="T6" s="45">
        <v>7252406.9000000004</v>
      </c>
    </row>
    <row r="7" spans="1:23" x14ac:dyDescent="0.15">
      <c r="A7" s="10" t="s">
        <v>53</v>
      </c>
      <c r="B7" s="19"/>
      <c r="C7" s="35"/>
      <c r="D7" s="35"/>
      <c r="E7" s="35"/>
      <c r="F7" s="35"/>
      <c r="G7" s="20" t="s">
        <v>111</v>
      </c>
      <c r="H7" s="46">
        <f>SUM(I7:T7)</f>
        <v>1114741.01</v>
      </c>
      <c r="I7" s="51">
        <f>66752.4</f>
        <v>66752.399999999994</v>
      </c>
      <c r="J7" s="51">
        <f>66402.3</f>
        <v>66402.3</v>
      </c>
      <c r="K7" s="51">
        <v>71497</v>
      </c>
      <c r="L7" s="51">
        <f>94826</f>
        <v>94826</v>
      </c>
      <c r="M7" s="51">
        <f>123858.67</f>
        <v>123858.67</v>
      </c>
      <c r="N7" s="51">
        <v>168520.14</v>
      </c>
      <c r="O7" s="51">
        <f>128624.5</f>
        <v>128624.5</v>
      </c>
      <c r="P7" s="51">
        <f>232428</f>
        <v>232428</v>
      </c>
      <c r="Q7" s="10"/>
      <c r="R7" s="344">
        <v>124344</v>
      </c>
      <c r="S7" s="344">
        <v>37488</v>
      </c>
      <c r="T7" s="344"/>
    </row>
    <row r="8" spans="1:23" s="24" customFormat="1" x14ac:dyDescent="0.15">
      <c r="A8" s="32" t="s">
        <v>5</v>
      </c>
      <c r="B8" s="32"/>
      <c r="C8" s="33"/>
      <c r="D8" s="33"/>
      <c r="E8" s="33"/>
      <c r="F8" s="33"/>
      <c r="G8" s="34"/>
      <c r="H8" s="46">
        <f>SUM(I8:T8)</f>
        <v>26584786.699999999</v>
      </c>
      <c r="I8" s="49">
        <f t="shared" ref="I8:T8" si="1">SUM(I10:I19)</f>
        <v>3828455.82</v>
      </c>
      <c r="J8" s="49">
        <f t="shared" si="1"/>
        <v>2029057.35</v>
      </c>
      <c r="K8" s="49">
        <f t="shared" si="1"/>
        <v>1934118.0999999999</v>
      </c>
      <c r="L8" s="49">
        <f t="shared" si="1"/>
        <v>1937387.8199999998</v>
      </c>
      <c r="M8" s="49">
        <f t="shared" si="1"/>
        <v>1922337.13</v>
      </c>
      <c r="N8" s="49">
        <f t="shared" si="1"/>
        <v>2153651.36</v>
      </c>
      <c r="O8" s="49">
        <f t="shared" si="1"/>
        <v>2016525.8699999999</v>
      </c>
      <c r="P8" s="49">
        <f t="shared" si="1"/>
        <v>1894472.9</v>
      </c>
      <c r="Q8" s="49">
        <f t="shared" si="1"/>
        <v>2103049.5099999998</v>
      </c>
      <c r="R8" s="49">
        <f t="shared" si="1"/>
        <v>2294861.79</v>
      </c>
      <c r="S8" s="49">
        <f t="shared" si="1"/>
        <v>2263351.8000000003</v>
      </c>
      <c r="T8" s="49">
        <f t="shared" si="1"/>
        <v>2207517.25</v>
      </c>
      <c r="U8" s="442"/>
      <c r="V8" s="3"/>
      <c r="W8" s="3"/>
    </row>
    <row r="9" spans="1:23" s="24" customFormat="1" x14ac:dyDescent="0.15">
      <c r="A9" s="32"/>
      <c r="B9" s="32"/>
      <c r="C9" s="33"/>
      <c r="D9" s="33"/>
      <c r="E9" s="33"/>
      <c r="F9" s="33"/>
      <c r="G9" s="34"/>
      <c r="H9" s="46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42"/>
      <c r="V9" s="3"/>
      <c r="W9" s="3"/>
    </row>
    <row r="10" spans="1:23" x14ac:dyDescent="0.15">
      <c r="A10" s="22" t="s">
        <v>98</v>
      </c>
      <c r="B10" s="22"/>
      <c r="C10" s="25"/>
      <c r="D10" s="25"/>
      <c r="E10" s="25"/>
      <c r="F10" s="23"/>
      <c r="G10" s="30" t="s">
        <v>105</v>
      </c>
      <c r="H10" s="46">
        <f t="shared" ref="H10:H43" si="2">SUM(I10:T10)</f>
        <v>21412072.820000004</v>
      </c>
      <c r="I10" s="51">
        <f>3278600.89</f>
        <v>3278600.89</v>
      </c>
      <c r="J10" s="51">
        <f>1652874.5</f>
        <v>1652874.5</v>
      </c>
      <c r="K10" s="51">
        <v>1651696.41</v>
      </c>
      <c r="L10" s="51">
        <f>1649833.24</f>
        <v>1649833.24</v>
      </c>
      <c r="M10" s="51">
        <f>1648483.54</f>
        <v>1648483.54</v>
      </c>
      <c r="N10" s="51">
        <v>1652132.24</v>
      </c>
      <c r="O10" s="51">
        <f>1649294.67</f>
        <v>1649294.67</v>
      </c>
      <c r="P10" s="51">
        <f>1642118.8</f>
        <v>1642118.8</v>
      </c>
      <c r="Q10" s="51">
        <f>1638614.89</f>
        <v>1638614.89</v>
      </c>
      <c r="R10" s="51">
        <f>1695217.98</f>
        <v>1695217.98</v>
      </c>
      <c r="S10" s="51">
        <f>1674599.82</f>
        <v>1674599.82</v>
      </c>
      <c r="T10" s="51">
        <v>1578605.84</v>
      </c>
    </row>
    <row r="11" spans="1:23" x14ac:dyDescent="0.15">
      <c r="A11" s="21"/>
      <c r="B11" s="19"/>
      <c r="C11" s="35"/>
      <c r="D11" s="35"/>
      <c r="E11" s="35"/>
      <c r="F11" s="35"/>
      <c r="G11" s="10"/>
      <c r="H11" s="46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</row>
    <row r="12" spans="1:23" x14ac:dyDescent="0.15">
      <c r="A12" s="22" t="s">
        <v>54</v>
      </c>
      <c r="B12" s="22"/>
      <c r="C12" s="25"/>
      <c r="D12" s="25"/>
      <c r="E12" s="25"/>
      <c r="F12" s="25"/>
      <c r="G12" s="10" t="s">
        <v>106</v>
      </c>
      <c r="H12" s="46">
        <f t="shared" si="2"/>
        <v>2785344.6999999997</v>
      </c>
      <c r="I12" s="51">
        <f>425586.98</f>
        <v>425586.98</v>
      </c>
      <c r="J12" s="51">
        <f>213881.89</f>
        <v>213881.89</v>
      </c>
      <c r="K12" s="51">
        <v>214871</v>
      </c>
      <c r="L12" s="51">
        <f>214871</f>
        <v>214871</v>
      </c>
      <c r="M12" s="51">
        <f>214871</f>
        <v>214871</v>
      </c>
      <c r="N12" s="51">
        <v>231683.43</v>
      </c>
      <c r="O12" s="51">
        <f>210844.25</f>
        <v>210844.25</v>
      </c>
      <c r="P12" s="51">
        <f>210918.91</f>
        <v>210918.91</v>
      </c>
      <c r="Q12" s="51">
        <f>209700.26</f>
        <v>209700.26</v>
      </c>
      <c r="R12" s="51">
        <f>219471.11</f>
        <v>219471.11</v>
      </c>
      <c r="S12" s="51">
        <f>222290.44</f>
        <v>222290.44</v>
      </c>
      <c r="T12" s="51">
        <f>196354.43</f>
        <v>196354.43</v>
      </c>
    </row>
    <row r="13" spans="1:23" x14ac:dyDescent="0.15">
      <c r="A13" s="22"/>
      <c r="B13" s="22"/>
      <c r="C13" s="25"/>
      <c r="D13" s="25"/>
      <c r="E13" s="25"/>
      <c r="F13" s="25"/>
      <c r="G13" s="10"/>
      <c r="H13" s="46">
        <f t="shared" si="2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5"/>
      <c r="S13" s="15"/>
      <c r="T13" s="15"/>
    </row>
    <row r="14" spans="1:23" x14ac:dyDescent="0.15">
      <c r="A14" s="22" t="s">
        <v>1092</v>
      </c>
      <c r="B14" s="22"/>
      <c r="C14" s="25"/>
      <c r="D14" s="25"/>
      <c r="E14" s="25"/>
      <c r="F14" s="532">
        <f>73331.76-H14</f>
        <v>0</v>
      </c>
      <c r="G14" s="10" t="s">
        <v>1090</v>
      </c>
      <c r="H14" s="46">
        <f t="shared" si="2"/>
        <v>73331.760000000009</v>
      </c>
      <c r="I14" s="51">
        <v>53381.19</v>
      </c>
      <c r="J14" s="51">
        <v>1335.92</v>
      </c>
      <c r="K14" s="51">
        <v>6469.51</v>
      </c>
      <c r="L14" s="51">
        <f>1335.92</f>
        <v>1335.92</v>
      </c>
      <c r="M14" s="51">
        <f>1335.92</f>
        <v>1335.92</v>
      </c>
      <c r="N14" s="51">
        <f>1335.92</f>
        <v>1335.92</v>
      </c>
      <c r="O14" s="51">
        <f>1335.92</f>
        <v>1335.92</v>
      </c>
      <c r="P14" s="51">
        <f>1335.92</f>
        <v>1335.92</v>
      </c>
      <c r="Q14" s="51">
        <v>1335.92</v>
      </c>
      <c r="R14" s="51">
        <f>1396.85</f>
        <v>1396.85</v>
      </c>
      <c r="S14" s="51">
        <f>1396.85</f>
        <v>1396.85</v>
      </c>
      <c r="T14" s="344">
        <v>1335.92</v>
      </c>
    </row>
    <row r="15" spans="1:23" x14ac:dyDescent="0.15">
      <c r="A15" s="22"/>
      <c r="B15" s="22"/>
      <c r="C15" s="25"/>
      <c r="D15" s="25"/>
      <c r="E15" s="25"/>
      <c r="F15" s="23"/>
      <c r="G15" s="10"/>
      <c r="H15" s="46"/>
      <c r="I15" s="10"/>
      <c r="J15" s="10"/>
      <c r="K15" s="10"/>
      <c r="L15" s="10"/>
      <c r="M15" s="10"/>
      <c r="N15" s="10"/>
      <c r="O15" s="10"/>
      <c r="P15" s="10"/>
      <c r="Q15" s="10"/>
      <c r="R15" s="15"/>
      <c r="S15" s="15"/>
      <c r="T15" s="15"/>
    </row>
    <row r="16" spans="1:23" x14ac:dyDescent="0.15">
      <c r="A16" s="19" t="s">
        <v>55</v>
      </c>
      <c r="B16" s="19"/>
      <c r="C16" s="35"/>
      <c r="D16" s="35"/>
      <c r="E16" s="35"/>
      <c r="F16" s="35"/>
      <c r="G16" s="10" t="s">
        <v>107</v>
      </c>
      <c r="H16" s="46">
        <f t="shared" si="2"/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3" x14ac:dyDescent="0.15">
      <c r="A17" s="22"/>
      <c r="B17" s="22"/>
      <c r="C17" s="25"/>
      <c r="D17" s="25"/>
      <c r="E17" s="25"/>
      <c r="F17" s="23"/>
      <c r="G17" s="10"/>
      <c r="H17" s="46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3" x14ac:dyDescent="0.15">
      <c r="A18" s="27" t="s">
        <v>56</v>
      </c>
      <c r="B18" s="27"/>
      <c r="C18" s="28"/>
      <c r="D18" s="28"/>
      <c r="E18" s="28"/>
      <c r="F18" s="28"/>
      <c r="G18" s="10" t="s">
        <v>97</v>
      </c>
      <c r="H18" s="46">
        <f>SUM(I18:T18)</f>
        <v>2314037.42</v>
      </c>
      <c r="I18" s="62">
        <f>70886.76</f>
        <v>70886.759999999995</v>
      </c>
      <c r="J18" s="62">
        <f>160965.04</f>
        <v>160965.04</v>
      </c>
      <c r="K18" s="62">
        <v>61081.18</v>
      </c>
      <c r="L18" s="62">
        <f>71347.66</f>
        <v>71347.66</v>
      </c>
      <c r="M18" s="62">
        <v>57646.67</v>
      </c>
      <c r="N18" s="62">
        <v>268499.77</v>
      </c>
      <c r="O18" s="62">
        <f>155051.03</f>
        <v>155051.03</v>
      </c>
      <c r="P18" s="62">
        <f>40099.27</f>
        <v>40099.269999999997</v>
      </c>
      <c r="Q18" s="62">
        <f>253398.44</f>
        <v>253398.44</v>
      </c>
      <c r="R18" s="62">
        <f>378775.85</f>
        <v>378775.85</v>
      </c>
      <c r="S18" s="62">
        <v>365064.69</v>
      </c>
      <c r="T18" s="531">
        <v>431221.06</v>
      </c>
    </row>
    <row r="19" spans="1:23" x14ac:dyDescent="0.15">
      <c r="A19" s="52"/>
      <c r="B19" s="53"/>
      <c r="C19" s="25"/>
      <c r="D19" s="25"/>
      <c r="E19" s="25"/>
      <c r="F19" s="25"/>
      <c r="G19" s="10"/>
      <c r="H19" s="46">
        <f>SUM(I19:T19)</f>
        <v>0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pans="1:23" s="24" customFormat="1" x14ac:dyDescent="0.15">
      <c r="A20" s="40" t="s">
        <v>57</v>
      </c>
      <c r="B20" s="36"/>
      <c r="C20" s="37"/>
      <c r="D20" s="37"/>
      <c r="E20" s="37"/>
      <c r="F20" s="37"/>
      <c r="G20" s="15"/>
      <c r="H20" s="46">
        <f>SUM(I20:T20)</f>
        <v>69604042.070000008</v>
      </c>
      <c r="I20" s="50">
        <f>I5-I8</f>
        <v>11415638.07</v>
      </c>
      <c r="J20" s="50">
        <f t="shared" ref="J20" si="3">J5-J8</f>
        <v>5349191.26</v>
      </c>
      <c r="K20" s="50">
        <f>K5-K8</f>
        <v>5373363.8400000008</v>
      </c>
      <c r="L20" s="50">
        <f t="shared" ref="L20:S20" si="4">L5-L8</f>
        <v>5263699.620000001</v>
      </c>
      <c r="M20" s="50">
        <f t="shared" si="4"/>
        <v>5368908.1699999999</v>
      </c>
      <c r="N20" s="50">
        <f t="shared" si="4"/>
        <v>5304283.83</v>
      </c>
      <c r="O20" s="50">
        <f t="shared" si="4"/>
        <v>5282966.1499999994</v>
      </c>
      <c r="P20" s="50">
        <f t="shared" si="4"/>
        <v>5384344.9399999995</v>
      </c>
      <c r="Q20" s="50">
        <f t="shared" si="4"/>
        <v>5134402.9800000004</v>
      </c>
      <c r="R20" s="50">
        <f t="shared" si="4"/>
        <v>5406554.5300000003</v>
      </c>
      <c r="S20" s="50">
        <f t="shared" si="4"/>
        <v>5275799.0299999993</v>
      </c>
      <c r="T20" s="50">
        <f t="shared" ref="T20" si="5">T5-T8</f>
        <v>5044889.6500000004</v>
      </c>
      <c r="V20" s="3"/>
      <c r="W20" s="3"/>
    </row>
    <row r="21" spans="1:23" x14ac:dyDescent="0.15">
      <c r="A21" s="10" t="s">
        <v>58</v>
      </c>
      <c r="B21" s="22"/>
      <c r="C21" s="25"/>
      <c r="D21" s="25"/>
      <c r="E21" s="25"/>
      <c r="F21" s="25"/>
      <c r="G21" s="10" t="s">
        <v>108</v>
      </c>
      <c r="H21" s="46">
        <f t="shared" si="2"/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3" x14ac:dyDescent="0.15">
      <c r="A22" s="10" t="s">
        <v>59</v>
      </c>
      <c r="B22" s="19"/>
      <c r="C22" s="35"/>
      <c r="D22" s="35"/>
      <c r="E22" s="35"/>
      <c r="F22" s="35"/>
      <c r="G22" s="10" t="s">
        <v>109</v>
      </c>
      <c r="H22" s="46">
        <f t="shared" si="2"/>
        <v>0</v>
      </c>
      <c r="I22" s="10"/>
      <c r="J22" s="10"/>
      <c r="K22" s="10"/>
      <c r="L22" s="10"/>
      <c r="M22" s="10"/>
      <c r="N22" s="10"/>
      <c r="O22" s="10"/>
      <c r="P22" s="344"/>
      <c r="Q22" s="10"/>
      <c r="R22" s="10"/>
      <c r="S22" s="10"/>
      <c r="T22" s="10"/>
    </row>
    <row r="23" spans="1:23" s="24" customFormat="1" x14ac:dyDescent="0.15">
      <c r="A23" s="15" t="s">
        <v>86</v>
      </c>
      <c r="B23" s="32"/>
      <c r="C23" s="33"/>
      <c r="D23" s="33"/>
      <c r="E23" s="33"/>
      <c r="F23" s="33"/>
      <c r="G23" s="34"/>
      <c r="H23" s="46">
        <f t="shared" si="2"/>
        <v>0</v>
      </c>
      <c r="I23" s="49">
        <f>SUM(I21:I22)</f>
        <v>0</v>
      </c>
      <c r="J23" s="49">
        <f t="shared" ref="J23:S23" si="6">SUM(J21:J22)</f>
        <v>0</v>
      </c>
      <c r="K23" s="49">
        <f t="shared" si="6"/>
        <v>0</v>
      </c>
      <c r="L23" s="49">
        <f t="shared" si="6"/>
        <v>0</v>
      </c>
      <c r="M23" s="49">
        <f t="shared" si="6"/>
        <v>0</v>
      </c>
      <c r="N23" s="49">
        <f t="shared" si="6"/>
        <v>0</v>
      </c>
      <c r="O23" s="49">
        <f t="shared" si="6"/>
        <v>0</v>
      </c>
      <c r="P23" s="49">
        <f t="shared" si="6"/>
        <v>0</v>
      </c>
      <c r="Q23" s="49">
        <f t="shared" si="6"/>
        <v>0</v>
      </c>
      <c r="R23" s="49">
        <f t="shared" si="6"/>
        <v>0</v>
      </c>
      <c r="S23" s="49">
        <f t="shared" si="6"/>
        <v>0</v>
      </c>
      <c r="T23" s="49">
        <f t="shared" ref="T23" si="7">SUM(T21:T22)</f>
        <v>0</v>
      </c>
    </row>
    <row r="24" spans="1:23" x14ac:dyDescent="0.15">
      <c r="A24" s="10" t="s">
        <v>60</v>
      </c>
      <c r="B24" s="22" t="s">
        <v>85</v>
      </c>
      <c r="C24" s="25"/>
      <c r="D24" s="25"/>
      <c r="E24" s="25"/>
      <c r="F24" s="25"/>
      <c r="G24" s="10"/>
      <c r="H24" s="46">
        <f>SUM(I24:T24)</f>
        <v>5.8207660913467407E-10</v>
      </c>
      <c r="I24" s="346">
        <f>(15143005.9-I6)+(-1283.7-I7)</f>
        <v>-102371.68999999984</v>
      </c>
      <c r="J24" s="346">
        <f>(7288911.42+134438.4)-(J6+J7)</f>
        <v>45101.210000000894</v>
      </c>
      <c r="K24" s="346">
        <f>(7229419.31+71497)-(K6+K7)</f>
        <v>-6565.6300000008196</v>
      </c>
      <c r="L24" s="346">
        <f>(7097448.16+94826)-(L6+L7)</f>
        <v>-8813.2800000002608</v>
      </c>
      <c r="M24" s="346">
        <f>(7157933.11+123858.67)-(M6+M7)</f>
        <v>-9453.519999999553</v>
      </c>
      <c r="N24" s="346">
        <f>(7280601.77+109820.64)-(N6+N7)</f>
        <v>-67512.780000000261</v>
      </c>
      <c r="O24" s="346">
        <f>7154869.31-(O6+O66)</f>
        <v>-15998.209999999963</v>
      </c>
      <c r="P24" s="533">
        <f>(7045109.36-P6+355000-P7)-128624.5</f>
        <v>-7332.9799999995157</v>
      </c>
      <c r="Q24" s="346">
        <f>7228639.21-Q6+1584-Q7</f>
        <v>-7229.2800000002608</v>
      </c>
      <c r="R24" s="346">
        <f>7670632.48-R6+70000-R7</f>
        <v>39216.160000000149</v>
      </c>
      <c r="S24" s="346">
        <f>7447735.4-S6+155000-S7</f>
        <v>63584.570000000298</v>
      </c>
      <c r="T24" s="346">
        <f>7329782.33-T6</f>
        <v>77375.429999999702</v>
      </c>
    </row>
    <row r="25" spans="1:23" x14ac:dyDescent="0.15">
      <c r="A25" s="26" t="s">
        <v>61</v>
      </c>
      <c r="B25" s="27" t="s">
        <v>85</v>
      </c>
      <c r="C25" s="35"/>
      <c r="D25" s="35"/>
      <c r="E25" s="35"/>
      <c r="F25" s="35"/>
      <c r="G25" s="10"/>
      <c r="H25" s="46">
        <f t="shared" si="2"/>
        <v>0</v>
      </c>
      <c r="I25" s="51"/>
      <c r="J25" s="51"/>
      <c r="K25" s="51"/>
      <c r="L25" s="51"/>
      <c r="M25" s="51"/>
      <c r="N25" s="51"/>
      <c r="O25" s="344"/>
      <c r="P25" s="344"/>
      <c r="Q25" s="346"/>
      <c r="R25" s="346"/>
      <c r="S25" s="346"/>
      <c r="T25" s="346"/>
    </row>
    <row r="26" spans="1:23" s="24" customFormat="1" x14ac:dyDescent="0.15">
      <c r="A26" s="32" t="s">
        <v>62</v>
      </c>
      <c r="B26" s="33"/>
      <c r="C26" s="33"/>
      <c r="D26" s="33"/>
      <c r="E26" s="33"/>
      <c r="F26" s="33"/>
      <c r="G26" s="348"/>
      <c r="H26" s="46">
        <f>SUM(I26:T26)</f>
        <v>5.8207660913467407E-10</v>
      </c>
      <c r="I26" s="49">
        <f>SUM(I24:I25)</f>
        <v>-102371.68999999984</v>
      </c>
      <c r="J26" s="49">
        <f t="shared" ref="J26:N26" si="8">SUM(J24:J25)</f>
        <v>45101.210000000894</v>
      </c>
      <c r="K26" s="49">
        <f>SUM(K24:K25)</f>
        <v>-6565.6300000008196</v>
      </c>
      <c r="L26" s="49">
        <f t="shared" si="8"/>
        <v>-8813.2800000002608</v>
      </c>
      <c r="M26" s="49">
        <f t="shared" si="8"/>
        <v>-9453.519999999553</v>
      </c>
      <c r="N26" s="49">
        <f t="shared" si="8"/>
        <v>-67512.780000000261</v>
      </c>
      <c r="O26" s="49">
        <f t="shared" ref="O26:T26" si="9">SUM(O24:O25)</f>
        <v>-15998.209999999963</v>
      </c>
      <c r="P26" s="49">
        <f t="shared" si="9"/>
        <v>-7332.9799999995157</v>
      </c>
      <c r="Q26" s="49">
        <f t="shared" si="9"/>
        <v>-7229.2800000002608</v>
      </c>
      <c r="R26" s="49">
        <f t="shared" si="9"/>
        <v>39216.160000000149</v>
      </c>
      <c r="S26" s="49">
        <f t="shared" si="9"/>
        <v>63584.570000000298</v>
      </c>
      <c r="T26" s="49">
        <f t="shared" si="9"/>
        <v>77375.429999999702</v>
      </c>
    </row>
    <row r="27" spans="1:23" x14ac:dyDescent="0.15">
      <c r="A27" s="29"/>
      <c r="B27" s="19" t="s">
        <v>63</v>
      </c>
      <c r="C27" s="35"/>
      <c r="D27" s="35"/>
      <c r="E27" s="35"/>
      <c r="F27" s="35"/>
      <c r="G27" s="10" t="s">
        <v>65</v>
      </c>
      <c r="H27" s="46">
        <f t="shared" si="2"/>
        <v>0</v>
      </c>
      <c r="I27" s="10"/>
      <c r="J27" s="10"/>
      <c r="K27" s="10"/>
      <c r="L27" s="10"/>
      <c r="M27" s="15"/>
      <c r="N27" s="15"/>
      <c r="O27" s="15"/>
      <c r="P27" s="15"/>
      <c r="Q27" s="15"/>
      <c r="R27" s="15"/>
      <c r="S27" s="15"/>
      <c r="T27" s="15"/>
    </row>
    <row r="28" spans="1:23" x14ac:dyDescent="0.15">
      <c r="A28" s="29" t="s">
        <v>69</v>
      </c>
      <c r="B28" s="22" t="s">
        <v>64</v>
      </c>
      <c r="C28" s="25"/>
      <c r="D28" s="25"/>
      <c r="E28" s="25"/>
      <c r="F28" s="25"/>
      <c r="G28" s="10" t="s">
        <v>66</v>
      </c>
      <c r="H28" s="46">
        <f t="shared" si="2"/>
        <v>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3" x14ac:dyDescent="0.15">
      <c r="A29" s="30"/>
      <c r="B29" s="21" t="s">
        <v>67</v>
      </c>
      <c r="C29" s="31"/>
      <c r="D29" s="31"/>
      <c r="E29" s="31"/>
      <c r="F29" s="31"/>
      <c r="G29" s="10" t="s">
        <v>68</v>
      </c>
      <c r="H29" s="46">
        <f t="shared" si="2"/>
        <v>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3" x14ac:dyDescent="0.15">
      <c r="A30" s="26"/>
      <c r="B30" s="27" t="s">
        <v>71</v>
      </c>
      <c r="C30" s="28"/>
      <c r="D30" s="28"/>
      <c r="E30" s="28"/>
      <c r="F30" s="28"/>
      <c r="G30" s="10" t="s">
        <v>72</v>
      </c>
      <c r="H30" s="46">
        <f t="shared" si="2"/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3" x14ac:dyDescent="0.15">
      <c r="A31" s="29" t="s">
        <v>70</v>
      </c>
      <c r="B31" s="22" t="s">
        <v>64</v>
      </c>
      <c r="C31" s="25"/>
      <c r="D31" s="25"/>
      <c r="E31" s="25"/>
      <c r="F31" s="25"/>
      <c r="G31" s="10" t="s">
        <v>66</v>
      </c>
      <c r="H31" s="46">
        <f t="shared" si="2"/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3" x14ac:dyDescent="0.15">
      <c r="A32" s="29"/>
      <c r="B32" s="21" t="s">
        <v>67</v>
      </c>
      <c r="C32" s="31"/>
      <c r="D32" s="31"/>
      <c r="E32" s="31"/>
      <c r="F32" s="31"/>
      <c r="G32" s="10" t="s">
        <v>68</v>
      </c>
      <c r="H32" s="46">
        <f t="shared" si="2"/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15">
      <c r="A33" s="30"/>
      <c r="B33" s="22" t="s">
        <v>73</v>
      </c>
      <c r="C33" s="25"/>
      <c r="D33" s="25"/>
      <c r="E33" s="25"/>
      <c r="F33" s="25"/>
      <c r="G33" s="10" t="s">
        <v>74</v>
      </c>
      <c r="H33" s="46">
        <f t="shared" si="2"/>
        <v>0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15">
      <c r="A34" s="26"/>
      <c r="B34" s="27" t="s">
        <v>75</v>
      </c>
      <c r="C34" s="28"/>
      <c r="D34" s="28"/>
      <c r="E34" s="28"/>
      <c r="F34" s="28"/>
      <c r="G34" s="10" t="s">
        <v>76</v>
      </c>
      <c r="H34" s="46">
        <f t="shared" si="2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15">
      <c r="A35" s="29"/>
      <c r="B35" s="22" t="s">
        <v>64</v>
      </c>
      <c r="C35" s="25"/>
      <c r="D35" s="25"/>
      <c r="E35" s="25"/>
      <c r="F35" s="25"/>
      <c r="G35" s="10" t="s">
        <v>66</v>
      </c>
      <c r="H35" s="46">
        <f t="shared" si="2"/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15">
      <c r="A36" s="29" t="s">
        <v>697</v>
      </c>
      <c r="B36" s="21" t="s">
        <v>67</v>
      </c>
      <c r="C36" s="31"/>
      <c r="D36" s="31"/>
      <c r="E36" s="31"/>
      <c r="F36" s="31"/>
      <c r="G36" s="10" t="s">
        <v>68</v>
      </c>
      <c r="H36" s="46">
        <f t="shared" si="2"/>
        <v>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15">
      <c r="A37" s="29"/>
      <c r="B37" s="22" t="s">
        <v>73</v>
      </c>
      <c r="C37" s="25"/>
      <c r="D37" s="25"/>
      <c r="E37" s="25"/>
      <c r="F37" s="25"/>
      <c r="G37" s="10" t="s">
        <v>74</v>
      </c>
      <c r="H37" s="46">
        <f t="shared" si="2"/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15">
      <c r="A38" s="30"/>
      <c r="B38" s="22" t="s">
        <v>78</v>
      </c>
      <c r="C38" s="31"/>
      <c r="D38" s="31"/>
      <c r="E38" s="31"/>
      <c r="F38" s="31"/>
      <c r="G38" s="10" t="s">
        <v>77</v>
      </c>
      <c r="H38" s="46">
        <f t="shared" si="2"/>
        <v>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15">
      <c r="A39" s="26"/>
      <c r="B39" s="22" t="s">
        <v>64</v>
      </c>
      <c r="C39" s="25"/>
      <c r="D39" s="25"/>
      <c r="E39" s="25"/>
      <c r="F39" s="25"/>
      <c r="G39" s="10" t="s">
        <v>66</v>
      </c>
      <c r="H39" s="46">
        <f t="shared" si="2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15">
      <c r="A40" s="29"/>
      <c r="B40" s="21" t="s">
        <v>67</v>
      </c>
      <c r="C40" s="31"/>
      <c r="D40" s="31"/>
      <c r="E40" s="31"/>
      <c r="F40" s="31"/>
      <c r="G40" s="10" t="s">
        <v>68</v>
      </c>
      <c r="H40" s="46">
        <f t="shared" si="2"/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15">
      <c r="A41" s="29" t="s">
        <v>698</v>
      </c>
      <c r="B41" s="22" t="s">
        <v>73</v>
      </c>
      <c r="C41" s="25"/>
      <c r="D41" s="25"/>
      <c r="E41" s="25"/>
      <c r="F41" s="25"/>
      <c r="G41" s="10" t="s">
        <v>74</v>
      </c>
      <c r="H41" s="46">
        <f t="shared" si="2"/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15">
      <c r="A42" s="29"/>
      <c r="B42" s="22" t="s">
        <v>78</v>
      </c>
      <c r="C42" s="31"/>
      <c r="D42" s="31"/>
      <c r="E42" s="31"/>
      <c r="F42" s="31"/>
      <c r="G42" s="10" t="s">
        <v>77</v>
      </c>
      <c r="H42" s="46">
        <f t="shared" si="2"/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15">
      <c r="A43" s="29"/>
      <c r="B43" s="22" t="s">
        <v>79</v>
      </c>
      <c r="C43" s="31"/>
      <c r="D43" s="31"/>
      <c r="E43" s="31"/>
      <c r="F43" s="31"/>
      <c r="G43" s="10" t="s">
        <v>80</v>
      </c>
      <c r="H43" s="46">
        <f t="shared" si="2"/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15">
      <c r="A44" s="30"/>
      <c r="B44" s="22" t="s">
        <v>81</v>
      </c>
      <c r="C44" s="31"/>
      <c r="D44" s="31"/>
      <c r="E44" s="31"/>
      <c r="F44" s="31"/>
      <c r="G44" s="10" t="s">
        <v>82</v>
      </c>
      <c r="H44" s="46">
        <f>SUM(I44:T44)</f>
        <v>0</v>
      </c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</row>
    <row r="45" spans="1:20" s="24" customFormat="1" x14ac:dyDescent="0.15">
      <c r="A45" s="32" t="s">
        <v>83</v>
      </c>
      <c r="B45" s="33"/>
      <c r="C45" s="33" t="s">
        <v>487</v>
      </c>
      <c r="D45" s="33"/>
      <c r="E45" s="33"/>
      <c r="F45" s="33"/>
      <c r="G45" s="34"/>
      <c r="H45" s="46">
        <f>SUM(I45:T45)</f>
        <v>0</v>
      </c>
      <c r="I45" s="49">
        <f>SUM(I27:I44)</f>
        <v>0</v>
      </c>
      <c r="J45" s="49">
        <f t="shared" ref="J45:T45" si="10">SUM(J27:J44)</f>
        <v>0</v>
      </c>
      <c r="K45" s="49">
        <f t="shared" si="10"/>
        <v>0</v>
      </c>
      <c r="L45" s="49">
        <f t="shared" si="10"/>
        <v>0</v>
      </c>
      <c r="M45" s="49">
        <f t="shared" si="10"/>
        <v>0</v>
      </c>
      <c r="N45" s="49">
        <f t="shared" si="10"/>
        <v>0</v>
      </c>
      <c r="O45" s="49">
        <f t="shared" si="10"/>
        <v>0</v>
      </c>
      <c r="P45" s="49">
        <f t="shared" si="10"/>
        <v>0</v>
      </c>
      <c r="Q45" s="49">
        <f t="shared" si="10"/>
        <v>0</v>
      </c>
      <c r="R45" s="49">
        <f t="shared" si="10"/>
        <v>0</v>
      </c>
      <c r="S45" s="49">
        <f t="shared" si="10"/>
        <v>0</v>
      </c>
      <c r="T45" s="49">
        <f t="shared" si="10"/>
        <v>0</v>
      </c>
    </row>
    <row r="46" spans="1:20" x14ac:dyDescent="0.15">
      <c r="A46" s="32" t="s">
        <v>95</v>
      </c>
      <c r="B46" s="25"/>
      <c r="C46" s="25"/>
      <c r="D46" s="25"/>
      <c r="E46" s="25"/>
      <c r="F46" s="25"/>
      <c r="G46" s="23"/>
      <c r="H46" s="50">
        <f>H20+H23+H26-H45</f>
        <v>69604042.070000008</v>
      </c>
      <c r="I46" s="50">
        <f>I20+I23+I26-I45</f>
        <v>11313266.380000001</v>
      </c>
      <c r="J46" s="50">
        <f t="shared" ref="J46:S46" si="11">J20+J23+J26-J45</f>
        <v>5394292.4700000007</v>
      </c>
      <c r="K46" s="50">
        <f t="shared" si="11"/>
        <v>5366798.21</v>
      </c>
      <c r="L46" s="50">
        <f t="shared" si="11"/>
        <v>5254886.3400000008</v>
      </c>
      <c r="M46" s="50">
        <f t="shared" si="11"/>
        <v>5359454.6500000004</v>
      </c>
      <c r="N46" s="50">
        <f t="shared" si="11"/>
        <v>5236771.05</v>
      </c>
      <c r="O46" s="50">
        <f t="shared" si="11"/>
        <v>5266967.9399999995</v>
      </c>
      <c r="P46" s="50">
        <f t="shared" si="11"/>
        <v>5377011.96</v>
      </c>
      <c r="Q46" s="50">
        <f t="shared" si="11"/>
        <v>5127173.7</v>
      </c>
      <c r="R46" s="50">
        <f t="shared" si="11"/>
        <v>5445770.6900000004</v>
      </c>
      <c r="S46" s="50">
        <f t="shared" si="11"/>
        <v>5339383.5999999996</v>
      </c>
      <c r="T46" s="50">
        <f>T20+T23+T26-T45</f>
        <v>5122265.08</v>
      </c>
    </row>
    <row r="47" spans="1:20" x14ac:dyDescent="0.15">
      <c r="A47" s="3" t="s">
        <v>873</v>
      </c>
      <c r="H47" s="381"/>
    </row>
    <row r="48" spans="1:20" x14ac:dyDescent="0.15">
      <c r="A48" s="3" t="s">
        <v>874</v>
      </c>
    </row>
    <row r="50" spans="1:19" x14ac:dyDescent="0.15">
      <c r="G50" s="534"/>
    </row>
    <row r="51" spans="1:19" x14ac:dyDescent="0.15">
      <c r="G51" s="534"/>
    </row>
    <row r="53" spans="1:19" s="57" customFormat="1" ht="11.25" x14ac:dyDescent="0.2">
      <c r="A53" s="54"/>
      <c r="H53" s="171"/>
      <c r="N53" s="55" t="s">
        <v>99</v>
      </c>
      <c r="O53" s="54"/>
      <c r="P53" s="56" t="s">
        <v>100</v>
      </c>
      <c r="Q53" s="56"/>
      <c r="S53" s="58" t="s">
        <v>101</v>
      </c>
    </row>
    <row r="54" spans="1:19" s="59" customFormat="1" ht="11.25" x14ac:dyDescent="0.2">
      <c r="A54" s="54"/>
      <c r="N54" s="55" t="s">
        <v>102</v>
      </c>
      <c r="O54" s="54"/>
      <c r="P54" s="56" t="s">
        <v>103</v>
      </c>
      <c r="Q54" s="56"/>
      <c r="R54" s="57"/>
      <c r="S54" s="58" t="s">
        <v>104</v>
      </c>
    </row>
    <row r="55" spans="1:19" x14ac:dyDescent="0.15">
      <c r="L55" s="423"/>
    </row>
    <row r="60" spans="1:19" x14ac:dyDescent="0.15">
      <c r="I60" s="381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Q59"/>
  <sheetViews>
    <sheetView tabSelected="1" topLeftCell="A4" workbookViewId="0">
      <selection activeCell="P33" sqref="P33"/>
    </sheetView>
  </sheetViews>
  <sheetFormatPr defaultRowHeight="8.25" x14ac:dyDescent="0.15"/>
  <cols>
    <col min="1" max="1" width="2.42578125" style="59" customWidth="1"/>
    <col min="2" max="2" width="16.7109375" style="59" customWidth="1"/>
    <col min="3" max="3" width="9.85546875" style="59" customWidth="1"/>
    <col min="4" max="4" width="9.42578125" style="59" customWidth="1"/>
    <col min="5" max="5" width="9" style="59" customWidth="1"/>
    <col min="6" max="6" width="8.7109375" style="59" customWidth="1"/>
    <col min="7" max="7" width="8.5703125" style="59" customWidth="1"/>
    <col min="8" max="9" width="9" style="59" customWidth="1"/>
    <col min="10" max="10" width="8.85546875" style="59" bestFit="1" customWidth="1"/>
    <col min="11" max="11" width="8.7109375" style="59" bestFit="1" customWidth="1"/>
    <col min="12" max="12" width="9" style="59" bestFit="1" customWidth="1"/>
    <col min="13" max="13" width="8.7109375" style="59" customWidth="1"/>
    <col min="14" max="15" width="8.85546875" style="59" bestFit="1" customWidth="1"/>
    <col min="16" max="18" width="9.140625" style="59"/>
    <col min="19" max="19" width="24.140625" style="59" bestFit="1" customWidth="1"/>
    <col min="20" max="20" width="10.42578125" style="59" customWidth="1"/>
    <col min="21" max="21" width="10.28515625" style="59" customWidth="1"/>
    <col min="22" max="256" width="9.140625" style="59"/>
    <col min="257" max="257" width="6.140625" style="59" customWidth="1"/>
    <col min="258" max="258" width="16.7109375" style="59" customWidth="1"/>
    <col min="259" max="260" width="9.85546875" style="59" bestFit="1" customWidth="1"/>
    <col min="261" max="261" width="9.140625" style="59" bestFit="1" customWidth="1"/>
    <col min="262" max="262" width="9.140625" style="59"/>
    <col min="263" max="263" width="9" style="59" customWidth="1"/>
    <col min="264" max="264" width="9.140625" style="59" bestFit="1" customWidth="1"/>
    <col min="265" max="265" width="9" style="59" customWidth="1"/>
    <col min="266" max="266" width="8.85546875" style="59" bestFit="1" customWidth="1"/>
    <col min="267" max="267" width="9.140625" style="59"/>
    <col min="268" max="268" width="8.85546875" style="59" bestFit="1" customWidth="1"/>
    <col min="269" max="269" width="9" style="59" bestFit="1" customWidth="1"/>
    <col min="270" max="270" width="9" style="59" customWidth="1"/>
    <col min="271" max="271" width="8.85546875" style="59" bestFit="1" customWidth="1"/>
    <col min="272" max="274" width="9.140625" style="59"/>
    <col min="275" max="275" width="24.140625" style="59" bestFit="1" customWidth="1"/>
    <col min="276" max="276" width="10.42578125" style="59" customWidth="1"/>
    <col min="277" max="277" width="10.28515625" style="59" customWidth="1"/>
    <col min="278" max="512" width="9.140625" style="59"/>
    <col min="513" max="513" width="6.140625" style="59" customWidth="1"/>
    <col min="514" max="514" width="16.7109375" style="59" customWidth="1"/>
    <col min="515" max="516" width="9.85546875" style="59" bestFit="1" customWidth="1"/>
    <col min="517" max="517" width="9.140625" style="59" bestFit="1" customWidth="1"/>
    <col min="518" max="518" width="9.140625" style="59"/>
    <col min="519" max="519" width="9" style="59" customWidth="1"/>
    <col min="520" max="520" width="9.140625" style="59" bestFit="1" customWidth="1"/>
    <col min="521" max="521" width="9" style="59" customWidth="1"/>
    <col min="522" max="522" width="8.85546875" style="59" bestFit="1" customWidth="1"/>
    <col min="523" max="523" width="9.140625" style="59"/>
    <col min="524" max="524" width="8.85546875" style="59" bestFit="1" customWidth="1"/>
    <col min="525" max="525" width="9" style="59" bestFit="1" customWidth="1"/>
    <col min="526" max="526" width="9" style="59" customWidth="1"/>
    <col min="527" max="527" width="8.85546875" style="59" bestFit="1" customWidth="1"/>
    <col min="528" max="530" width="9.140625" style="59"/>
    <col min="531" max="531" width="24.140625" style="59" bestFit="1" customWidth="1"/>
    <col min="532" max="532" width="10.42578125" style="59" customWidth="1"/>
    <col min="533" max="533" width="10.28515625" style="59" customWidth="1"/>
    <col min="534" max="768" width="9.140625" style="59"/>
    <col min="769" max="769" width="6.140625" style="59" customWidth="1"/>
    <col min="770" max="770" width="16.7109375" style="59" customWidth="1"/>
    <col min="771" max="772" width="9.85546875" style="59" bestFit="1" customWidth="1"/>
    <col min="773" max="773" width="9.140625" style="59" bestFit="1" customWidth="1"/>
    <col min="774" max="774" width="9.140625" style="59"/>
    <col min="775" max="775" width="9" style="59" customWidth="1"/>
    <col min="776" max="776" width="9.140625" style="59" bestFit="1" customWidth="1"/>
    <col min="777" max="777" width="9" style="59" customWidth="1"/>
    <col min="778" max="778" width="8.85546875" style="59" bestFit="1" customWidth="1"/>
    <col min="779" max="779" width="9.140625" style="59"/>
    <col min="780" max="780" width="8.85546875" style="59" bestFit="1" customWidth="1"/>
    <col min="781" max="781" width="9" style="59" bestFit="1" customWidth="1"/>
    <col min="782" max="782" width="9" style="59" customWidth="1"/>
    <col min="783" max="783" width="8.85546875" style="59" bestFit="1" customWidth="1"/>
    <col min="784" max="786" width="9.140625" style="59"/>
    <col min="787" max="787" width="24.140625" style="59" bestFit="1" customWidth="1"/>
    <col min="788" max="788" width="10.42578125" style="59" customWidth="1"/>
    <col min="789" max="789" width="10.28515625" style="59" customWidth="1"/>
    <col min="790" max="1024" width="9.140625" style="59"/>
    <col min="1025" max="1025" width="6.140625" style="59" customWidth="1"/>
    <col min="1026" max="1026" width="16.7109375" style="59" customWidth="1"/>
    <col min="1027" max="1028" width="9.85546875" style="59" bestFit="1" customWidth="1"/>
    <col min="1029" max="1029" width="9.140625" style="59" bestFit="1" customWidth="1"/>
    <col min="1030" max="1030" width="9.140625" style="59"/>
    <col min="1031" max="1031" width="9" style="59" customWidth="1"/>
    <col min="1032" max="1032" width="9.140625" style="59" bestFit="1" customWidth="1"/>
    <col min="1033" max="1033" width="9" style="59" customWidth="1"/>
    <col min="1034" max="1034" width="8.85546875" style="59" bestFit="1" customWidth="1"/>
    <col min="1035" max="1035" width="9.140625" style="59"/>
    <col min="1036" max="1036" width="8.85546875" style="59" bestFit="1" customWidth="1"/>
    <col min="1037" max="1037" width="9" style="59" bestFit="1" customWidth="1"/>
    <col min="1038" max="1038" width="9" style="59" customWidth="1"/>
    <col min="1039" max="1039" width="8.85546875" style="59" bestFit="1" customWidth="1"/>
    <col min="1040" max="1042" width="9.140625" style="59"/>
    <col min="1043" max="1043" width="24.140625" style="59" bestFit="1" customWidth="1"/>
    <col min="1044" max="1044" width="10.42578125" style="59" customWidth="1"/>
    <col min="1045" max="1045" width="10.28515625" style="59" customWidth="1"/>
    <col min="1046" max="1280" width="9.140625" style="59"/>
    <col min="1281" max="1281" width="6.140625" style="59" customWidth="1"/>
    <col min="1282" max="1282" width="16.7109375" style="59" customWidth="1"/>
    <col min="1283" max="1284" width="9.85546875" style="59" bestFit="1" customWidth="1"/>
    <col min="1285" max="1285" width="9.140625" style="59" bestFit="1" customWidth="1"/>
    <col min="1286" max="1286" width="9.140625" style="59"/>
    <col min="1287" max="1287" width="9" style="59" customWidth="1"/>
    <col min="1288" max="1288" width="9.140625" style="59" bestFit="1" customWidth="1"/>
    <col min="1289" max="1289" width="9" style="59" customWidth="1"/>
    <col min="1290" max="1290" width="8.85546875" style="59" bestFit="1" customWidth="1"/>
    <col min="1291" max="1291" width="9.140625" style="59"/>
    <col min="1292" max="1292" width="8.85546875" style="59" bestFit="1" customWidth="1"/>
    <col min="1293" max="1293" width="9" style="59" bestFit="1" customWidth="1"/>
    <col min="1294" max="1294" width="9" style="59" customWidth="1"/>
    <col min="1295" max="1295" width="8.85546875" style="59" bestFit="1" customWidth="1"/>
    <col min="1296" max="1298" width="9.140625" style="59"/>
    <col min="1299" max="1299" width="24.140625" style="59" bestFit="1" customWidth="1"/>
    <col min="1300" max="1300" width="10.42578125" style="59" customWidth="1"/>
    <col min="1301" max="1301" width="10.28515625" style="59" customWidth="1"/>
    <col min="1302" max="1536" width="9.140625" style="59"/>
    <col min="1537" max="1537" width="6.140625" style="59" customWidth="1"/>
    <col min="1538" max="1538" width="16.7109375" style="59" customWidth="1"/>
    <col min="1539" max="1540" width="9.85546875" style="59" bestFit="1" customWidth="1"/>
    <col min="1541" max="1541" width="9.140625" style="59" bestFit="1" customWidth="1"/>
    <col min="1542" max="1542" width="9.140625" style="59"/>
    <col min="1543" max="1543" width="9" style="59" customWidth="1"/>
    <col min="1544" max="1544" width="9.140625" style="59" bestFit="1" customWidth="1"/>
    <col min="1545" max="1545" width="9" style="59" customWidth="1"/>
    <col min="1546" max="1546" width="8.85546875" style="59" bestFit="1" customWidth="1"/>
    <col min="1547" max="1547" width="9.140625" style="59"/>
    <col min="1548" max="1548" width="8.85546875" style="59" bestFit="1" customWidth="1"/>
    <col min="1549" max="1549" width="9" style="59" bestFit="1" customWidth="1"/>
    <col min="1550" max="1550" width="9" style="59" customWidth="1"/>
    <col min="1551" max="1551" width="8.85546875" style="59" bestFit="1" customWidth="1"/>
    <col min="1552" max="1554" width="9.140625" style="59"/>
    <col min="1555" max="1555" width="24.140625" style="59" bestFit="1" customWidth="1"/>
    <col min="1556" max="1556" width="10.42578125" style="59" customWidth="1"/>
    <col min="1557" max="1557" width="10.28515625" style="59" customWidth="1"/>
    <col min="1558" max="1792" width="9.140625" style="59"/>
    <col min="1793" max="1793" width="6.140625" style="59" customWidth="1"/>
    <col min="1794" max="1794" width="16.7109375" style="59" customWidth="1"/>
    <col min="1795" max="1796" width="9.85546875" style="59" bestFit="1" customWidth="1"/>
    <col min="1797" max="1797" width="9.140625" style="59" bestFit="1" customWidth="1"/>
    <col min="1798" max="1798" width="9.140625" style="59"/>
    <col min="1799" max="1799" width="9" style="59" customWidth="1"/>
    <col min="1800" max="1800" width="9.140625" style="59" bestFit="1" customWidth="1"/>
    <col min="1801" max="1801" width="9" style="59" customWidth="1"/>
    <col min="1802" max="1802" width="8.85546875" style="59" bestFit="1" customWidth="1"/>
    <col min="1803" max="1803" width="9.140625" style="59"/>
    <col min="1804" max="1804" width="8.85546875" style="59" bestFit="1" customWidth="1"/>
    <col min="1805" max="1805" width="9" style="59" bestFit="1" customWidth="1"/>
    <col min="1806" max="1806" width="9" style="59" customWidth="1"/>
    <col min="1807" max="1807" width="8.85546875" style="59" bestFit="1" customWidth="1"/>
    <col min="1808" max="1810" width="9.140625" style="59"/>
    <col min="1811" max="1811" width="24.140625" style="59" bestFit="1" customWidth="1"/>
    <col min="1812" max="1812" width="10.42578125" style="59" customWidth="1"/>
    <col min="1813" max="1813" width="10.28515625" style="59" customWidth="1"/>
    <col min="1814" max="2048" width="9.140625" style="59"/>
    <col min="2049" max="2049" width="6.140625" style="59" customWidth="1"/>
    <col min="2050" max="2050" width="16.7109375" style="59" customWidth="1"/>
    <col min="2051" max="2052" width="9.85546875" style="59" bestFit="1" customWidth="1"/>
    <col min="2053" max="2053" width="9.140625" style="59" bestFit="1" customWidth="1"/>
    <col min="2054" max="2054" width="9.140625" style="59"/>
    <col min="2055" max="2055" width="9" style="59" customWidth="1"/>
    <col min="2056" max="2056" width="9.140625" style="59" bestFit="1" customWidth="1"/>
    <col min="2057" max="2057" width="9" style="59" customWidth="1"/>
    <col min="2058" max="2058" width="8.85546875" style="59" bestFit="1" customWidth="1"/>
    <col min="2059" max="2059" width="9.140625" style="59"/>
    <col min="2060" max="2060" width="8.85546875" style="59" bestFit="1" customWidth="1"/>
    <col min="2061" max="2061" width="9" style="59" bestFit="1" customWidth="1"/>
    <col min="2062" max="2062" width="9" style="59" customWidth="1"/>
    <col min="2063" max="2063" width="8.85546875" style="59" bestFit="1" customWidth="1"/>
    <col min="2064" max="2066" width="9.140625" style="59"/>
    <col min="2067" max="2067" width="24.140625" style="59" bestFit="1" customWidth="1"/>
    <col min="2068" max="2068" width="10.42578125" style="59" customWidth="1"/>
    <col min="2069" max="2069" width="10.28515625" style="59" customWidth="1"/>
    <col min="2070" max="2304" width="9.140625" style="59"/>
    <col min="2305" max="2305" width="6.140625" style="59" customWidth="1"/>
    <col min="2306" max="2306" width="16.7109375" style="59" customWidth="1"/>
    <col min="2307" max="2308" width="9.85546875" style="59" bestFit="1" customWidth="1"/>
    <col min="2309" max="2309" width="9.140625" style="59" bestFit="1" customWidth="1"/>
    <col min="2310" max="2310" width="9.140625" style="59"/>
    <col min="2311" max="2311" width="9" style="59" customWidth="1"/>
    <col min="2312" max="2312" width="9.140625" style="59" bestFit="1" customWidth="1"/>
    <col min="2313" max="2313" width="9" style="59" customWidth="1"/>
    <col min="2314" max="2314" width="8.85546875" style="59" bestFit="1" customWidth="1"/>
    <col min="2315" max="2315" width="9.140625" style="59"/>
    <col min="2316" max="2316" width="8.85546875" style="59" bestFit="1" customWidth="1"/>
    <col min="2317" max="2317" width="9" style="59" bestFit="1" customWidth="1"/>
    <col min="2318" max="2318" width="9" style="59" customWidth="1"/>
    <col min="2319" max="2319" width="8.85546875" style="59" bestFit="1" customWidth="1"/>
    <col min="2320" max="2322" width="9.140625" style="59"/>
    <col min="2323" max="2323" width="24.140625" style="59" bestFit="1" customWidth="1"/>
    <col min="2324" max="2324" width="10.42578125" style="59" customWidth="1"/>
    <col min="2325" max="2325" width="10.28515625" style="59" customWidth="1"/>
    <col min="2326" max="2560" width="9.140625" style="59"/>
    <col min="2561" max="2561" width="6.140625" style="59" customWidth="1"/>
    <col min="2562" max="2562" width="16.7109375" style="59" customWidth="1"/>
    <col min="2563" max="2564" width="9.85546875" style="59" bestFit="1" customWidth="1"/>
    <col min="2565" max="2565" width="9.140625" style="59" bestFit="1" customWidth="1"/>
    <col min="2566" max="2566" width="9.140625" style="59"/>
    <col min="2567" max="2567" width="9" style="59" customWidth="1"/>
    <col min="2568" max="2568" width="9.140625" style="59" bestFit="1" customWidth="1"/>
    <col min="2569" max="2569" width="9" style="59" customWidth="1"/>
    <col min="2570" max="2570" width="8.85546875" style="59" bestFit="1" customWidth="1"/>
    <col min="2571" max="2571" width="9.140625" style="59"/>
    <col min="2572" max="2572" width="8.85546875" style="59" bestFit="1" customWidth="1"/>
    <col min="2573" max="2573" width="9" style="59" bestFit="1" customWidth="1"/>
    <col min="2574" max="2574" width="9" style="59" customWidth="1"/>
    <col min="2575" max="2575" width="8.85546875" style="59" bestFit="1" customWidth="1"/>
    <col min="2576" max="2578" width="9.140625" style="59"/>
    <col min="2579" max="2579" width="24.140625" style="59" bestFit="1" customWidth="1"/>
    <col min="2580" max="2580" width="10.42578125" style="59" customWidth="1"/>
    <col min="2581" max="2581" width="10.28515625" style="59" customWidth="1"/>
    <col min="2582" max="2816" width="9.140625" style="59"/>
    <col min="2817" max="2817" width="6.140625" style="59" customWidth="1"/>
    <col min="2818" max="2818" width="16.7109375" style="59" customWidth="1"/>
    <col min="2819" max="2820" width="9.85546875" style="59" bestFit="1" customWidth="1"/>
    <col min="2821" max="2821" width="9.140625" style="59" bestFit="1" customWidth="1"/>
    <col min="2822" max="2822" width="9.140625" style="59"/>
    <col min="2823" max="2823" width="9" style="59" customWidth="1"/>
    <col min="2824" max="2824" width="9.140625" style="59" bestFit="1" customWidth="1"/>
    <col min="2825" max="2825" width="9" style="59" customWidth="1"/>
    <col min="2826" max="2826" width="8.85546875" style="59" bestFit="1" customWidth="1"/>
    <col min="2827" max="2827" width="9.140625" style="59"/>
    <col min="2828" max="2828" width="8.85546875" style="59" bestFit="1" customWidth="1"/>
    <col min="2829" max="2829" width="9" style="59" bestFit="1" customWidth="1"/>
    <col min="2830" max="2830" width="9" style="59" customWidth="1"/>
    <col min="2831" max="2831" width="8.85546875" style="59" bestFit="1" customWidth="1"/>
    <col min="2832" max="2834" width="9.140625" style="59"/>
    <col min="2835" max="2835" width="24.140625" style="59" bestFit="1" customWidth="1"/>
    <col min="2836" max="2836" width="10.42578125" style="59" customWidth="1"/>
    <col min="2837" max="2837" width="10.28515625" style="59" customWidth="1"/>
    <col min="2838" max="3072" width="9.140625" style="59"/>
    <col min="3073" max="3073" width="6.140625" style="59" customWidth="1"/>
    <col min="3074" max="3074" width="16.7109375" style="59" customWidth="1"/>
    <col min="3075" max="3076" width="9.85546875" style="59" bestFit="1" customWidth="1"/>
    <col min="3077" max="3077" width="9.140625" style="59" bestFit="1" customWidth="1"/>
    <col min="3078" max="3078" width="9.140625" style="59"/>
    <col min="3079" max="3079" width="9" style="59" customWidth="1"/>
    <col min="3080" max="3080" width="9.140625" style="59" bestFit="1" customWidth="1"/>
    <col min="3081" max="3081" width="9" style="59" customWidth="1"/>
    <col min="3082" max="3082" width="8.85546875" style="59" bestFit="1" customWidth="1"/>
    <col min="3083" max="3083" width="9.140625" style="59"/>
    <col min="3084" max="3084" width="8.85546875" style="59" bestFit="1" customWidth="1"/>
    <col min="3085" max="3085" width="9" style="59" bestFit="1" customWidth="1"/>
    <col min="3086" max="3086" width="9" style="59" customWidth="1"/>
    <col min="3087" max="3087" width="8.85546875" style="59" bestFit="1" customWidth="1"/>
    <col min="3088" max="3090" width="9.140625" style="59"/>
    <col min="3091" max="3091" width="24.140625" style="59" bestFit="1" customWidth="1"/>
    <col min="3092" max="3092" width="10.42578125" style="59" customWidth="1"/>
    <col min="3093" max="3093" width="10.28515625" style="59" customWidth="1"/>
    <col min="3094" max="3328" width="9.140625" style="59"/>
    <col min="3329" max="3329" width="6.140625" style="59" customWidth="1"/>
    <col min="3330" max="3330" width="16.7109375" style="59" customWidth="1"/>
    <col min="3331" max="3332" width="9.85546875" style="59" bestFit="1" customWidth="1"/>
    <col min="3333" max="3333" width="9.140625" style="59" bestFit="1" customWidth="1"/>
    <col min="3334" max="3334" width="9.140625" style="59"/>
    <col min="3335" max="3335" width="9" style="59" customWidth="1"/>
    <col min="3336" max="3336" width="9.140625" style="59" bestFit="1" customWidth="1"/>
    <col min="3337" max="3337" width="9" style="59" customWidth="1"/>
    <col min="3338" max="3338" width="8.85546875" style="59" bestFit="1" customWidth="1"/>
    <col min="3339" max="3339" width="9.140625" style="59"/>
    <col min="3340" max="3340" width="8.85546875" style="59" bestFit="1" customWidth="1"/>
    <col min="3341" max="3341" width="9" style="59" bestFit="1" customWidth="1"/>
    <col min="3342" max="3342" width="9" style="59" customWidth="1"/>
    <col min="3343" max="3343" width="8.85546875" style="59" bestFit="1" customWidth="1"/>
    <col min="3344" max="3346" width="9.140625" style="59"/>
    <col min="3347" max="3347" width="24.140625" style="59" bestFit="1" customWidth="1"/>
    <col min="3348" max="3348" width="10.42578125" style="59" customWidth="1"/>
    <col min="3349" max="3349" width="10.28515625" style="59" customWidth="1"/>
    <col min="3350" max="3584" width="9.140625" style="59"/>
    <col min="3585" max="3585" width="6.140625" style="59" customWidth="1"/>
    <col min="3586" max="3586" width="16.7109375" style="59" customWidth="1"/>
    <col min="3587" max="3588" width="9.85546875" style="59" bestFit="1" customWidth="1"/>
    <col min="3589" max="3589" width="9.140625" style="59" bestFit="1" customWidth="1"/>
    <col min="3590" max="3590" width="9.140625" style="59"/>
    <col min="3591" max="3591" width="9" style="59" customWidth="1"/>
    <col min="3592" max="3592" width="9.140625" style="59" bestFit="1" customWidth="1"/>
    <col min="3593" max="3593" width="9" style="59" customWidth="1"/>
    <col min="3594" max="3594" width="8.85546875" style="59" bestFit="1" customWidth="1"/>
    <col min="3595" max="3595" width="9.140625" style="59"/>
    <col min="3596" max="3596" width="8.85546875" style="59" bestFit="1" customWidth="1"/>
    <col min="3597" max="3597" width="9" style="59" bestFit="1" customWidth="1"/>
    <col min="3598" max="3598" width="9" style="59" customWidth="1"/>
    <col min="3599" max="3599" width="8.85546875" style="59" bestFit="1" customWidth="1"/>
    <col min="3600" max="3602" width="9.140625" style="59"/>
    <col min="3603" max="3603" width="24.140625" style="59" bestFit="1" customWidth="1"/>
    <col min="3604" max="3604" width="10.42578125" style="59" customWidth="1"/>
    <col min="3605" max="3605" width="10.28515625" style="59" customWidth="1"/>
    <col min="3606" max="3840" width="9.140625" style="59"/>
    <col min="3841" max="3841" width="6.140625" style="59" customWidth="1"/>
    <col min="3842" max="3842" width="16.7109375" style="59" customWidth="1"/>
    <col min="3843" max="3844" width="9.85546875" style="59" bestFit="1" customWidth="1"/>
    <col min="3845" max="3845" width="9.140625" style="59" bestFit="1" customWidth="1"/>
    <col min="3846" max="3846" width="9.140625" style="59"/>
    <col min="3847" max="3847" width="9" style="59" customWidth="1"/>
    <col min="3848" max="3848" width="9.140625" style="59" bestFit="1" customWidth="1"/>
    <col min="3849" max="3849" width="9" style="59" customWidth="1"/>
    <col min="3850" max="3850" width="8.85546875" style="59" bestFit="1" customWidth="1"/>
    <col min="3851" max="3851" width="9.140625" style="59"/>
    <col min="3852" max="3852" width="8.85546875" style="59" bestFit="1" customWidth="1"/>
    <col min="3853" max="3853" width="9" style="59" bestFit="1" customWidth="1"/>
    <col min="3854" max="3854" width="9" style="59" customWidth="1"/>
    <col min="3855" max="3855" width="8.85546875" style="59" bestFit="1" customWidth="1"/>
    <col min="3856" max="3858" width="9.140625" style="59"/>
    <col min="3859" max="3859" width="24.140625" style="59" bestFit="1" customWidth="1"/>
    <col min="3860" max="3860" width="10.42578125" style="59" customWidth="1"/>
    <col min="3861" max="3861" width="10.28515625" style="59" customWidth="1"/>
    <col min="3862" max="4096" width="9.140625" style="59"/>
    <col min="4097" max="4097" width="6.140625" style="59" customWidth="1"/>
    <col min="4098" max="4098" width="16.7109375" style="59" customWidth="1"/>
    <col min="4099" max="4100" width="9.85546875" style="59" bestFit="1" customWidth="1"/>
    <col min="4101" max="4101" width="9.140625" style="59" bestFit="1" customWidth="1"/>
    <col min="4102" max="4102" width="9.140625" style="59"/>
    <col min="4103" max="4103" width="9" style="59" customWidth="1"/>
    <col min="4104" max="4104" width="9.140625" style="59" bestFit="1" customWidth="1"/>
    <col min="4105" max="4105" width="9" style="59" customWidth="1"/>
    <col min="4106" max="4106" width="8.85546875" style="59" bestFit="1" customWidth="1"/>
    <col min="4107" max="4107" width="9.140625" style="59"/>
    <col min="4108" max="4108" width="8.85546875" style="59" bestFit="1" customWidth="1"/>
    <col min="4109" max="4109" width="9" style="59" bestFit="1" customWidth="1"/>
    <col min="4110" max="4110" width="9" style="59" customWidth="1"/>
    <col min="4111" max="4111" width="8.85546875" style="59" bestFit="1" customWidth="1"/>
    <col min="4112" max="4114" width="9.140625" style="59"/>
    <col min="4115" max="4115" width="24.140625" style="59" bestFit="1" customWidth="1"/>
    <col min="4116" max="4116" width="10.42578125" style="59" customWidth="1"/>
    <col min="4117" max="4117" width="10.28515625" style="59" customWidth="1"/>
    <col min="4118" max="4352" width="9.140625" style="59"/>
    <col min="4353" max="4353" width="6.140625" style="59" customWidth="1"/>
    <col min="4354" max="4354" width="16.7109375" style="59" customWidth="1"/>
    <col min="4355" max="4356" width="9.85546875" style="59" bestFit="1" customWidth="1"/>
    <col min="4357" max="4357" width="9.140625" style="59" bestFit="1" customWidth="1"/>
    <col min="4358" max="4358" width="9.140625" style="59"/>
    <col min="4359" max="4359" width="9" style="59" customWidth="1"/>
    <col min="4360" max="4360" width="9.140625" style="59" bestFit="1" customWidth="1"/>
    <col min="4361" max="4361" width="9" style="59" customWidth="1"/>
    <col min="4362" max="4362" width="8.85546875" style="59" bestFit="1" customWidth="1"/>
    <col min="4363" max="4363" width="9.140625" style="59"/>
    <col min="4364" max="4364" width="8.85546875" style="59" bestFit="1" customWidth="1"/>
    <col min="4365" max="4365" width="9" style="59" bestFit="1" customWidth="1"/>
    <col min="4366" max="4366" width="9" style="59" customWidth="1"/>
    <col min="4367" max="4367" width="8.85546875" style="59" bestFit="1" customWidth="1"/>
    <col min="4368" max="4370" width="9.140625" style="59"/>
    <col min="4371" max="4371" width="24.140625" style="59" bestFit="1" customWidth="1"/>
    <col min="4372" max="4372" width="10.42578125" style="59" customWidth="1"/>
    <col min="4373" max="4373" width="10.28515625" style="59" customWidth="1"/>
    <col min="4374" max="4608" width="9.140625" style="59"/>
    <col min="4609" max="4609" width="6.140625" style="59" customWidth="1"/>
    <col min="4610" max="4610" width="16.7109375" style="59" customWidth="1"/>
    <col min="4611" max="4612" width="9.85546875" style="59" bestFit="1" customWidth="1"/>
    <col min="4613" max="4613" width="9.140625" style="59" bestFit="1" customWidth="1"/>
    <col min="4614" max="4614" width="9.140625" style="59"/>
    <col min="4615" max="4615" width="9" style="59" customWidth="1"/>
    <col min="4616" max="4616" width="9.140625" style="59" bestFit="1" customWidth="1"/>
    <col min="4617" max="4617" width="9" style="59" customWidth="1"/>
    <col min="4618" max="4618" width="8.85546875" style="59" bestFit="1" customWidth="1"/>
    <col min="4619" max="4619" width="9.140625" style="59"/>
    <col min="4620" max="4620" width="8.85546875" style="59" bestFit="1" customWidth="1"/>
    <col min="4621" max="4621" width="9" style="59" bestFit="1" customWidth="1"/>
    <col min="4622" max="4622" width="9" style="59" customWidth="1"/>
    <col min="4623" max="4623" width="8.85546875" style="59" bestFit="1" customWidth="1"/>
    <col min="4624" max="4626" width="9.140625" style="59"/>
    <col min="4627" max="4627" width="24.140625" style="59" bestFit="1" customWidth="1"/>
    <col min="4628" max="4628" width="10.42578125" style="59" customWidth="1"/>
    <col min="4629" max="4629" width="10.28515625" style="59" customWidth="1"/>
    <col min="4630" max="4864" width="9.140625" style="59"/>
    <col min="4865" max="4865" width="6.140625" style="59" customWidth="1"/>
    <col min="4866" max="4866" width="16.7109375" style="59" customWidth="1"/>
    <col min="4867" max="4868" width="9.85546875" style="59" bestFit="1" customWidth="1"/>
    <col min="4869" max="4869" width="9.140625" style="59" bestFit="1" customWidth="1"/>
    <col min="4870" max="4870" width="9.140625" style="59"/>
    <col min="4871" max="4871" width="9" style="59" customWidth="1"/>
    <col min="4872" max="4872" width="9.140625" style="59" bestFit="1" customWidth="1"/>
    <col min="4873" max="4873" width="9" style="59" customWidth="1"/>
    <col min="4874" max="4874" width="8.85546875" style="59" bestFit="1" customWidth="1"/>
    <col min="4875" max="4875" width="9.140625" style="59"/>
    <col min="4876" max="4876" width="8.85546875" style="59" bestFit="1" customWidth="1"/>
    <col min="4877" max="4877" width="9" style="59" bestFit="1" customWidth="1"/>
    <col min="4878" max="4878" width="9" style="59" customWidth="1"/>
    <col min="4879" max="4879" width="8.85546875" style="59" bestFit="1" customWidth="1"/>
    <col min="4880" max="4882" width="9.140625" style="59"/>
    <col min="4883" max="4883" width="24.140625" style="59" bestFit="1" customWidth="1"/>
    <col min="4884" max="4884" width="10.42578125" style="59" customWidth="1"/>
    <col min="4885" max="4885" width="10.28515625" style="59" customWidth="1"/>
    <col min="4886" max="5120" width="9.140625" style="59"/>
    <col min="5121" max="5121" width="6.140625" style="59" customWidth="1"/>
    <col min="5122" max="5122" width="16.7109375" style="59" customWidth="1"/>
    <col min="5123" max="5124" width="9.85546875" style="59" bestFit="1" customWidth="1"/>
    <col min="5125" max="5125" width="9.140625" style="59" bestFit="1" customWidth="1"/>
    <col min="5126" max="5126" width="9.140625" style="59"/>
    <col min="5127" max="5127" width="9" style="59" customWidth="1"/>
    <col min="5128" max="5128" width="9.140625" style="59" bestFit="1" customWidth="1"/>
    <col min="5129" max="5129" width="9" style="59" customWidth="1"/>
    <col min="5130" max="5130" width="8.85546875" style="59" bestFit="1" customWidth="1"/>
    <col min="5131" max="5131" width="9.140625" style="59"/>
    <col min="5132" max="5132" width="8.85546875" style="59" bestFit="1" customWidth="1"/>
    <col min="5133" max="5133" width="9" style="59" bestFit="1" customWidth="1"/>
    <col min="5134" max="5134" width="9" style="59" customWidth="1"/>
    <col min="5135" max="5135" width="8.85546875" style="59" bestFit="1" customWidth="1"/>
    <col min="5136" max="5138" width="9.140625" style="59"/>
    <col min="5139" max="5139" width="24.140625" style="59" bestFit="1" customWidth="1"/>
    <col min="5140" max="5140" width="10.42578125" style="59" customWidth="1"/>
    <col min="5141" max="5141" width="10.28515625" style="59" customWidth="1"/>
    <col min="5142" max="5376" width="9.140625" style="59"/>
    <col min="5377" max="5377" width="6.140625" style="59" customWidth="1"/>
    <col min="5378" max="5378" width="16.7109375" style="59" customWidth="1"/>
    <col min="5379" max="5380" width="9.85546875" style="59" bestFit="1" customWidth="1"/>
    <col min="5381" max="5381" width="9.140625" style="59" bestFit="1" customWidth="1"/>
    <col min="5382" max="5382" width="9.140625" style="59"/>
    <col min="5383" max="5383" width="9" style="59" customWidth="1"/>
    <col min="5384" max="5384" width="9.140625" style="59" bestFit="1" customWidth="1"/>
    <col min="5385" max="5385" width="9" style="59" customWidth="1"/>
    <col min="5386" max="5386" width="8.85546875" style="59" bestFit="1" customWidth="1"/>
    <col min="5387" max="5387" width="9.140625" style="59"/>
    <col min="5388" max="5388" width="8.85546875" style="59" bestFit="1" customWidth="1"/>
    <col min="5389" max="5389" width="9" style="59" bestFit="1" customWidth="1"/>
    <col min="5390" max="5390" width="9" style="59" customWidth="1"/>
    <col min="5391" max="5391" width="8.85546875" style="59" bestFit="1" customWidth="1"/>
    <col min="5392" max="5394" width="9.140625" style="59"/>
    <col min="5395" max="5395" width="24.140625" style="59" bestFit="1" customWidth="1"/>
    <col min="5396" max="5396" width="10.42578125" style="59" customWidth="1"/>
    <col min="5397" max="5397" width="10.28515625" style="59" customWidth="1"/>
    <col min="5398" max="5632" width="9.140625" style="59"/>
    <col min="5633" max="5633" width="6.140625" style="59" customWidth="1"/>
    <col min="5634" max="5634" width="16.7109375" style="59" customWidth="1"/>
    <col min="5635" max="5636" width="9.85546875" style="59" bestFit="1" customWidth="1"/>
    <col min="5637" max="5637" width="9.140625" style="59" bestFit="1" customWidth="1"/>
    <col min="5638" max="5638" width="9.140625" style="59"/>
    <col min="5639" max="5639" width="9" style="59" customWidth="1"/>
    <col min="5640" max="5640" width="9.140625" style="59" bestFit="1" customWidth="1"/>
    <col min="5641" max="5641" width="9" style="59" customWidth="1"/>
    <col min="5642" max="5642" width="8.85546875" style="59" bestFit="1" customWidth="1"/>
    <col min="5643" max="5643" width="9.140625" style="59"/>
    <col min="5644" max="5644" width="8.85546875" style="59" bestFit="1" customWidth="1"/>
    <col min="5645" max="5645" width="9" style="59" bestFit="1" customWidth="1"/>
    <col min="5646" max="5646" width="9" style="59" customWidth="1"/>
    <col min="5647" max="5647" width="8.85546875" style="59" bestFit="1" customWidth="1"/>
    <col min="5648" max="5650" width="9.140625" style="59"/>
    <col min="5651" max="5651" width="24.140625" style="59" bestFit="1" customWidth="1"/>
    <col min="5652" max="5652" width="10.42578125" style="59" customWidth="1"/>
    <col min="5653" max="5653" width="10.28515625" style="59" customWidth="1"/>
    <col min="5654" max="5888" width="9.140625" style="59"/>
    <col min="5889" max="5889" width="6.140625" style="59" customWidth="1"/>
    <col min="5890" max="5890" width="16.7109375" style="59" customWidth="1"/>
    <col min="5891" max="5892" width="9.85546875" style="59" bestFit="1" customWidth="1"/>
    <col min="5893" max="5893" width="9.140625" style="59" bestFit="1" customWidth="1"/>
    <col min="5894" max="5894" width="9.140625" style="59"/>
    <col min="5895" max="5895" width="9" style="59" customWidth="1"/>
    <col min="5896" max="5896" width="9.140625" style="59" bestFit="1" customWidth="1"/>
    <col min="5897" max="5897" width="9" style="59" customWidth="1"/>
    <col min="5898" max="5898" width="8.85546875" style="59" bestFit="1" customWidth="1"/>
    <col min="5899" max="5899" width="9.140625" style="59"/>
    <col min="5900" max="5900" width="8.85546875" style="59" bestFit="1" customWidth="1"/>
    <col min="5901" max="5901" width="9" style="59" bestFit="1" customWidth="1"/>
    <col min="5902" max="5902" width="9" style="59" customWidth="1"/>
    <col min="5903" max="5903" width="8.85546875" style="59" bestFit="1" customWidth="1"/>
    <col min="5904" max="5906" width="9.140625" style="59"/>
    <col min="5907" max="5907" width="24.140625" style="59" bestFit="1" customWidth="1"/>
    <col min="5908" max="5908" width="10.42578125" style="59" customWidth="1"/>
    <col min="5909" max="5909" width="10.28515625" style="59" customWidth="1"/>
    <col min="5910" max="6144" width="9.140625" style="59"/>
    <col min="6145" max="6145" width="6.140625" style="59" customWidth="1"/>
    <col min="6146" max="6146" width="16.7109375" style="59" customWidth="1"/>
    <col min="6147" max="6148" width="9.85546875" style="59" bestFit="1" customWidth="1"/>
    <col min="6149" max="6149" width="9.140625" style="59" bestFit="1" customWidth="1"/>
    <col min="6150" max="6150" width="9.140625" style="59"/>
    <col min="6151" max="6151" width="9" style="59" customWidth="1"/>
    <col min="6152" max="6152" width="9.140625" style="59" bestFit="1" customWidth="1"/>
    <col min="6153" max="6153" width="9" style="59" customWidth="1"/>
    <col min="6154" max="6154" width="8.85546875" style="59" bestFit="1" customWidth="1"/>
    <col min="6155" max="6155" width="9.140625" style="59"/>
    <col min="6156" max="6156" width="8.85546875" style="59" bestFit="1" customWidth="1"/>
    <col min="6157" max="6157" width="9" style="59" bestFit="1" customWidth="1"/>
    <col min="6158" max="6158" width="9" style="59" customWidth="1"/>
    <col min="6159" max="6159" width="8.85546875" style="59" bestFit="1" customWidth="1"/>
    <col min="6160" max="6162" width="9.140625" style="59"/>
    <col min="6163" max="6163" width="24.140625" style="59" bestFit="1" customWidth="1"/>
    <col min="6164" max="6164" width="10.42578125" style="59" customWidth="1"/>
    <col min="6165" max="6165" width="10.28515625" style="59" customWidth="1"/>
    <col min="6166" max="6400" width="9.140625" style="59"/>
    <col min="6401" max="6401" width="6.140625" style="59" customWidth="1"/>
    <col min="6402" max="6402" width="16.7109375" style="59" customWidth="1"/>
    <col min="6403" max="6404" width="9.85546875" style="59" bestFit="1" customWidth="1"/>
    <col min="6405" max="6405" width="9.140625" style="59" bestFit="1" customWidth="1"/>
    <col min="6406" max="6406" width="9.140625" style="59"/>
    <col min="6407" max="6407" width="9" style="59" customWidth="1"/>
    <col min="6408" max="6408" width="9.140625" style="59" bestFit="1" customWidth="1"/>
    <col min="6409" max="6409" width="9" style="59" customWidth="1"/>
    <col min="6410" max="6410" width="8.85546875" style="59" bestFit="1" customWidth="1"/>
    <col min="6411" max="6411" width="9.140625" style="59"/>
    <col min="6412" max="6412" width="8.85546875" style="59" bestFit="1" customWidth="1"/>
    <col min="6413" max="6413" width="9" style="59" bestFit="1" customWidth="1"/>
    <col min="6414" max="6414" width="9" style="59" customWidth="1"/>
    <col min="6415" max="6415" width="8.85546875" style="59" bestFit="1" customWidth="1"/>
    <col min="6416" max="6418" width="9.140625" style="59"/>
    <col min="6419" max="6419" width="24.140625" style="59" bestFit="1" customWidth="1"/>
    <col min="6420" max="6420" width="10.42578125" style="59" customWidth="1"/>
    <col min="6421" max="6421" width="10.28515625" style="59" customWidth="1"/>
    <col min="6422" max="6656" width="9.140625" style="59"/>
    <col min="6657" max="6657" width="6.140625" style="59" customWidth="1"/>
    <col min="6658" max="6658" width="16.7109375" style="59" customWidth="1"/>
    <col min="6659" max="6660" width="9.85546875" style="59" bestFit="1" customWidth="1"/>
    <col min="6661" max="6661" width="9.140625" style="59" bestFit="1" customWidth="1"/>
    <col min="6662" max="6662" width="9.140625" style="59"/>
    <col min="6663" max="6663" width="9" style="59" customWidth="1"/>
    <col min="6664" max="6664" width="9.140625" style="59" bestFit="1" customWidth="1"/>
    <col min="6665" max="6665" width="9" style="59" customWidth="1"/>
    <col min="6666" max="6666" width="8.85546875" style="59" bestFit="1" customWidth="1"/>
    <col min="6667" max="6667" width="9.140625" style="59"/>
    <col min="6668" max="6668" width="8.85546875" style="59" bestFit="1" customWidth="1"/>
    <col min="6669" max="6669" width="9" style="59" bestFit="1" customWidth="1"/>
    <col min="6670" max="6670" width="9" style="59" customWidth="1"/>
    <col min="6671" max="6671" width="8.85546875" style="59" bestFit="1" customWidth="1"/>
    <col min="6672" max="6674" width="9.140625" style="59"/>
    <col min="6675" max="6675" width="24.140625" style="59" bestFit="1" customWidth="1"/>
    <col min="6676" max="6676" width="10.42578125" style="59" customWidth="1"/>
    <col min="6677" max="6677" width="10.28515625" style="59" customWidth="1"/>
    <col min="6678" max="6912" width="9.140625" style="59"/>
    <col min="6913" max="6913" width="6.140625" style="59" customWidth="1"/>
    <col min="6914" max="6914" width="16.7109375" style="59" customWidth="1"/>
    <col min="6915" max="6916" width="9.85546875" style="59" bestFit="1" customWidth="1"/>
    <col min="6917" max="6917" width="9.140625" style="59" bestFit="1" customWidth="1"/>
    <col min="6918" max="6918" width="9.140625" style="59"/>
    <col min="6919" max="6919" width="9" style="59" customWidth="1"/>
    <col min="6920" max="6920" width="9.140625" style="59" bestFit="1" customWidth="1"/>
    <col min="6921" max="6921" width="9" style="59" customWidth="1"/>
    <col min="6922" max="6922" width="8.85546875" style="59" bestFit="1" customWidth="1"/>
    <col min="6923" max="6923" width="9.140625" style="59"/>
    <col min="6924" max="6924" width="8.85546875" style="59" bestFit="1" customWidth="1"/>
    <col min="6925" max="6925" width="9" style="59" bestFit="1" customWidth="1"/>
    <col min="6926" max="6926" width="9" style="59" customWidth="1"/>
    <col min="6927" max="6927" width="8.85546875" style="59" bestFit="1" customWidth="1"/>
    <col min="6928" max="6930" width="9.140625" style="59"/>
    <col min="6931" max="6931" width="24.140625" style="59" bestFit="1" customWidth="1"/>
    <col min="6932" max="6932" width="10.42578125" style="59" customWidth="1"/>
    <col min="6933" max="6933" width="10.28515625" style="59" customWidth="1"/>
    <col min="6934" max="7168" width="9.140625" style="59"/>
    <col min="7169" max="7169" width="6.140625" style="59" customWidth="1"/>
    <col min="7170" max="7170" width="16.7109375" style="59" customWidth="1"/>
    <col min="7171" max="7172" width="9.85546875" style="59" bestFit="1" customWidth="1"/>
    <col min="7173" max="7173" width="9.140625" style="59" bestFit="1" customWidth="1"/>
    <col min="7174" max="7174" width="9.140625" style="59"/>
    <col min="7175" max="7175" width="9" style="59" customWidth="1"/>
    <col min="7176" max="7176" width="9.140625" style="59" bestFit="1" customWidth="1"/>
    <col min="7177" max="7177" width="9" style="59" customWidth="1"/>
    <col min="7178" max="7178" width="8.85546875" style="59" bestFit="1" customWidth="1"/>
    <col min="7179" max="7179" width="9.140625" style="59"/>
    <col min="7180" max="7180" width="8.85546875" style="59" bestFit="1" customWidth="1"/>
    <col min="7181" max="7181" width="9" style="59" bestFit="1" customWidth="1"/>
    <col min="7182" max="7182" width="9" style="59" customWidth="1"/>
    <col min="7183" max="7183" width="8.85546875" style="59" bestFit="1" customWidth="1"/>
    <col min="7184" max="7186" width="9.140625" style="59"/>
    <col min="7187" max="7187" width="24.140625" style="59" bestFit="1" customWidth="1"/>
    <col min="7188" max="7188" width="10.42578125" style="59" customWidth="1"/>
    <col min="7189" max="7189" width="10.28515625" style="59" customWidth="1"/>
    <col min="7190" max="7424" width="9.140625" style="59"/>
    <col min="7425" max="7425" width="6.140625" style="59" customWidth="1"/>
    <col min="7426" max="7426" width="16.7109375" style="59" customWidth="1"/>
    <col min="7427" max="7428" width="9.85546875" style="59" bestFit="1" customWidth="1"/>
    <col min="7429" max="7429" width="9.140625" style="59" bestFit="1" customWidth="1"/>
    <col min="7430" max="7430" width="9.140625" style="59"/>
    <col min="7431" max="7431" width="9" style="59" customWidth="1"/>
    <col min="7432" max="7432" width="9.140625" style="59" bestFit="1" customWidth="1"/>
    <col min="7433" max="7433" width="9" style="59" customWidth="1"/>
    <col min="7434" max="7434" width="8.85546875" style="59" bestFit="1" customWidth="1"/>
    <col min="7435" max="7435" width="9.140625" style="59"/>
    <col min="7436" max="7436" width="8.85546875" style="59" bestFit="1" customWidth="1"/>
    <col min="7437" max="7437" width="9" style="59" bestFit="1" customWidth="1"/>
    <col min="7438" max="7438" width="9" style="59" customWidth="1"/>
    <col min="7439" max="7439" width="8.85546875" style="59" bestFit="1" customWidth="1"/>
    <col min="7440" max="7442" width="9.140625" style="59"/>
    <col min="7443" max="7443" width="24.140625" style="59" bestFit="1" customWidth="1"/>
    <col min="7444" max="7444" width="10.42578125" style="59" customWidth="1"/>
    <col min="7445" max="7445" width="10.28515625" style="59" customWidth="1"/>
    <col min="7446" max="7680" width="9.140625" style="59"/>
    <col min="7681" max="7681" width="6.140625" style="59" customWidth="1"/>
    <col min="7682" max="7682" width="16.7109375" style="59" customWidth="1"/>
    <col min="7683" max="7684" width="9.85546875" style="59" bestFit="1" customWidth="1"/>
    <col min="7685" max="7685" width="9.140625" style="59" bestFit="1" customWidth="1"/>
    <col min="7686" max="7686" width="9.140625" style="59"/>
    <col min="7687" max="7687" width="9" style="59" customWidth="1"/>
    <col min="7688" max="7688" width="9.140625" style="59" bestFit="1" customWidth="1"/>
    <col min="7689" max="7689" width="9" style="59" customWidth="1"/>
    <col min="7690" max="7690" width="8.85546875" style="59" bestFit="1" customWidth="1"/>
    <col min="7691" max="7691" width="9.140625" style="59"/>
    <col min="7692" max="7692" width="8.85546875" style="59" bestFit="1" customWidth="1"/>
    <col min="7693" max="7693" width="9" style="59" bestFit="1" customWidth="1"/>
    <col min="7694" max="7694" width="9" style="59" customWidth="1"/>
    <col min="7695" max="7695" width="8.85546875" style="59" bestFit="1" customWidth="1"/>
    <col min="7696" max="7698" width="9.140625" style="59"/>
    <col min="7699" max="7699" width="24.140625" style="59" bestFit="1" customWidth="1"/>
    <col min="7700" max="7700" width="10.42578125" style="59" customWidth="1"/>
    <col min="7701" max="7701" width="10.28515625" style="59" customWidth="1"/>
    <col min="7702" max="7936" width="9.140625" style="59"/>
    <col min="7937" max="7937" width="6.140625" style="59" customWidth="1"/>
    <col min="7938" max="7938" width="16.7109375" style="59" customWidth="1"/>
    <col min="7939" max="7940" width="9.85546875" style="59" bestFit="1" customWidth="1"/>
    <col min="7941" max="7941" width="9.140625" style="59" bestFit="1" customWidth="1"/>
    <col min="7942" max="7942" width="9.140625" style="59"/>
    <col min="7943" max="7943" width="9" style="59" customWidth="1"/>
    <col min="7944" max="7944" width="9.140625" style="59" bestFit="1" customWidth="1"/>
    <col min="7945" max="7945" width="9" style="59" customWidth="1"/>
    <col min="7946" max="7946" width="8.85546875" style="59" bestFit="1" customWidth="1"/>
    <col min="7947" max="7947" width="9.140625" style="59"/>
    <col min="7948" max="7948" width="8.85546875" style="59" bestFit="1" customWidth="1"/>
    <col min="7949" max="7949" width="9" style="59" bestFit="1" customWidth="1"/>
    <col min="7950" max="7950" width="9" style="59" customWidth="1"/>
    <col min="7951" max="7951" width="8.85546875" style="59" bestFit="1" customWidth="1"/>
    <col min="7952" max="7954" width="9.140625" style="59"/>
    <col min="7955" max="7955" width="24.140625" style="59" bestFit="1" customWidth="1"/>
    <col min="7956" max="7956" width="10.42578125" style="59" customWidth="1"/>
    <col min="7957" max="7957" width="10.28515625" style="59" customWidth="1"/>
    <col min="7958" max="8192" width="9.140625" style="59"/>
    <col min="8193" max="8193" width="6.140625" style="59" customWidth="1"/>
    <col min="8194" max="8194" width="16.7109375" style="59" customWidth="1"/>
    <col min="8195" max="8196" width="9.85546875" style="59" bestFit="1" customWidth="1"/>
    <col min="8197" max="8197" width="9.140625" style="59" bestFit="1" customWidth="1"/>
    <col min="8198" max="8198" width="9.140625" style="59"/>
    <col min="8199" max="8199" width="9" style="59" customWidth="1"/>
    <col min="8200" max="8200" width="9.140625" style="59" bestFit="1" customWidth="1"/>
    <col min="8201" max="8201" width="9" style="59" customWidth="1"/>
    <col min="8202" max="8202" width="8.85546875" style="59" bestFit="1" customWidth="1"/>
    <col min="8203" max="8203" width="9.140625" style="59"/>
    <col min="8204" max="8204" width="8.85546875" style="59" bestFit="1" customWidth="1"/>
    <col min="8205" max="8205" width="9" style="59" bestFit="1" customWidth="1"/>
    <col min="8206" max="8206" width="9" style="59" customWidth="1"/>
    <col min="8207" max="8207" width="8.85546875" style="59" bestFit="1" customWidth="1"/>
    <col min="8208" max="8210" width="9.140625" style="59"/>
    <col min="8211" max="8211" width="24.140625" style="59" bestFit="1" customWidth="1"/>
    <col min="8212" max="8212" width="10.42578125" style="59" customWidth="1"/>
    <col min="8213" max="8213" width="10.28515625" style="59" customWidth="1"/>
    <col min="8214" max="8448" width="9.140625" style="59"/>
    <col min="8449" max="8449" width="6.140625" style="59" customWidth="1"/>
    <col min="8450" max="8450" width="16.7109375" style="59" customWidth="1"/>
    <col min="8451" max="8452" width="9.85546875" style="59" bestFit="1" customWidth="1"/>
    <col min="8453" max="8453" width="9.140625" style="59" bestFit="1" customWidth="1"/>
    <col min="8454" max="8454" width="9.140625" style="59"/>
    <col min="8455" max="8455" width="9" style="59" customWidth="1"/>
    <col min="8456" max="8456" width="9.140625" style="59" bestFit="1" customWidth="1"/>
    <col min="8457" max="8457" width="9" style="59" customWidth="1"/>
    <col min="8458" max="8458" width="8.85546875" style="59" bestFit="1" customWidth="1"/>
    <col min="8459" max="8459" width="9.140625" style="59"/>
    <col min="8460" max="8460" width="8.85546875" style="59" bestFit="1" customWidth="1"/>
    <col min="8461" max="8461" width="9" style="59" bestFit="1" customWidth="1"/>
    <col min="8462" max="8462" width="9" style="59" customWidth="1"/>
    <col min="8463" max="8463" width="8.85546875" style="59" bestFit="1" customWidth="1"/>
    <col min="8464" max="8466" width="9.140625" style="59"/>
    <col min="8467" max="8467" width="24.140625" style="59" bestFit="1" customWidth="1"/>
    <col min="8468" max="8468" width="10.42578125" style="59" customWidth="1"/>
    <col min="8469" max="8469" width="10.28515625" style="59" customWidth="1"/>
    <col min="8470" max="8704" width="9.140625" style="59"/>
    <col min="8705" max="8705" width="6.140625" style="59" customWidth="1"/>
    <col min="8706" max="8706" width="16.7109375" style="59" customWidth="1"/>
    <col min="8707" max="8708" width="9.85546875" style="59" bestFit="1" customWidth="1"/>
    <col min="8709" max="8709" width="9.140625" style="59" bestFit="1" customWidth="1"/>
    <col min="8710" max="8710" width="9.140625" style="59"/>
    <col min="8711" max="8711" width="9" style="59" customWidth="1"/>
    <col min="8712" max="8712" width="9.140625" style="59" bestFit="1" customWidth="1"/>
    <col min="8713" max="8713" width="9" style="59" customWidth="1"/>
    <col min="8714" max="8714" width="8.85546875" style="59" bestFit="1" customWidth="1"/>
    <col min="8715" max="8715" width="9.140625" style="59"/>
    <col min="8716" max="8716" width="8.85546875" style="59" bestFit="1" customWidth="1"/>
    <col min="8717" max="8717" width="9" style="59" bestFit="1" customWidth="1"/>
    <col min="8718" max="8718" width="9" style="59" customWidth="1"/>
    <col min="8719" max="8719" width="8.85546875" style="59" bestFit="1" customWidth="1"/>
    <col min="8720" max="8722" width="9.140625" style="59"/>
    <col min="8723" max="8723" width="24.140625" style="59" bestFit="1" customWidth="1"/>
    <col min="8724" max="8724" width="10.42578125" style="59" customWidth="1"/>
    <col min="8725" max="8725" width="10.28515625" style="59" customWidth="1"/>
    <col min="8726" max="8960" width="9.140625" style="59"/>
    <col min="8961" max="8961" width="6.140625" style="59" customWidth="1"/>
    <col min="8962" max="8962" width="16.7109375" style="59" customWidth="1"/>
    <col min="8963" max="8964" width="9.85546875" style="59" bestFit="1" customWidth="1"/>
    <col min="8965" max="8965" width="9.140625" style="59" bestFit="1" customWidth="1"/>
    <col min="8966" max="8966" width="9.140625" style="59"/>
    <col min="8967" max="8967" width="9" style="59" customWidth="1"/>
    <col min="8968" max="8968" width="9.140625" style="59" bestFit="1" customWidth="1"/>
    <col min="8969" max="8969" width="9" style="59" customWidth="1"/>
    <col min="8970" max="8970" width="8.85546875" style="59" bestFit="1" customWidth="1"/>
    <col min="8971" max="8971" width="9.140625" style="59"/>
    <col min="8972" max="8972" width="8.85546875" style="59" bestFit="1" customWidth="1"/>
    <col min="8973" max="8973" width="9" style="59" bestFit="1" customWidth="1"/>
    <col min="8974" max="8974" width="9" style="59" customWidth="1"/>
    <col min="8975" max="8975" width="8.85546875" style="59" bestFit="1" customWidth="1"/>
    <col min="8976" max="8978" width="9.140625" style="59"/>
    <col min="8979" max="8979" width="24.140625" style="59" bestFit="1" customWidth="1"/>
    <col min="8980" max="8980" width="10.42578125" style="59" customWidth="1"/>
    <col min="8981" max="8981" width="10.28515625" style="59" customWidth="1"/>
    <col min="8982" max="9216" width="9.140625" style="59"/>
    <col min="9217" max="9217" width="6.140625" style="59" customWidth="1"/>
    <col min="9218" max="9218" width="16.7109375" style="59" customWidth="1"/>
    <col min="9219" max="9220" width="9.85546875" style="59" bestFit="1" customWidth="1"/>
    <col min="9221" max="9221" width="9.140625" style="59" bestFit="1" customWidth="1"/>
    <col min="9222" max="9222" width="9.140625" style="59"/>
    <col min="9223" max="9223" width="9" style="59" customWidth="1"/>
    <col min="9224" max="9224" width="9.140625" style="59" bestFit="1" customWidth="1"/>
    <col min="9225" max="9225" width="9" style="59" customWidth="1"/>
    <col min="9226" max="9226" width="8.85546875" style="59" bestFit="1" customWidth="1"/>
    <col min="9227" max="9227" width="9.140625" style="59"/>
    <col min="9228" max="9228" width="8.85546875" style="59" bestFit="1" customWidth="1"/>
    <col min="9229" max="9229" width="9" style="59" bestFit="1" customWidth="1"/>
    <col min="9230" max="9230" width="9" style="59" customWidth="1"/>
    <col min="9231" max="9231" width="8.85546875" style="59" bestFit="1" customWidth="1"/>
    <col min="9232" max="9234" width="9.140625" style="59"/>
    <col min="9235" max="9235" width="24.140625" style="59" bestFit="1" customWidth="1"/>
    <col min="9236" max="9236" width="10.42578125" style="59" customWidth="1"/>
    <col min="9237" max="9237" width="10.28515625" style="59" customWidth="1"/>
    <col min="9238" max="9472" width="9.140625" style="59"/>
    <col min="9473" max="9473" width="6.140625" style="59" customWidth="1"/>
    <col min="9474" max="9474" width="16.7109375" style="59" customWidth="1"/>
    <col min="9475" max="9476" width="9.85546875" style="59" bestFit="1" customWidth="1"/>
    <col min="9477" max="9477" width="9.140625" style="59" bestFit="1" customWidth="1"/>
    <col min="9478" max="9478" width="9.140625" style="59"/>
    <col min="9479" max="9479" width="9" style="59" customWidth="1"/>
    <col min="9480" max="9480" width="9.140625" style="59" bestFit="1" customWidth="1"/>
    <col min="9481" max="9481" width="9" style="59" customWidth="1"/>
    <col min="9482" max="9482" width="8.85546875" style="59" bestFit="1" customWidth="1"/>
    <col min="9483" max="9483" width="9.140625" style="59"/>
    <col min="9484" max="9484" width="8.85546875" style="59" bestFit="1" customWidth="1"/>
    <col min="9485" max="9485" width="9" style="59" bestFit="1" customWidth="1"/>
    <col min="9486" max="9486" width="9" style="59" customWidth="1"/>
    <col min="9487" max="9487" width="8.85546875" style="59" bestFit="1" customWidth="1"/>
    <col min="9488" max="9490" width="9.140625" style="59"/>
    <col min="9491" max="9491" width="24.140625" style="59" bestFit="1" customWidth="1"/>
    <col min="9492" max="9492" width="10.42578125" style="59" customWidth="1"/>
    <col min="9493" max="9493" width="10.28515625" style="59" customWidth="1"/>
    <col min="9494" max="9728" width="9.140625" style="59"/>
    <col min="9729" max="9729" width="6.140625" style="59" customWidth="1"/>
    <col min="9730" max="9730" width="16.7109375" style="59" customWidth="1"/>
    <col min="9731" max="9732" width="9.85546875" style="59" bestFit="1" customWidth="1"/>
    <col min="9733" max="9733" width="9.140625" style="59" bestFit="1" customWidth="1"/>
    <col min="9734" max="9734" width="9.140625" style="59"/>
    <col min="9735" max="9735" width="9" style="59" customWidth="1"/>
    <col min="9736" max="9736" width="9.140625" style="59" bestFit="1" customWidth="1"/>
    <col min="9737" max="9737" width="9" style="59" customWidth="1"/>
    <col min="9738" max="9738" width="8.85546875" style="59" bestFit="1" customWidth="1"/>
    <col min="9739" max="9739" width="9.140625" style="59"/>
    <col min="9740" max="9740" width="8.85546875" style="59" bestFit="1" customWidth="1"/>
    <col min="9741" max="9741" width="9" style="59" bestFit="1" customWidth="1"/>
    <col min="9742" max="9742" width="9" style="59" customWidth="1"/>
    <col min="9743" max="9743" width="8.85546875" style="59" bestFit="1" customWidth="1"/>
    <col min="9744" max="9746" width="9.140625" style="59"/>
    <col min="9747" max="9747" width="24.140625" style="59" bestFit="1" customWidth="1"/>
    <col min="9748" max="9748" width="10.42578125" style="59" customWidth="1"/>
    <col min="9749" max="9749" width="10.28515625" style="59" customWidth="1"/>
    <col min="9750" max="9984" width="9.140625" style="59"/>
    <col min="9985" max="9985" width="6.140625" style="59" customWidth="1"/>
    <col min="9986" max="9986" width="16.7109375" style="59" customWidth="1"/>
    <col min="9987" max="9988" width="9.85546875" style="59" bestFit="1" customWidth="1"/>
    <col min="9989" max="9989" width="9.140625" style="59" bestFit="1" customWidth="1"/>
    <col min="9990" max="9990" width="9.140625" style="59"/>
    <col min="9991" max="9991" width="9" style="59" customWidth="1"/>
    <col min="9992" max="9992" width="9.140625" style="59" bestFit="1" customWidth="1"/>
    <col min="9993" max="9993" width="9" style="59" customWidth="1"/>
    <col min="9994" max="9994" width="8.85546875" style="59" bestFit="1" customWidth="1"/>
    <col min="9995" max="9995" width="9.140625" style="59"/>
    <col min="9996" max="9996" width="8.85546875" style="59" bestFit="1" customWidth="1"/>
    <col min="9997" max="9997" width="9" style="59" bestFit="1" customWidth="1"/>
    <col min="9998" max="9998" width="9" style="59" customWidth="1"/>
    <col min="9999" max="9999" width="8.85546875" style="59" bestFit="1" customWidth="1"/>
    <col min="10000" max="10002" width="9.140625" style="59"/>
    <col min="10003" max="10003" width="24.140625" style="59" bestFit="1" customWidth="1"/>
    <col min="10004" max="10004" width="10.42578125" style="59" customWidth="1"/>
    <col min="10005" max="10005" width="10.28515625" style="59" customWidth="1"/>
    <col min="10006" max="10240" width="9.140625" style="59"/>
    <col min="10241" max="10241" width="6.140625" style="59" customWidth="1"/>
    <col min="10242" max="10242" width="16.7109375" style="59" customWidth="1"/>
    <col min="10243" max="10244" width="9.85546875" style="59" bestFit="1" customWidth="1"/>
    <col min="10245" max="10245" width="9.140625" style="59" bestFit="1" customWidth="1"/>
    <col min="10246" max="10246" width="9.140625" style="59"/>
    <col min="10247" max="10247" width="9" style="59" customWidth="1"/>
    <col min="10248" max="10248" width="9.140625" style="59" bestFit="1" customWidth="1"/>
    <col min="10249" max="10249" width="9" style="59" customWidth="1"/>
    <col min="10250" max="10250" width="8.85546875" style="59" bestFit="1" customWidth="1"/>
    <col min="10251" max="10251" width="9.140625" style="59"/>
    <col min="10252" max="10252" width="8.85546875" style="59" bestFit="1" customWidth="1"/>
    <col min="10253" max="10253" width="9" style="59" bestFit="1" customWidth="1"/>
    <col min="10254" max="10254" width="9" style="59" customWidth="1"/>
    <col min="10255" max="10255" width="8.85546875" style="59" bestFit="1" customWidth="1"/>
    <col min="10256" max="10258" width="9.140625" style="59"/>
    <col min="10259" max="10259" width="24.140625" style="59" bestFit="1" customWidth="1"/>
    <col min="10260" max="10260" width="10.42578125" style="59" customWidth="1"/>
    <col min="10261" max="10261" width="10.28515625" style="59" customWidth="1"/>
    <col min="10262" max="10496" width="9.140625" style="59"/>
    <col min="10497" max="10497" width="6.140625" style="59" customWidth="1"/>
    <col min="10498" max="10498" width="16.7109375" style="59" customWidth="1"/>
    <col min="10499" max="10500" width="9.85546875" style="59" bestFit="1" customWidth="1"/>
    <col min="10501" max="10501" width="9.140625" style="59" bestFit="1" customWidth="1"/>
    <col min="10502" max="10502" width="9.140625" style="59"/>
    <col min="10503" max="10503" width="9" style="59" customWidth="1"/>
    <col min="10504" max="10504" width="9.140625" style="59" bestFit="1" customWidth="1"/>
    <col min="10505" max="10505" width="9" style="59" customWidth="1"/>
    <col min="10506" max="10506" width="8.85546875" style="59" bestFit="1" customWidth="1"/>
    <col min="10507" max="10507" width="9.140625" style="59"/>
    <col min="10508" max="10508" width="8.85546875" style="59" bestFit="1" customWidth="1"/>
    <col min="10509" max="10509" width="9" style="59" bestFit="1" customWidth="1"/>
    <col min="10510" max="10510" width="9" style="59" customWidth="1"/>
    <col min="10511" max="10511" width="8.85546875" style="59" bestFit="1" customWidth="1"/>
    <col min="10512" max="10514" width="9.140625" style="59"/>
    <col min="10515" max="10515" width="24.140625" style="59" bestFit="1" customWidth="1"/>
    <col min="10516" max="10516" width="10.42578125" style="59" customWidth="1"/>
    <col min="10517" max="10517" width="10.28515625" style="59" customWidth="1"/>
    <col min="10518" max="10752" width="9.140625" style="59"/>
    <col min="10753" max="10753" width="6.140625" style="59" customWidth="1"/>
    <col min="10754" max="10754" width="16.7109375" style="59" customWidth="1"/>
    <col min="10755" max="10756" width="9.85546875" style="59" bestFit="1" customWidth="1"/>
    <col min="10757" max="10757" width="9.140625" style="59" bestFit="1" customWidth="1"/>
    <col min="10758" max="10758" width="9.140625" style="59"/>
    <col min="10759" max="10759" width="9" style="59" customWidth="1"/>
    <col min="10760" max="10760" width="9.140625" style="59" bestFit="1" customWidth="1"/>
    <col min="10761" max="10761" width="9" style="59" customWidth="1"/>
    <col min="10762" max="10762" width="8.85546875" style="59" bestFit="1" customWidth="1"/>
    <col min="10763" max="10763" width="9.140625" style="59"/>
    <col min="10764" max="10764" width="8.85546875" style="59" bestFit="1" customWidth="1"/>
    <col min="10765" max="10765" width="9" style="59" bestFit="1" customWidth="1"/>
    <col min="10766" max="10766" width="9" style="59" customWidth="1"/>
    <col min="10767" max="10767" width="8.85546875" style="59" bestFit="1" customWidth="1"/>
    <col min="10768" max="10770" width="9.140625" style="59"/>
    <col min="10771" max="10771" width="24.140625" style="59" bestFit="1" customWidth="1"/>
    <col min="10772" max="10772" width="10.42578125" style="59" customWidth="1"/>
    <col min="10773" max="10773" width="10.28515625" style="59" customWidth="1"/>
    <col min="10774" max="11008" width="9.140625" style="59"/>
    <col min="11009" max="11009" width="6.140625" style="59" customWidth="1"/>
    <col min="11010" max="11010" width="16.7109375" style="59" customWidth="1"/>
    <col min="11011" max="11012" width="9.85546875" style="59" bestFit="1" customWidth="1"/>
    <col min="11013" max="11013" width="9.140625" style="59" bestFit="1" customWidth="1"/>
    <col min="11014" max="11014" width="9.140625" style="59"/>
    <col min="11015" max="11015" width="9" style="59" customWidth="1"/>
    <col min="11016" max="11016" width="9.140625" style="59" bestFit="1" customWidth="1"/>
    <col min="11017" max="11017" width="9" style="59" customWidth="1"/>
    <col min="11018" max="11018" width="8.85546875" style="59" bestFit="1" customWidth="1"/>
    <col min="11019" max="11019" width="9.140625" style="59"/>
    <col min="11020" max="11020" width="8.85546875" style="59" bestFit="1" customWidth="1"/>
    <col min="11021" max="11021" width="9" style="59" bestFit="1" customWidth="1"/>
    <col min="11022" max="11022" width="9" style="59" customWidth="1"/>
    <col min="11023" max="11023" width="8.85546875" style="59" bestFit="1" customWidth="1"/>
    <col min="11024" max="11026" width="9.140625" style="59"/>
    <col min="11027" max="11027" width="24.140625" style="59" bestFit="1" customWidth="1"/>
    <col min="11028" max="11028" width="10.42578125" style="59" customWidth="1"/>
    <col min="11029" max="11029" width="10.28515625" style="59" customWidth="1"/>
    <col min="11030" max="11264" width="9.140625" style="59"/>
    <col min="11265" max="11265" width="6.140625" style="59" customWidth="1"/>
    <col min="11266" max="11266" width="16.7109375" style="59" customWidth="1"/>
    <col min="11267" max="11268" width="9.85546875" style="59" bestFit="1" customWidth="1"/>
    <col min="11269" max="11269" width="9.140625" style="59" bestFit="1" customWidth="1"/>
    <col min="11270" max="11270" width="9.140625" style="59"/>
    <col min="11271" max="11271" width="9" style="59" customWidth="1"/>
    <col min="11272" max="11272" width="9.140625" style="59" bestFit="1" customWidth="1"/>
    <col min="11273" max="11273" width="9" style="59" customWidth="1"/>
    <col min="11274" max="11274" width="8.85546875" style="59" bestFit="1" customWidth="1"/>
    <col min="11275" max="11275" width="9.140625" style="59"/>
    <col min="11276" max="11276" width="8.85546875" style="59" bestFit="1" customWidth="1"/>
    <col min="11277" max="11277" width="9" style="59" bestFit="1" customWidth="1"/>
    <col min="11278" max="11278" width="9" style="59" customWidth="1"/>
    <col min="11279" max="11279" width="8.85546875" style="59" bestFit="1" customWidth="1"/>
    <col min="11280" max="11282" width="9.140625" style="59"/>
    <col min="11283" max="11283" width="24.140625" style="59" bestFit="1" customWidth="1"/>
    <col min="11284" max="11284" width="10.42578125" style="59" customWidth="1"/>
    <col min="11285" max="11285" width="10.28515625" style="59" customWidth="1"/>
    <col min="11286" max="11520" width="9.140625" style="59"/>
    <col min="11521" max="11521" width="6.140625" style="59" customWidth="1"/>
    <col min="11522" max="11522" width="16.7109375" style="59" customWidth="1"/>
    <col min="11523" max="11524" width="9.85546875" style="59" bestFit="1" customWidth="1"/>
    <col min="11525" max="11525" width="9.140625" style="59" bestFit="1" customWidth="1"/>
    <col min="11526" max="11526" width="9.140625" style="59"/>
    <col min="11527" max="11527" width="9" style="59" customWidth="1"/>
    <col min="11528" max="11528" width="9.140625" style="59" bestFit="1" customWidth="1"/>
    <col min="11529" max="11529" width="9" style="59" customWidth="1"/>
    <col min="11530" max="11530" width="8.85546875" style="59" bestFit="1" customWidth="1"/>
    <col min="11531" max="11531" width="9.140625" style="59"/>
    <col min="11532" max="11532" width="8.85546875" style="59" bestFit="1" customWidth="1"/>
    <col min="11533" max="11533" width="9" style="59" bestFit="1" customWidth="1"/>
    <col min="11534" max="11534" width="9" style="59" customWidth="1"/>
    <col min="11535" max="11535" width="8.85546875" style="59" bestFit="1" customWidth="1"/>
    <col min="11536" max="11538" width="9.140625" style="59"/>
    <col min="11539" max="11539" width="24.140625" style="59" bestFit="1" customWidth="1"/>
    <col min="11540" max="11540" width="10.42578125" style="59" customWidth="1"/>
    <col min="11541" max="11541" width="10.28515625" style="59" customWidth="1"/>
    <col min="11542" max="11776" width="9.140625" style="59"/>
    <col min="11777" max="11777" width="6.140625" style="59" customWidth="1"/>
    <col min="11778" max="11778" width="16.7109375" style="59" customWidth="1"/>
    <col min="11779" max="11780" width="9.85546875" style="59" bestFit="1" customWidth="1"/>
    <col min="11781" max="11781" width="9.140625" style="59" bestFit="1" customWidth="1"/>
    <col min="11782" max="11782" width="9.140625" style="59"/>
    <col min="11783" max="11783" width="9" style="59" customWidth="1"/>
    <col min="11784" max="11784" width="9.140625" style="59" bestFit="1" customWidth="1"/>
    <col min="11785" max="11785" width="9" style="59" customWidth="1"/>
    <col min="11786" max="11786" width="8.85546875" style="59" bestFit="1" customWidth="1"/>
    <col min="11787" max="11787" width="9.140625" style="59"/>
    <col min="11788" max="11788" width="8.85546875" style="59" bestFit="1" customWidth="1"/>
    <col min="11789" max="11789" width="9" style="59" bestFit="1" customWidth="1"/>
    <col min="11790" max="11790" width="9" style="59" customWidth="1"/>
    <col min="11791" max="11791" width="8.85546875" style="59" bestFit="1" customWidth="1"/>
    <col min="11792" max="11794" width="9.140625" style="59"/>
    <col min="11795" max="11795" width="24.140625" style="59" bestFit="1" customWidth="1"/>
    <col min="11796" max="11796" width="10.42578125" style="59" customWidth="1"/>
    <col min="11797" max="11797" width="10.28515625" style="59" customWidth="1"/>
    <col min="11798" max="12032" width="9.140625" style="59"/>
    <col min="12033" max="12033" width="6.140625" style="59" customWidth="1"/>
    <col min="12034" max="12034" width="16.7109375" style="59" customWidth="1"/>
    <col min="12035" max="12036" width="9.85546875" style="59" bestFit="1" customWidth="1"/>
    <col min="12037" max="12037" width="9.140625" style="59" bestFit="1" customWidth="1"/>
    <col min="12038" max="12038" width="9.140625" style="59"/>
    <col min="12039" max="12039" width="9" style="59" customWidth="1"/>
    <col min="12040" max="12040" width="9.140625" style="59" bestFit="1" customWidth="1"/>
    <col min="12041" max="12041" width="9" style="59" customWidth="1"/>
    <col min="12042" max="12042" width="8.85546875" style="59" bestFit="1" customWidth="1"/>
    <col min="12043" max="12043" width="9.140625" style="59"/>
    <col min="12044" max="12044" width="8.85546875" style="59" bestFit="1" customWidth="1"/>
    <col min="12045" max="12045" width="9" style="59" bestFit="1" customWidth="1"/>
    <col min="12046" max="12046" width="9" style="59" customWidth="1"/>
    <col min="12047" max="12047" width="8.85546875" style="59" bestFit="1" customWidth="1"/>
    <col min="12048" max="12050" width="9.140625" style="59"/>
    <col min="12051" max="12051" width="24.140625" style="59" bestFit="1" customWidth="1"/>
    <col min="12052" max="12052" width="10.42578125" style="59" customWidth="1"/>
    <col min="12053" max="12053" width="10.28515625" style="59" customWidth="1"/>
    <col min="12054" max="12288" width="9.140625" style="59"/>
    <col min="12289" max="12289" width="6.140625" style="59" customWidth="1"/>
    <col min="12290" max="12290" width="16.7109375" style="59" customWidth="1"/>
    <col min="12291" max="12292" width="9.85546875" style="59" bestFit="1" customWidth="1"/>
    <col min="12293" max="12293" width="9.140625" style="59" bestFit="1" customWidth="1"/>
    <col min="12294" max="12294" width="9.140625" style="59"/>
    <col min="12295" max="12295" width="9" style="59" customWidth="1"/>
    <col min="12296" max="12296" width="9.140625" style="59" bestFit="1" customWidth="1"/>
    <col min="12297" max="12297" width="9" style="59" customWidth="1"/>
    <col min="12298" max="12298" width="8.85546875" style="59" bestFit="1" customWidth="1"/>
    <col min="12299" max="12299" width="9.140625" style="59"/>
    <col min="12300" max="12300" width="8.85546875" style="59" bestFit="1" customWidth="1"/>
    <col min="12301" max="12301" width="9" style="59" bestFit="1" customWidth="1"/>
    <col min="12302" max="12302" width="9" style="59" customWidth="1"/>
    <col min="12303" max="12303" width="8.85546875" style="59" bestFit="1" customWidth="1"/>
    <col min="12304" max="12306" width="9.140625" style="59"/>
    <col min="12307" max="12307" width="24.140625" style="59" bestFit="1" customWidth="1"/>
    <col min="12308" max="12308" width="10.42578125" style="59" customWidth="1"/>
    <col min="12309" max="12309" width="10.28515625" style="59" customWidth="1"/>
    <col min="12310" max="12544" width="9.140625" style="59"/>
    <col min="12545" max="12545" width="6.140625" style="59" customWidth="1"/>
    <col min="12546" max="12546" width="16.7109375" style="59" customWidth="1"/>
    <col min="12547" max="12548" width="9.85546875" style="59" bestFit="1" customWidth="1"/>
    <col min="12549" max="12549" width="9.140625" style="59" bestFit="1" customWidth="1"/>
    <col min="12550" max="12550" width="9.140625" style="59"/>
    <col min="12551" max="12551" width="9" style="59" customWidth="1"/>
    <col min="12552" max="12552" width="9.140625" style="59" bestFit="1" customWidth="1"/>
    <col min="12553" max="12553" width="9" style="59" customWidth="1"/>
    <col min="12554" max="12554" width="8.85546875" style="59" bestFit="1" customWidth="1"/>
    <col min="12555" max="12555" width="9.140625" style="59"/>
    <col min="12556" max="12556" width="8.85546875" style="59" bestFit="1" customWidth="1"/>
    <col min="12557" max="12557" width="9" style="59" bestFit="1" customWidth="1"/>
    <col min="12558" max="12558" width="9" style="59" customWidth="1"/>
    <col min="12559" max="12559" width="8.85546875" style="59" bestFit="1" customWidth="1"/>
    <col min="12560" max="12562" width="9.140625" style="59"/>
    <col min="12563" max="12563" width="24.140625" style="59" bestFit="1" customWidth="1"/>
    <col min="12564" max="12564" width="10.42578125" style="59" customWidth="1"/>
    <col min="12565" max="12565" width="10.28515625" style="59" customWidth="1"/>
    <col min="12566" max="12800" width="9.140625" style="59"/>
    <col min="12801" max="12801" width="6.140625" style="59" customWidth="1"/>
    <col min="12802" max="12802" width="16.7109375" style="59" customWidth="1"/>
    <col min="12803" max="12804" width="9.85546875" style="59" bestFit="1" customWidth="1"/>
    <col min="12805" max="12805" width="9.140625" style="59" bestFit="1" customWidth="1"/>
    <col min="12806" max="12806" width="9.140625" style="59"/>
    <col min="12807" max="12807" width="9" style="59" customWidth="1"/>
    <col min="12808" max="12808" width="9.140625" style="59" bestFit="1" customWidth="1"/>
    <col min="12809" max="12809" width="9" style="59" customWidth="1"/>
    <col min="12810" max="12810" width="8.85546875" style="59" bestFit="1" customWidth="1"/>
    <col min="12811" max="12811" width="9.140625" style="59"/>
    <col min="12812" max="12812" width="8.85546875" style="59" bestFit="1" customWidth="1"/>
    <col min="12813" max="12813" width="9" style="59" bestFit="1" customWidth="1"/>
    <col min="12814" max="12814" width="9" style="59" customWidth="1"/>
    <col min="12815" max="12815" width="8.85546875" style="59" bestFit="1" customWidth="1"/>
    <col min="12816" max="12818" width="9.140625" style="59"/>
    <col min="12819" max="12819" width="24.140625" style="59" bestFit="1" customWidth="1"/>
    <col min="12820" max="12820" width="10.42578125" style="59" customWidth="1"/>
    <col min="12821" max="12821" width="10.28515625" style="59" customWidth="1"/>
    <col min="12822" max="13056" width="9.140625" style="59"/>
    <col min="13057" max="13057" width="6.140625" style="59" customWidth="1"/>
    <col min="13058" max="13058" width="16.7109375" style="59" customWidth="1"/>
    <col min="13059" max="13060" width="9.85546875" style="59" bestFit="1" customWidth="1"/>
    <col min="13061" max="13061" width="9.140625" style="59" bestFit="1" customWidth="1"/>
    <col min="13062" max="13062" width="9.140625" style="59"/>
    <col min="13063" max="13063" width="9" style="59" customWidth="1"/>
    <col min="13064" max="13064" width="9.140625" style="59" bestFit="1" customWidth="1"/>
    <col min="13065" max="13065" width="9" style="59" customWidth="1"/>
    <col min="13066" max="13066" width="8.85546875" style="59" bestFit="1" customWidth="1"/>
    <col min="13067" max="13067" width="9.140625" style="59"/>
    <col min="13068" max="13068" width="8.85546875" style="59" bestFit="1" customWidth="1"/>
    <col min="13069" max="13069" width="9" style="59" bestFit="1" customWidth="1"/>
    <col min="13070" max="13070" width="9" style="59" customWidth="1"/>
    <col min="13071" max="13071" width="8.85546875" style="59" bestFit="1" customWidth="1"/>
    <col min="13072" max="13074" width="9.140625" style="59"/>
    <col min="13075" max="13075" width="24.140625" style="59" bestFit="1" customWidth="1"/>
    <col min="13076" max="13076" width="10.42578125" style="59" customWidth="1"/>
    <col min="13077" max="13077" width="10.28515625" style="59" customWidth="1"/>
    <col min="13078" max="13312" width="9.140625" style="59"/>
    <col min="13313" max="13313" width="6.140625" style="59" customWidth="1"/>
    <col min="13314" max="13314" width="16.7109375" style="59" customWidth="1"/>
    <col min="13315" max="13316" width="9.85546875" style="59" bestFit="1" customWidth="1"/>
    <col min="13317" max="13317" width="9.140625" style="59" bestFit="1" customWidth="1"/>
    <col min="13318" max="13318" width="9.140625" style="59"/>
    <col min="13319" max="13319" width="9" style="59" customWidth="1"/>
    <col min="13320" max="13320" width="9.140625" style="59" bestFit="1" customWidth="1"/>
    <col min="13321" max="13321" width="9" style="59" customWidth="1"/>
    <col min="13322" max="13322" width="8.85546875" style="59" bestFit="1" customWidth="1"/>
    <col min="13323" max="13323" width="9.140625" style="59"/>
    <col min="13324" max="13324" width="8.85546875" style="59" bestFit="1" customWidth="1"/>
    <col min="13325" max="13325" width="9" style="59" bestFit="1" customWidth="1"/>
    <col min="13326" max="13326" width="9" style="59" customWidth="1"/>
    <col min="13327" max="13327" width="8.85546875" style="59" bestFit="1" customWidth="1"/>
    <col min="13328" max="13330" width="9.140625" style="59"/>
    <col min="13331" max="13331" width="24.140625" style="59" bestFit="1" customWidth="1"/>
    <col min="13332" max="13332" width="10.42578125" style="59" customWidth="1"/>
    <col min="13333" max="13333" width="10.28515625" style="59" customWidth="1"/>
    <col min="13334" max="13568" width="9.140625" style="59"/>
    <col min="13569" max="13569" width="6.140625" style="59" customWidth="1"/>
    <col min="13570" max="13570" width="16.7109375" style="59" customWidth="1"/>
    <col min="13571" max="13572" width="9.85546875" style="59" bestFit="1" customWidth="1"/>
    <col min="13573" max="13573" width="9.140625" style="59" bestFit="1" customWidth="1"/>
    <col min="13574" max="13574" width="9.140625" style="59"/>
    <col min="13575" max="13575" width="9" style="59" customWidth="1"/>
    <col min="13576" max="13576" width="9.140625" style="59" bestFit="1" customWidth="1"/>
    <col min="13577" max="13577" width="9" style="59" customWidth="1"/>
    <col min="13578" max="13578" width="8.85546875" style="59" bestFit="1" customWidth="1"/>
    <col min="13579" max="13579" width="9.140625" style="59"/>
    <col min="13580" max="13580" width="8.85546875" style="59" bestFit="1" customWidth="1"/>
    <col min="13581" max="13581" width="9" style="59" bestFit="1" customWidth="1"/>
    <col min="13582" max="13582" width="9" style="59" customWidth="1"/>
    <col min="13583" max="13583" width="8.85546875" style="59" bestFit="1" customWidth="1"/>
    <col min="13584" max="13586" width="9.140625" style="59"/>
    <col min="13587" max="13587" width="24.140625" style="59" bestFit="1" customWidth="1"/>
    <col min="13588" max="13588" width="10.42578125" style="59" customWidth="1"/>
    <col min="13589" max="13589" width="10.28515625" style="59" customWidth="1"/>
    <col min="13590" max="13824" width="9.140625" style="59"/>
    <col min="13825" max="13825" width="6.140625" style="59" customWidth="1"/>
    <col min="13826" max="13826" width="16.7109375" style="59" customWidth="1"/>
    <col min="13827" max="13828" width="9.85546875" style="59" bestFit="1" customWidth="1"/>
    <col min="13829" max="13829" width="9.140625" style="59" bestFit="1" customWidth="1"/>
    <col min="13830" max="13830" width="9.140625" style="59"/>
    <col min="13831" max="13831" width="9" style="59" customWidth="1"/>
    <col min="13832" max="13832" width="9.140625" style="59" bestFit="1" customWidth="1"/>
    <col min="13833" max="13833" width="9" style="59" customWidth="1"/>
    <col min="13834" max="13834" width="8.85546875" style="59" bestFit="1" customWidth="1"/>
    <col min="13835" max="13835" width="9.140625" style="59"/>
    <col min="13836" max="13836" width="8.85546875" style="59" bestFit="1" customWidth="1"/>
    <col min="13837" max="13837" width="9" style="59" bestFit="1" customWidth="1"/>
    <col min="13838" max="13838" width="9" style="59" customWidth="1"/>
    <col min="13839" max="13839" width="8.85546875" style="59" bestFit="1" customWidth="1"/>
    <col min="13840" max="13842" width="9.140625" style="59"/>
    <col min="13843" max="13843" width="24.140625" style="59" bestFit="1" customWidth="1"/>
    <col min="13844" max="13844" width="10.42578125" style="59" customWidth="1"/>
    <col min="13845" max="13845" width="10.28515625" style="59" customWidth="1"/>
    <col min="13846" max="14080" width="9.140625" style="59"/>
    <col min="14081" max="14081" width="6.140625" style="59" customWidth="1"/>
    <col min="14082" max="14082" width="16.7109375" style="59" customWidth="1"/>
    <col min="14083" max="14084" width="9.85546875" style="59" bestFit="1" customWidth="1"/>
    <col min="14085" max="14085" width="9.140625" style="59" bestFit="1" customWidth="1"/>
    <col min="14086" max="14086" width="9.140625" style="59"/>
    <col min="14087" max="14087" width="9" style="59" customWidth="1"/>
    <col min="14088" max="14088" width="9.140625" style="59" bestFit="1" customWidth="1"/>
    <col min="14089" max="14089" width="9" style="59" customWidth="1"/>
    <col min="14090" max="14090" width="8.85546875" style="59" bestFit="1" customWidth="1"/>
    <col min="14091" max="14091" width="9.140625" style="59"/>
    <col min="14092" max="14092" width="8.85546875" style="59" bestFit="1" customWidth="1"/>
    <col min="14093" max="14093" width="9" style="59" bestFit="1" customWidth="1"/>
    <col min="14094" max="14094" width="9" style="59" customWidth="1"/>
    <col min="14095" max="14095" width="8.85546875" style="59" bestFit="1" customWidth="1"/>
    <col min="14096" max="14098" width="9.140625" style="59"/>
    <col min="14099" max="14099" width="24.140625" style="59" bestFit="1" customWidth="1"/>
    <col min="14100" max="14100" width="10.42578125" style="59" customWidth="1"/>
    <col min="14101" max="14101" width="10.28515625" style="59" customWidth="1"/>
    <col min="14102" max="14336" width="9.140625" style="59"/>
    <col min="14337" max="14337" width="6.140625" style="59" customWidth="1"/>
    <col min="14338" max="14338" width="16.7109375" style="59" customWidth="1"/>
    <col min="14339" max="14340" width="9.85546875" style="59" bestFit="1" customWidth="1"/>
    <col min="14341" max="14341" width="9.140625" style="59" bestFit="1" customWidth="1"/>
    <col min="14342" max="14342" width="9.140625" style="59"/>
    <col min="14343" max="14343" width="9" style="59" customWidth="1"/>
    <col min="14344" max="14344" width="9.140625" style="59" bestFit="1" customWidth="1"/>
    <col min="14345" max="14345" width="9" style="59" customWidth="1"/>
    <col min="14346" max="14346" width="8.85546875" style="59" bestFit="1" customWidth="1"/>
    <col min="14347" max="14347" width="9.140625" style="59"/>
    <col min="14348" max="14348" width="8.85546875" style="59" bestFit="1" customWidth="1"/>
    <col min="14349" max="14349" width="9" style="59" bestFit="1" customWidth="1"/>
    <col min="14350" max="14350" width="9" style="59" customWidth="1"/>
    <col min="14351" max="14351" width="8.85546875" style="59" bestFit="1" customWidth="1"/>
    <col min="14352" max="14354" width="9.140625" style="59"/>
    <col min="14355" max="14355" width="24.140625" style="59" bestFit="1" customWidth="1"/>
    <col min="14356" max="14356" width="10.42578125" style="59" customWidth="1"/>
    <col min="14357" max="14357" width="10.28515625" style="59" customWidth="1"/>
    <col min="14358" max="14592" width="9.140625" style="59"/>
    <col min="14593" max="14593" width="6.140625" style="59" customWidth="1"/>
    <col min="14594" max="14594" width="16.7109375" style="59" customWidth="1"/>
    <col min="14595" max="14596" width="9.85546875" style="59" bestFit="1" customWidth="1"/>
    <col min="14597" max="14597" width="9.140625" style="59" bestFit="1" customWidth="1"/>
    <col min="14598" max="14598" width="9.140625" style="59"/>
    <col min="14599" max="14599" width="9" style="59" customWidth="1"/>
    <col min="14600" max="14600" width="9.140625" style="59" bestFit="1" customWidth="1"/>
    <col min="14601" max="14601" width="9" style="59" customWidth="1"/>
    <col min="14602" max="14602" width="8.85546875" style="59" bestFit="1" customWidth="1"/>
    <col min="14603" max="14603" width="9.140625" style="59"/>
    <col min="14604" max="14604" width="8.85546875" style="59" bestFit="1" customWidth="1"/>
    <col min="14605" max="14605" width="9" style="59" bestFit="1" customWidth="1"/>
    <col min="14606" max="14606" width="9" style="59" customWidth="1"/>
    <col min="14607" max="14607" width="8.85546875" style="59" bestFit="1" customWidth="1"/>
    <col min="14608" max="14610" width="9.140625" style="59"/>
    <col min="14611" max="14611" width="24.140625" style="59" bestFit="1" customWidth="1"/>
    <col min="14612" max="14612" width="10.42578125" style="59" customWidth="1"/>
    <col min="14613" max="14613" width="10.28515625" style="59" customWidth="1"/>
    <col min="14614" max="14848" width="9.140625" style="59"/>
    <col min="14849" max="14849" width="6.140625" style="59" customWidth="1"/>
    <col min="14850" max="14850" width="16.7109375" style="59" customWidth="1"/>
    <col min="14851" max="14852" width="9.85546875" style="59" bestFit="1" customWidth="1"/>
    <col min="14853" max="14853" width="9.140625" style="59" bestFit="1" customWidth="1"/>
    <col min="14854" max="14854" width="9.140625" style="59"/>
    <col min="14855" max="14855" width="9" style="59" customWidth="1"/>
    <col min="14856" max="14856" width="9.140625" style="59" bestFit="1" customWidth="1"/>
    <col min="14857" max="14857" width="9" style="59" customWidth="1"/>
    <col min="14858" max="14858" width="8.85546875" style="59" bestFit="1" customWidth="1"/>
    <col min="14859" max="14859" width="9.140625" style="59"/>
    <col min="14860" max="14860" width="8.85546875" style="59" bestFit="1" customWidth="1"/>
    <col min="14861" max="14861" width="9" style="59" bestFit="1" customWidth="1"/>
    <col min="14862" max="14862" width="9" style="59" customWidth="1"/>
    <col min="14863" max="14863" width="8.85546875" style="59" bestFit="1" customWidth="1"/>
    <col min="14864" max="14866" width="9.140625" style="59"/>
    <col min="14867" max="14867" width="24.140625" style="59" bestFit="1" customWidth="1"/>
    <col min="14868" max="14868" width="10.42578125" style="59" customWidth="1"/>
    <col min="14869" max="14869" width="10.28515625" style="59" customWidth="1"/>
    <col min="14870" max="15104" width="9.140625" style="59"/>
    <col min="15105" max="15105" width="6.140625" style="59" customWidth="1"/>
    <col min="15106" max="15106" width="16.7109375" style="59" customWidth="1"/>
    <col min="15107" max="15108" width="9.85546875" style="59" bestFit="1" customWidth="1"/>
    <col min="15109" max="15109" width="9.140625" style="59" bestFit="1" customWidth="1"/>
    <col min="15110" max="15110" width="9.140625" style="59"/>
    <col min="15111" max="15111" width="9" style="59" customWidth="1"/>
    <col min="15112" max="15112" width="9.140625" style="59" bestFit="1" customWidth="1"/>
    <col min="15113" max="15113" width="9" style="59" customWidth="1"/>
    <col min="15114" max="15114" width="8.85546875" style="59" bestFit="1" customWidth="1"/>
    <col min="15115" max="15115" width="9.140625" style="59"/>
    <col min="15116" max="15116" width="8.85546875" style="59" bestFit="1" customWidth="1"/>
    <col min="15117" max="15117" width="9" style="59" bestFit="1" customWidth="1"/>
    <col min="15118" max="15118" width="9" style="59" customWidth="1"/>
    <col min="15119" max="15119" width="8.85546875" style="59" bestFit="1" customWidth="1"/>
    <col min="15120" max="15122" width="9.140625" style="59"/>
    <col min="15123" max="15123" width="24.140625" style="59" bestFit="1" customWidth="1"/>
    <col min="15124" max="15124" width="10.42578125" style="59" customWidth="1"/>
    <col min="15125" max="15125" width="10.28515625" style="59" customWidth="1"/>
    <col min="15126" max="15360" width="9.140625" style="59"/>
    <col min="15361" max="15361" width="6.140625" style="59" customWidth="1"/>
    <col min="15362" max="15362" width="16.7109375" style="59" customWidth="1"/>
    <col min="15363" max="15364" width="9.85546875" style="59" bestFit="1" customWidth="1"/>
    <col min="15365" max="15365" width="9.140625" style="59" bestFit="1" customWidth="1"/>
    <col min="15366" max="15366" width="9.140625" style="59"/>
    <col min="15367" max="15367" width="9" style="59" customWidth="1"/>
    <col min="15368" max="15368" width="9.140625" style="59" bestFit="1" customWidth="1"/>
    <col min="15369" max="15369" width="9" style="59" customWidth="1"/>
    <col min="15370" max="15370" width="8.85546875" style="59" bestFit="1" customWidth="1"/>
    <col min="15371" max="15371" width="9.140625" style="59"/>
    <col min="15372" max="15372" width="8.85546875" style="59" bestFit="1" customWidth="1"/>
    <col min="15373" max="15373" width="9" style="59" bestFit="1" customWidth="1"/>
    <col min="15374" max="15374" width="9" style="59" customWidth="1"/>
    <col min="15375" max="15375" width="8.85546875" style="59" bestFit="1" customWidth="1"/>
    <col min="15376" max="15378" width="9.140625" style="59"/>
    <col min="15379" max="15379" width="24.140625" style="59" bestFit="1" customWidth="1"/>
    <col min="15380" max="15380" width="10.42578125" style="59" customWidth="1"/>
    <col min="15381" max="15381" width="10.28515625" style="59" customWidth="1"/>
    <col min="15382" max="15616" width="9.140625" style="59"/>
    <col min="15617" max="15617" width="6.140625" style="59" customWidth="1"/>
    <col min="15618" max="15618" width="16.7109375" style="59" customWidth="1"/>
    <col min="15619" max="15620" width="9.85546875" style="59" bestFit="1" customWidth="1"/>
    <col min="15621" max="15621" width="9.140625" style="59" bestFit="1" customWidth="1"/>
    <col min="15622" max="15622" width="9.140625" style="59"/>
    <col min="15623" max="15623" width="9" style="59" customWidth="1"/>
    <col min="15624" max="15624" width="9.140625" style="59" bestFit="1" customWidth="1"/>
    <col min="15625" max="15625" width="9" style="59" customWidth="1"/>
    <col min="15626" max="15626" width="8.85546875" style="59" bestFit="1" customWidth="1"/>
    <col min="15627" max="15627" width="9.140625" style="59"/>
    <col min="15628" max="15628" width="8.85546875" style="59" bestFit="1" customWidth="1"/>
    <col min="15629" max="15629" width="9" style="59" bestFit="1" customWidth="1"/>
    <col min="15630" max="15630" width="9" style="59" customWidth="1"/>
    <col min="15631" max="15631" width="8.85546875" style="59" bestFit="1" customWidth="1"/>
    <col min="15632" max="15634" width="9.140625" style="59"/>
    <col min="15635" max="15635" width="24.140625" style="59" bestFit="1" customWidth="1"/>
    <col min="15636" max="15636" width="10.42578125" style="59" customWidth="1"/>
    <col min="15637" max="15637" width="10.28515625" style="59" customWidth="1"/>
    <col min="15638" max="15872" width="9.140625" style="59"/>
    <col min="15873" max="15873" width="6.140625" style="59" customWidth="1"/>
    <col min="15874" max="15874" width="16.7109375" style="59" customWidth="1"/>
    <col min="15875" max="15876" width="9.85546875" style="59" bestFit="1" customWidth="1"/>
    <col min="15877" max="15877" width="9.140625" style="59" bestFit="1" customWidth="1"/>
    <col min="15878" max="15878" width="9.140625" style="59"/>
    <col min="15879" max="15879" width="9" style="59" customWidth="1"/>
    <col min="15880" max="15880" width="9.140625" style="59" bestFit="1" customWidth="1"/>
    <col min="15881" max="15881" width="9" style="59" customWidth="1"/>
    <col min="15882" max="15882" width="8.85546875" style="59" bestFit="1" customWidth="1"/>
    <col min="15883" max="15883" width="9.140625" style="59"/>
    <col min="15884" max="15884" width="8.85546875" style="59" bestFit="1" customWidth="1"/>
    <col min="15885" max="15885" width="9" style="59" bestFit="1" customWidth="1"/>
    <col min="15886" max="15886" width="9" style="59" customWidth="1"/>
    <col min="15887" max="15887" width="8.85546875" style="59" bestFit="1" customWidth="1"/>
    <col min="15888" max="15890" width="9.140625" style="59"/>
    <col min="15891" max="15891" width="24.140625" style="59" bestFit="1" customWidth="1"/>
    <col min="15892" max="15892" width="10.42578125" style="59" customWidth="1"/>
    <col min="15893" max="15893" width="10.28515625" style="59" customWidth="1"/>
    <col min="15894" max="16128" width="9.140625" style="59"/>
    <col min="16129" max="16129" width="6.140625" style="59" customWidth="1"/>
    <col min="16130" max="16130" width="16.7109375" style="59" customWidth="1"/>
    <col min="16131" max="16132" width="9.85546875" style="59" bestFit="1" customWidth="1"/>
    <col min="16133" max="16133" width="9.140625" style="59" bestFit="1" customWidth="1"/>
    <col min="16134" max="16134" width="9.140625" style="59"/>
    <col min="16135" max="16135" width="9" style="59" customWidth="1"/>
    <col min="16136" max="16136" width="9.140625" style="59" bestFit="1" customWidth="1"/>
    <col min="16137" max="16137" width="9" style="59" customWidth="1"/>
    <col min="16138" max="16138" width="8.85546875" style="59" bestFit="1" customWidth="1"/>
    <col min="16139" max="16139" width="9.140625" style="59"/>
    <col min="16140" max="16140" width="8.85546875" style="59" bestFit="1" customWidth="1"/>
    <col min="16141" max="16141" width="9" style="59" bestFit="1" customWidth="1"/>
    <col min="16142" max="16142" width="9" style="59" customWidth="1"/>
    <col min="16143" max="16143" width="8.85546875" style="59" bestFit="1" customWidth="1"/>
    <col min="16144" max="16146" width="9.140625" style="59"/>
    <col min="16147" max="16147" width="24.140625" style="59" bestFit="1" customWidth="1"/>
    <col min="16148" max="16148" width="10.42578125" style="59" customWidth="1"/>
    <col min="16149" max="16149" width="10.28515625" style="59" customWidth="1"/>
    <col min="16150" max="16384" width="9.140625" style="59"/>
  </cols>
  <sheetData>
    <row r="2" spans="2:15" ht="15" x14ac:dyDescent="0.2">
      <c r="B2" s="182"/>
      <c r="C2" s="327" t="s">
        <v>476</v>
      </c>
      <c r="J2" s="61" t="s">
        <v>1091</v>
      </c>
      <c r="K2" s="61"/>
    </row>
    <row r="3" spans="2:15" ht="9" thickBot="1" x14ac:dyDescent="0.2">
      <c r="D3" s="200"/>
    </row>
    <row r="4" spans="2:15" x14ac:dyDescent="0.15">
      <c r="B4" s="328"/>
      <c r="C4" s="329"/>
      <c r="D4" s="38">
        <f>DCLP!I3</f>
        <v>44531</v>
      </c>
      <c r="E4" s="38">
        <f>DCLP!J3</f>
        <v>44501</v>
      </c>
      <c r="F4" s="38">
        <f>DCLP!K3</f>
        <v>44470</v>
      </c>
      <c r="G4" s="38">
        <f>DCLP!L3</f>
        <v>44440</v>
      </c>
      <c r="H4" s="38">
        <f>DCLP!M3</f>
        <v>44409</v>
      </c>
      <c r="I4" s="38">
        <f>DCLP!N3</f>
        <v>44378</v>
      </c>
      <c r="J4" s="38">
        <f>DCLP!O3</f>
        <v>44348</v>
      </c>
      <c r="K4" s="38">
        <f>DCLP!P3</f>
        <v>44317</v>
      </c>
      <c r="L4" s="38">
        <f>DCLP!Q3</f>
        <v>44287</v>
      </c>
      <c r="M4" s="38">
        <f>DCLP!R3</f>
        <v>44256</v>
      </c>
      <c r="N4" s="38">
        <f>DCLP!S3</f>
        <v>44228</v>
      </c>
      <c r="O4" s="38">
        <f>DCLP!T3</f>
        <v>44197</v>
      </c>
    </row>
    <row r="5" spans="2:15" ht="9" thickBot="1" x14ac:dyDescent="0.2">
      <c r="B5" s="330" t="s">
        <v>477</v>
      </c>
      <c r="C5" s="331"/>
      <c r="D5" s="39" t="s">
        <v>38</v>
      </c>
      <c r="E5" s="4" t="s">
        <v>39</v>
      </c>
      <c r="F5" s="39" t="s">
        <v>40</v>
      </c>
      <c r="G5" s="4" t="s">
        <v>41</v>
      </c>
      <c r="H5" s="39" t="s">
        <v>42</v>
      </c>
      <c r="I5" s="4" t="s">
        <v>43</v>
      </c>
      <c r="J5" s="39" t="s">
        <v>87</v>
      </c>
      <c r="K5" s="4" t="s">
        <v>88</v>
      </c>
      <c r="L5" s="39" t="s">
        <v>89</v>
      </c>
      <c r="M5" s="4" t="s">
        <v>90</v>
      </c>
      <c r="N5" s="39" t="s">
        <v>91</v>
      </c>
      <c r="O5" s="332" t="s">
        <v>92</v>
      </c>
    </row>
    <row r="6" spans="2:15" x14ac:dyDescent="0.15">
      <c r="B6" s="333" t="s">
        <v>478</v>
      </c>
      <c r="C6" s="334">
        <f>(SUM(D6:O6))</f>
        <v>69604042.070000008</v>
      </c>
      <c r="D6" s="335">
        <f>DCLP!I46</f>
        <v>11313266.380000001</v>
      </c>
      <c r="E6" s="335">
        <f>DCLP!J46</f>
        <v>5394292.4700000007</v>
      </c>
      <c r="F6" s="335">
        <f>DCLP!K46</f>
        <v>5366798.21</v>
      </c>
      <c r="G6" s="335">
        <f>DCLP!L46</f>
        <v>5254886.3400000008</v>
      </c>
      <c r="H6" s="335">
        <f>DCLP!M46</f>
        <v>5359454.6500000004</v>
      </c>
      <c r="I6" s="335">
        <f>DCLP!N46</f>
        <v>5236771.05</v>
      </c>
      <c r="J6" s="335">
        <f>DCLP!O46</f>
        <v>5266967.9399999995</v>
      </c>
      <c r="K6" s="335">
        <f>DCLP!P46</f>
        <v>5377011.96</v>
      </c>
      <c r="L6" s="335">
        <f>DCLP!Q46</f>
        <v>5127173.7</v>
      </c>
      <c r="M6" s="335">
        <f>DCLP!R46</f>
        <v>5445770.6900000004</v>
      </c>
      <c r="N6" s="335">
        <f>DCLP!S46</f>
        <v>5339383.5999999996</v>
      </c>
      <c r="O6" s="335">
        <f>DCLP!T46</f>
        <v>5122265.08</v>
      </c>
    </row>
    <row r="7" spans="2:15" x14ac:dyDescent="0.15">
      <c r="B7" s="245" t="s">
        <v>479</v>
      </c>
      <c r="C7" s="179">
        <f>SUM(D7:O7)</f>
        <v>113400918.97999999</v>
      </c>
      <c r="D7" s="179">
        <f>RCL!D37</f>
        <v>14677042.08</v>
      </c>
      <c r="E7" s="179">
        <f>RCL!E37</f>
        <v>10028239.710000001</v>
      </c>
      <c r="F7" s="179">
        <f>RCL!F37</f>
        <v>9576828.75</v>
      </c>
      <c r="G7" s="179">
        <f>RCL!G37</f>
        <v>7810614.9199999999</v>
      </c>
      <c r="H7" s="179">
        <f>RCL!H37</f>
        <v>8737446.3599999994</v>
      </c>
      <c r="I7" s="179">
        <f>RCL!I37</f>
        <v>11165286.49</v>
      </c>
      <c r="J7" s="179">
        <f>RCL!J37</f>
        <v>8172315.3299999982</v>
      </c>
      <c r="K7" s="179">
        <f>RCL!K37</f>
        <v>9079103.8800000008</v>
      </c>
      <c r="L7" s="179">
        <f>RCL!L37</f>
        <v>8675963.9700000007</v>
      </c>
      <c r="M7" s="179">
        <f>RCL!M37</f>
        <v>8319725.8799999999</v>
      </c>
      <c r="N7" s="179">
        <f>RCL!N37</f>
        <v>8112075.9800000004</v>
      </c>
      <c r="O7" s="179">
        <f>RCL!O37</f>
        <v>9046275.629999999</v>
      </c>
    </row>
    <row r="8" spans="2:15" x14ac:dyDescent="0.15">
      <c r="B8" s="114" t="s">
        <v>480</v>
      </c>
      <c r="C8" s="336">
        <f>C6/C7</f>
        <v>0.61378728405433614</v>
      </c>
      <c r="D8" s="219">
        <f>D6/D7</f>
        <v>0.77081378647924415</v>
      </c>
      <c r="E8" s="219">
        <f t="shared" ref="E8:O8" si="0">E6/E7</f>
        <v>0.53791020418278379</v>
      </c>
      <c r="F8" s="219">
        <f t="shared" si="0"/>
        <v>0.56039408765662646</v>
      </c>
      <c r="G8" s="219">
        <f t="shared" si="0"/>
        <v>0.67278778864699185</v>
      </c>
      <c r="H8" s="219">
        <f t="shared" si="0"/>
        <v>0.6133891332982101</v>
      </c>
      <c r="I8" s="219">
        <f t="shared" si="0"/>
        <v>0.46902254184791631</v>
      </c>
      <c r="J8" s="219">
        <f t="shared" si="0"/>
        <v>0.64448907406513412</v>
      </c>
      <c r="K8" s="219">
        <f t="shared" si="0"/>
        <v>0.59224038308943761</v>
      </c>
      <c r="L8" s="219">
        <f t="shared" si="0"/>
        <v>0.59096300050678974</v>
      </c>
      <c r="M8" s="219">
        <f t="shared" si="0"/>
        <v>0.65456131230131354</v>
      </c>
      <c r="N8" s="219">
        <f t="shared" si="0"/>
        <v>0.65820187251254014</v>
      </c>
      <c r="O8" s="219">
        <f t="shared" si="0"/>
        <v>0.56622916319431238</v>
      </c>
    </row>
    <row r="9" spans="2:15" x14ac:dyDescent="0.15">
      <c r="B9" s="245" t="s">
        <v>481</v>
      </c>
      <c r="C9" s="221">
        <v>0.54</v>
      </c>
      <c r="D9" s="221">
        <v>0.54</v>
      </c>
      <c r="E9" s="221">
        <v>0.54</v>
      </c>
      <c r="F9" s="221">
        <v>0.54</v>
      </c>
      <c r="G9" s="221">
        <v>0.54</v>
      </c>
      <c r="H9" s="221">
        <v>0.54</v>
      </c>
      <c r="I9" s="221">
        <v>0.54</v>
      </c>
      <c r="J9" s="221">
        <v>0.54</v>
      </c>
      <c r="K9" s="221">
        <v>0.54</v>
      </c>
      <c r="L9" s="221">
        <v>0.54</v>
      </c>
      <c r="M9" s="221">
        <v>0.54</v>
      </c>
      <c r="N9" s="221">
        <v>0.54</v>
      </c>
      <c r="O9" s="221">
        <v>0.54</v>
      </c>
    </row>
    <row r="10" spans="2:15" x14ac:dyDescent="0.15">
      <c r="B10" s="84" t="s">
        <v>828</v>
      </c>
      <c r="C10" s="59" t="s">
        <v>829</v>
      </c>
      <c r="D10" s="337"/>
      <c r="E10" s="337"/>
      <c r="F10" s="337"/>
      <c r="G10" s="337"/>
      <c r="H10" s="337"/>
      <c r="I10" s="337"/>
      <c r="J10" s="337"/>
      <c r="K10" s="337"/>
      <c r="L10" s="337"/>
      <c r="M10" s="337"/>
      <c r="N10" s="337"/>
      <c r="O10" s="337"/>
    </row>
    <row r="11" spans="2:15" x14ac:dyDescent="0.15">
      <c r="C11" s="230"/>
      <c r="D11" s="230"/>
      <c r="E11" s="230"/>
      <c r="F11" s="230"/>
    </row>
    <row r="23" spans="17:17" x14ac:dyDescent="0.15">
      <c r="Q23" s="340"/>
    </row>
    <row r="53" spans="2:11" x14ac:dyDescent="0.15">
      <c r="B53" s="84" t="s">
        <v>482</v>
      </c>
      <c r="C53" s="107" t="s">
        <v>809</v>
      </c>
    </row>
    <row r="57" spans="2:11" s="57" customFormat="1" ht="11.25" x14ac:dyDescent="0.2">
      <c r="B57" s="54"/>
      <c r="C57" s="55" t="s">
        <v>99</v>
      </c>
      <c r="D57" s="54"/>
      <c r="E57" s="54"/>
      <c r="F57" s="56" t="s">
        <v>100</v>
      </c>
      <c r="G57" s="56"/>
      <c r="I57" s="55"/>
      <c r="J57" s="58" t="s">
        <v>101</v>
      </c>
      <c r="K57" s="58"/>
    </row>
    <row r="58" spans="2:11" s="57" customFormat="1" ht="11.25" x14ac:dyDescent="0.2">
      <c r="B58" s="54"/>
      <c r="C58" s="55" t="s">
        <v>102</v>
      </c>
      <c r="D58" s="54"/>
      <c r="E58" s="54"/>
      <c r="F58" s="56" t="s">
        <v>103</v>
      </c>
      <c r="G58" s="56"/>
      <c r="I58" s="55"/>
      <c r="J58" s="58" t="s">
        <v>104</v>
      </c>
      <c r="K58" s="58"/>
    </row>
    <row r="59" spans="2:11" x14ac:dyDescent="0.15">
      <c r="F59" s="60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Q79"/>
  <sheetViews>
    <sheetView topLeftCell="A21" workbookViewId="0">
      <selection activeCell="B51" sqref="B51"/>
    </sheetView>
  </sheetViews>
  <sheetFormatPr defaultRowHeight="8.25" x14ac:dyDescent="0.15"/>
  <cols>
    <col min="1" max="1" width="5" style="3" customWidth="1"/>
    <col min="2" max="2" width="9" style="3" customWidth="1"/>
    <col min="3" max="3" width="3.5703125" style="3" customWidth="1"/>
    <col min="4" max="4" width="9.140625" style="3" customWidth="1"/>
    <col min="5" max="5" width="9.28515625" style="3" customWidth="1"/>
    <col min="6" max="6" width="8.5703125" style="3" customWidth="1"/>
    <col min="7" max="7" width="9" style="3" customWidth="1"/>
    <col min="8" max="8" width="8.5703125" style="3" customWidth="1"/>
    <col min="9" max="9" width="9.140625" style="3" customWidth="1"/>
    <col min="10" max="10" width="9.140625" style="3" bestFit="1" customWidth="1"/>
    <col min="11" max="11" width="8.5703125" style="3" customWidth="1"/>
    <col min="12" max="12" width="9.5703125" style="3" bestFit="1" customWidth="1"/>
    <col min="13" max="13" width="9.140625" style="3" customWidth="1"/>
    <col min="14" max="14" width="8.85546875" style="3" bestFit="1" customWidth="1"/>
    <col min="15" max="15" width="9" style="3" customWidth="1"/>
    <col min="16" max="16" width="10.28515625" style="3" customWidth="1"/>
    <col min="17" max="17" width="3.42578125" style="3" bestFit="1" customWidth="1"/>
    <col min="18" max="263" width="9.140625" style="3"/>
    <col min="264" max="264" width="2.42578125" style="3" customWidth="1"/>
    <col min="265" max="265" width="10" style="3" customWidth="1"/>
    <col min="266" max="266" width="44.85546875" style="3" customWidth="1"/>
    <col min="267" max="267" width="5.140625" style="3" customWidth="1"/>
    <col min="268" max="268" width="13.7109375" style="3" bestFit="1" customWidth="1"/>
    <col min="269" max="271" width="12.7109375" style="3" bestFit="1" customWidth="1"/>
    <col min="272" max="272" width="13.7109375" style="3" bestFit="1" customWidth="1"/>
    <col min="273" max="273" width="5.5703125" style="3" bestFit="1" customWidth="1"/>
    <col min="274" max="519" width="9.140625" style="3"/>
    <col min="520" max="520" width="2.42578125" style="3" customWidth="1"/>
    <col min="521" max="521" width="10" style="3" customWidth="1"/>
    <col min="522" max="522" width="44.85546875" style="3" customWidth="1"/>
    <col min="523" max="523" width="5.140625" style="3" customWidth="1"/>
    <col min="524" max="524" width="13.7109375" style="3" bestFit="1" customWidth="1"/>
    <col min="525" max="527" width="12.7109375" style="3" bestFit="1" customWidth="1"/>
    <col min="528" max="528" width="13.7109375" style="3" bestFit="1" customWidth="1"/>
    <col min="529" max="529" width="5.5703125" style="3" bestFit="1" customWidth="1"/>
    <col min="530" max="775" width="9.140625" style="3"/>
    <col min="776" max="776" width="2.42578125" style="3" customWidth="1"/>
    <col min="777" max="777" width="10" style="3" customWidth="1"/>
    <col min="778" max="778" width="44.85546875" style="3" customWidth="1"/>
    <col min="779" max="779" width="5.140625" style="3" customWidth="1"/>
    <col min="780" max="780" width="13.7109375" style="3" bestFit="1" customWidth="1"/>
    <col min="781" max="783" width="12.7109375" style="3" bestFit="1" customWidth="1"/>
    <col min="784" max="784" width="13.7109375" style="3" bestFit="1" customWidth="1"/>
    <col min="785" max="785" width="5.5703125" style="3" bestFit="1" customWidth="1"/>
    <col min="786" max="1031" width="9.140625" style="3"/>
    <col min="1032" max="1032" width="2.42578125" style="3" customWidth="1"/>
    <col min="1033" max="1033" width="10" style="3" customWidth="1"/>
    <col min="1034" max="1034" width="44.85546875" style="3" customWidth="1"/>
    <col min="1035" max="1035" width="5.140625" style="3" customWidth="1"/>
    <col min="1036" max="1036" width="13.7109375" style="3" bestFit="1" customWidth="1"/>
    <col min="1037" max="1039" width="12.7109375" style="3" bestFit="1" customWidth="1"/>
    <col min="1040" max="1040" width="13.7109375" style="3" bestFit="1" customWidth="1"/>
    <col min="1041" max="1041" width="5.5703125" style="3" bestFit="1" customWidth="1"/>
    <col min="1042" max="1287" width="9.140625" style="3"/>
    <col min="1288" max="1288" width="2.42578125" style="3" customWidth="1"/>
    <col min="1289" max="1289" width="10" style="3" customWidth="1"/>
    <col min="1290" max="1290" width="44.85546875" style="3" customWidth="1"/>
    <col min="1291" max="1291" width="5.140625" style="3" customWidth="1"/>
    <col min="1292" max="1292" width="13.7109375" style="3" bestFit="1" customWidth="1"/>
    <col min="1293" max="1295" width="12.7109375" style="3" bestFit="1" customWidth="1"/>
    <col min="1296" max="1296" width="13.7109375" style="3" bestFit="1" customWidth="1"/>
    <col min="1297" max="1297" width="5.5703125" style="3" bestFit="1" customWidth="1"/>
    <col min="1298" max="1543" width="9.140625" style="3"/>
    <col min="1544" max="1544" width="2.42578125" style="3" customWidth="1"/>
    <col min="1545" max="1545" width="10" style="3" customWidth="1"/>
    <col min="1546" max="1546" width="44.85546875" style="3" customWidth="1"/>
    <col min="1547" max="1547" width="5.140625" style="3" customWidth="1"/>
    <col min="1548" max="1548" width="13.7109375" style="3" bestFit="1" customWidth="1"/>
    <col min="1549" max="1551" width="12.7109375" style="3" bestFit="1" customWidth="1"/>
    <col min="1552" max="1552" width="13.7109375" style="3" bestFit="1" customWidth="1"/>
    <col min="1553" max="1553" width="5.5703125" style="3" bestFit="1" customWidth="1"/>
    <col min="1554" max="1799" width="9.140625" style="3"/>
    <col min="1800" max="1800" width="2.42578125" style="3" customWidth="1"/>
    <col min="1801" max="1801" width="10" style="3" customWidth="1"/>
    <col min="1802" max="1802" width="44.85546875" style="3" customWidth="1"/>
    <col min="1803" max="1803" width="5.140625" style="3" customWidth="1"/>
    <col min="1804" max="1804" width="13.7109375" style="3" bestFit="1" customWidth="1"/>
    <col min="1805" max="1807" width="12.7109375" style="3" bestFit="1" customWidth="1"/>
    <col min="1808" max="1808" width="13.7109375" style="3" bestFit="1" customWidth="1"/>
    <col min="1809" max="1809" width="5.5703125" style="3" bestFit="1" customWidth="1"/>
    <col min="1810" max="2055" width="9.140625" style="3"/>
    <col min="2056" max="2056" width="2.42578125" style="3" customWidth="1"/>
    <col min="2057" max="2057" width="10" style="3" customWidth="1"/>
    <col min="2058" max="2058" width="44.85546875" style="3" customWidth="1"/>
    <col min="2059" max="2059" width="5.140625" style="3" customWidth="1"/>
    <col min="2060" max="2060" width="13.7109375" style="3" bestFit="1" customWidth="1"/>
    <col min="2061" max="2063" width="12.7109375" style="3" bestFit="1" customWidth="1"/>
    <col min="2064" max="2064" width="13.7109375" style="3" bestFit="1" customWidth="1"/>
    <col min="2065" max="2065" width="5.5703125" style="3" bestFit="1" customWidth="1"/>
    <col min="2066" max="2311" width="9.140625" style="3"/>
    <col min="2312" max="2312" width="2.42578125" style="3" customWidth="1"/>
    <col min="2313" max="2313" width="10" style="3" customWidth="1"/>
    <col min="2314" max="2314" width="44.85546875" style="3" customWidth="1"/>
    <col min="2315" max="2315" width="5.140625" style="3" customWidth="1"/>
    <col min="2316" max="2316" width="13.7109375" style="3" bestFit="1" customWidth="1"/>
    <col min="2317" max="2319" width="12.7109375" style="3" bestFit="1" customWidth="1"/>
    <col min="2320" max="2320" width="13.7109375" style="3" bestFit="1" customWidth="1"/>
    <col min="2321" max="2321" width="5.5703125" style="3" bestFit="1" customWidth="1"/>
    <col min="2322" max="2567" width="9.140625" style="3"/>
    <col min="2568" max="2568" width="2.42578125" style="3" customWidth="1"/>
    <col min="2569" max="2569" width="10" style="3" customWidth="1"/>
    <col min="2570" max="2570" width="44.85546875" style="3" customWidth="1"/>
    <col min="2571" max="2571" width="5.140625" style="3" customWidth="1"/>
    <col min="2572" max="2572" width="13.7109375" style="3" bestFit="1" customWidth="1"/>
    <col min="2573" max="2575" width="12.7109375" style="3" bestFit="1" customWidth="1"/>
    <col min="2576" max="2576" width="13.7109375" style="3" bestFit="1" customWidth="1"/>
    <col min="2577" max="2577" width="5.5703125" style="3" bestFit="1" customWidth="1"/>
    <col min="2578" max="2823" width="9.140625" style="3"/>
    <col min="2824" max="2824" width="2.42578125" style="3" customWidth="1"/>
    <col min="2825" max="2825" width="10" style="3" customWidth="1"/>
    <col min="2826" max="2826" width="44.85546875" style="3" customWidth="1"/>
    <col min="2827" max="2827" width="5.140625" style="3" customWidth="1"/>
    <col min="2828" max="2828" width="13.7109375" style="3" bestFit="1" customWidth="1"/>
    <col min="2829" max="2831" width="12.7109375" style="3" bestFit="1" customWidth="1"/>
    <col min="2832" max="2832" width="13.7109375" style="3" bestFit="1" customWidth="1"/>
    <col min="2833" max="2833" width="5.5703125" style="3" bestFit="1" customWidth="1"/>
    <col min="2834" max="3079" width="9.140625" style="3"/>
    <col min="3080" max="3080" width="2.42578125" style="3" customWidth="1"/>
    <col min="3081" max="3081" width="10" style="3" customWidth="1"/>
    <col min="3082" max="3082" width="44.85546875" style="3" customWidth="1"/>
    <col min="3083" max="3083" width="5.140625" style="3" customWidth="1"/>
    <col min="3084" max="3084" width="13.7109375" style="3" bestFit="1" customWidth="1"/>
    <col min="3085" max="3087" width="12.7109375" style="3" bestFit="1" customWidth="1"/>
    <col min="3088" max="3088" width="13.7109375" style="3" bestFit="1" customWidth="1"/>
    <col min="3089" max="3089" width="5.5703125" style="3" bestFit="1" customWidth="1"/>
    <col min="3090" max="3335" width="9.140625" style="3"/>
    <col min="3336" max="3336" width="2.42578125" style="3" customWidth="1"/>
    <col min="3337" max="3337" width="10" style="3" customWidth="1"/>
    <col min="3338" max="3338" width="44.85546875" style="3" customWidth="1"/>
    <col min="3339" max="3339" width="5.140625" style="3" customWidth="1"/>
    <col min="3340" max="3340" width="13.7109375" style="3" bestFit="1" customWidth="1"/>
    <col min="3341" max="3343" width="12.7109375" style="3" bestFit="1" customWidth="1"/>
    <col min="3344" max="3344" width="13.7109375" style="3" bestFit="1" customWidth="1"/>
    <col min="3345" max="3345" width="5.5703125" style="3" bestFit="1" customWidth="1"/>
    <col min="3346" max="3591" width="9.140625" style="3"/>
    <col min="3592" max="3592" width="2.42578125" style="3" customWidth="1"/>
    <col min="3593" max="3593" width="10" style="3" customWidth="1"/>
    <col min="3594" max="3594" width="44.85546875" style="3" customWidth="1"/>
    <col min="3595" max="3595" width="5.140625" style="3" customWidth="1"/>
    <col min="3596" max="3596" width="13.7109375" style="3" bestFit="1" customWidth="1"/>
    <col min="3597" max="3599" width="12.7109375" style="3" bestFit="1" customWidth="1"/>
    <col min="3600" max="3600" width="13.7109375" style="3" bestFit="1" customWidth="1"/>
    <col min="3601" max="3601" width="5.5703125" style="3" bestFit="1" customWidth="1"/>
    <col min="3602" max="3847" width="9.140625" style="3"/>
    <col min="3848" max="3848" width="2.42578125" style="3" customWidth="1"/>
    <col min="3849" max="3849" width="10" style="3" customWidth="1"/>
    <col min="3850" max="3850" width="44.85546875" style="3" customWidth="1"/>
    <col min="3851" max="3851" width="5.140625" style="3" customWidth="1"/>
    <col min="3852" max="3852" width="13.7109375" style="3" bestFit="1" customWidth="1"/>
    <col min="3853" max="3855" width="12.7109375" style="3" bestFit="1" customWidth="1"/>
    <col min="3856" max="3856" width="13.7109375" style="3" bestFit="1" customWidth="1"/>
    <col min="3857" max="3857" width="5.5703125" style="3" bestFit="1" customWidth="1"/>
    <col min="3858" max="4103" width="9.140625" style="3"/>
    <col min="4104" max="4104" width="2.42578125" style="3" customWidth="1"/>
    <col min="4105" max="4105" width="10" style="3" customWidth="1"/>
    <col min="4106" max="4106" width="44.85546875" style="3" customWidth="1"/>
    <col min="4107" max="4107" width="5.140625" style="3" customWidth="1"/>
    <col min="4108" max="4108" width="13.7109375" style="3" bestFit="1" customWidth="1"/>
    <col min="4109" max="4111" width="12.7109375" style="3" bestFit="1" customWidth="1"/>
    <col min="4112" max="4112" width="13.7109375" style="3" bestFit="1" customWidth="1"/>
    <col min="4113" max="4113" width="5.5703125" style="3" bestFit="1" customWidth="1"/>
    <col min="4114" max="4359" width="9.140625" style="3"/>
    <col min="4360" max="4360" width="2.42578125" style="3" customWidth="1"/>
    <col min="4361" max="4361" width="10" style="3" customWidth="1"/>
    <col min="4362" max="4362" width="44.85546875" style="3" customWidth="1"/>
    <col min="4363" max="4363" width="5.140625" style="3" customWidth="1"/>
    <col min="4364" max="4364" width="13.7109375" style="3" bestFit="1" customWidth="1"/>
    <col min="4365" max="4367" width="12.7109375" style="3" bestFit="1" customWidth="1"/>
    <col min="4368" max="4368" width="13.7109375" style="3" bestFit="1" customWidth="1"/>
    <col min="4369" max="4369" width="5.5703125" style="3" bestFit="1" customWidth="1"/>
    <col min="4370" max="4615" width="9.140625" style="3"/>
    <col min="4616" max="4616" width="2.42578125" style="3" customWidth="1"/>
    <col min="4617" max="4617" width="10" style="3" customWidth="1"/>
    <col min="4618" max="4618" width="44.85546875" style="3" customWidth="1"/>
    <col min="4619" max="4619" width="5.140625" style="3" customWidth="1"/>
    <col min="4620" max="4620" width="13.7109375" style="3" bestFit="1" customWidth="1"/>
    <col min="4621" max="4623" width="12.7109375" style="3" bestFit="1" customWidth="1"/>
    <col min="4624" max="4624" width="13.7109375" style="3" bestFit="1" customWidth="1"/>
    <col min="4625" max="4625" width="5.5703125" style="3" bestFit="1" customWidth="1"/>
    <col min="4626" max="4871" width="9.140625" style="3"/>
    <col min="4872" max="4872" width="2.42578125" style="3" customWidth="1"/>
    <col min="4873" max="4873" width="10" style="3" customWidth="1"/>
    <col min="4874" max="4874" width="44.85546875" style="3" customWidth="1"/>
    <col min="4875" max="4875" width="5.140625" style="3" customWidth="1"/>
    <col min="4876" max="4876" width="13.7109375" style="3" bestFit="1" customWidth="1"/>
    <col min="4877" max="4879" width="12.7109375" style="3" bestFit="1" customWidth="1"/>
    <col min="4880" max="4880" width="13.7109375" style="3" bestFit="1" customWidth="1"/>
    <col min="4881" max="4881" width="5.5703125" style="3" bestFit="1" customWidth="1"/>
    <col min="4882" max="5127" width="9.140625" style="3"/>
    <col min="5128" max="5128" width="2.42578125" style="3" customWidth="1"/>
    <col min="5129" max="5129" width="10" style="3" customWidth="1"/>
    <col min="5130" max="5130" width="44.85546875" style="3" customWidth="1"/>
    <col min="5131" max="5131" width="5.140625" style="3" customWidth="1"/>
    <col min="5132" max="5132" width="13.7109375" style="3" bestFit="1" customWidth="1"/>
    <col min="5133" max="5135" width="12.7109375" style="3" bestFit="1" customWidth="1"/>
    <col min="5136" max="5136" width="13.7109375" style="3" bestFit="1" customWidth="1"/>
    <col min="5137" max="5137" width="5.5703125" style="3" bestFit="1" customWidth="1"/>
    <col min="5138" max="5383" width="9.140625" style="3"/>
    <col min="5384" max="5384" width="2.42578125" style="3" customWidth="1"/>
    <col min="5385" max="5385" width="10" style="3" customWidth="1"/>
    <col min="5386" max="5386" width="44.85546875" style="3" customWidth="1"/>
    <col min="5387" max="5387" width="5.140625" style="3" customWidth="1"/>
    <col min="5388" max="5388" width="13.7109375" style="3" bestFit="1" customWidth="1"/>
    <col min="5389" max="5391" width="12.7109375" style="3" bestFit="1" customWidth="1"/>
    <col min="5392" max="5392" width="13.7109375" style="3" bestFit="1" customWidth="1"/>
    <col min="5393" max="5393" width="5.5703125" style="3" bestFit="1" customWidth="1"/>
    <col min="5394" max="5639" width="9.140625" style="3"/>
    <col min="5640" max="5640" width="2.42578125" style="3" customWidth="1"/>
    <col min="5641" max="5641" width="10" style="3" customWidth="1"/>
    <col min="5642" max="5642" width="44.85546875" style="3" customWidth="1"/>
    <col min="5643" max="5643" width="5.140625" style="3" customWidth="1"/>
    <col min="5644" max="5644" width="13.7109375" style="3" bestFit="1" customWidth="1"/>
    <col min="5645" max="5647" width="12.7109375" style="3" bestFit="1" customWidth="1"/>
    <col min="5648" max="5648" width="13.7109375" style="3" bestFit="1" customWidth="1"/>
    <col min="5649" max="5649" width="5.5703125" style="3" bestFit="1" customWidth="1"/>
    <col min="5650" max="5895" width="9.140625" style="3"/>
    <col min="5896" max="5896" width="2.42578125" style="3" customWidth="1"/>
    <col min="5897" max="5897" width="10" style="3" customWidth="1"/>
    <col min="5898" max="5898" width="44.85546875" style="3" customWidth="1"/>
    <col min="5899" max="5899" width="5.140625" style="3" customWidth="1"/>
    <col min="5900" max="5900" width="13.7109375" style="3" bestFit="1" customWidth="1"/>
    <col min="5901" max="5903" width="12.7109375" style="3" bestFit="1" customWidth="1"/>
    <col min="5904" max="5904" width="13.7109375" style="3" bestFit="1" customWidth="1"/>
    <col min="5905" max="5905" width="5.5703125" style="3" bestFit="1" customWidth="1"/>
    <col min="5906" max="6151" width="9.140625" style="3"/>
    <col min="6152" max="6152" width="2.42578125" style="3" customWidth="1"/>
    <col min="6153" max="6153" width="10" style="3" customWidth="1"/>
    <col min="6154" max="6154" width="44.85546875" style="3" customWidth="1"/>
    <col min="6155" max="6155" width="5.140625" style="3" customWidth="1"/>
    <col min="6156" max="6156" width="13.7109375" style="3" bestFit="1" customWidth="1"/>
    <col min="6157" max="6159" width="12.7109375" style="3" bestFit="1" customWidth="1"/>
    <col min="6160" max="6160" width="13.7109375" style="3" bestFit="1" customWidth="1"/>
    <col min="6161" max="6161" width="5.5703125" style="3" bestFit="1" customWidth="1"/>
    <col min="6162" max="6407" width="9.140625" style="3"/>
    <col min="6408" max="6408" width="2.42578125" style="3" customWidth="1"/>
    <col min="6409" max="6409" width="10" style="3" customWidth="1"/>
    <col min="6410" max="6410" width="44.85546875" style="3" customWidth="1"/>
    <col min="6411" max="6411" width="5.140625" style="3" customWidth="1"/>
    <col min="6412" max="6412" width="13.7109375" style="3" bestFit="1" customWidth="1"/>
    <col min="6413" max="6415" width="12.7109375" style="3" bestFit="1" customWidth="1"/>
    <col min="6416" max="6416" width="13.7109375" style="3" bestFit="1" customWidth="1"/>
    <col min="6417" max="6417" width="5.5703125" style="3" bestFit="1" customWidth="1"/>
    <col min="6418" max="6663" width="9.140625" style="3"/>
    <col min="6664" max="6664" width="2.42578125" style="3" customWidth="1"/>
    <col min="6665" max="6665" width="10" style="3" customWidth="1"/>
    <col min="6666" max="6666" width="44.85546875" style="3" customWidth="1"/>
    <col min="6667" max="6667" width="5.140625" style="3" customWidth="1"/>
    <col min="6668" max="6668" width="13.7109375" style="3" bestFit="1" customWidth="1"/>
    <col min="6669" max="6671" width="12.7109375" style="3" bestFit="1" customWidth="1"/>
    <col min="6672" max="6672" width="13.7109375" style="3" bestFit="1" customWidth="1"/>
    <col min="6673" max="6673" width="5.5703125" style="3" bestFit="1" customWidth="1"/>
    <col min="6674" max="6919" width="9.140625" style="3"/>
    <col min="6920" max="6920" width="2.42578125" style="3" customWidth="1"/>
    <col min="6921" max="6921" width="10" style="3" customWidth="1"/>
    <col min="6922" max="6922" width="44.85546875" style="3" customWidth="1"/>
    <col min="6923" max="6923" width="5.140625" style="3" customWidth="1"/>
    <col min="6924" max="6924" width="13.7109375" style="3" bestFit="1" customWidth="1"/>
    <col min="6925" max="6927" width="12.7109375" style="3" bestFit="1" customWidth="1"/>
    <col min="6928" max="6928" width="13.7109375" style="3" bestFit="1" customWidth="1"/>
    <col min="6929" max="6929" width="5.5703125" style="3" bestFit="1" customWidth="1"/>
    <col min="6930" max="7175" width="9.140625" style="3"/>
    <col min="7176" max="7176" width="2.42578125" style="3" customWidth="1"/>
    <col min="7177" max="7177" width="10" style="3" customWidth="1"/>
    <col min="7178" max="7178" width="44.85546875" style="3" customWidth="1"/>
    <col min="7179" max="7179" width="5.140625" style="3" customWidth="1"/>
    <col min="7180" max="7180" width="13.7109375" style="3" bestFit="1" customWidth="1"/>
    <col min="7181" max="7183" width="12.7109375" style="3" bestFit="1" customWidth="1"/>
    <col min="7184" max="7184" width="13.7109375" style="3" bestFit="1" customWidth="1"/>
    <col min="7185" max="7185" width="5.5703125" style="3" bestFit="1" customWidth="1"/>
    <col min="7186" max="7431" width="9.140625" style="3"/>
    <col min="7432" max="7432" width="2.42578125" style="3" customWidth="1"/>
    <col min="7433" max="7433" width="10" style="3" customWidth="1"/>
    <col min="7434" max="7434" width="44.85546875" style="3" customWidth="1"/>
    <col min="7435" max="7435" width="5.140625" style="3" customWidth="1"/>
    <col min="7436" max="7436" width="13.7109375" style="3" bestFit="1" customWidth="1"/>
    <col min="7437" max="7439" width="12.7109375" style="3" bestFit="1" customWidth="1"/>
    <col min="7440" max="7440" width="13.7109375" style="3" bestFit="1" customWidth="1"/>
    <col min="7441" max="7441" width="5.5703125" style="3" bestFit="1" customWidth="1"/>
    <col min="7442" max="7687" width="9.140625" style="3"/>
    <col min="7688" max="7688" width="2.42578125" style="3" customWidth="1"/>
    <col min="7689" max="7689" width="10" style="3" customWidth="1"/>
    <col min="7690" max="7690" width="44.85546875" style="3" customWidth="1"/>
    <col min="7691" max="7691" width="5.140625" style="3" customWidth="1"/>
    <col min="7692" max="7692" width="13.7109375" style="3" bestFit="1" customWidth="1"/>
    <col min="7693" max="7695" width="12.7109375" style="3" bestFit="1" customWidth="1"/>
    <col min="7696" max="7696" width="13.7109375" style="3" bestFit="1" customWidth="1"/>
    <col min="7697" max="7697" width="5.5703125" style="3" bestFit="1" customWidth="1"/>
    <col min="7698" max="7943" width="9.140625" style="3"/>
    <col min="7944" max="7944" width="2.42578125" style="3" customWidth="1"/>
    <col min="7945" max="7945" width="10" style="3" customWidth="1"/>
    <col min="7946" max="7946" width="44.85546875" style="3" customWidth="1"/>
    <col min="7947" max="7947" width="5.140625" style="3" customWidth="1"/>
    <col min="7948" max="7948" width="13.7109375" style="3" bestFit="1" customWidth="1"/>
    <col min="7949" max="7951" width="12.7109375" style="3" bestFit="1" customWidth="1"/>
    <col min="7952" max="7952" width="13.7109375" style="3" bestFit="1" customWidth="1"/>
    <col min="7953" max="7953" width="5.5703125" style="3" bestFit="1" customWidth="1"/>
    <col min="7954" max="8199" width="9.140625" style="3"/>
    <col min="8200" max="8200" width="2.42578125" style="3" customWidth="1"/>
    <col min="8201" max="8201" width="10" style="3" customWidth="1"/>
    <col min="8202" max="8202" width="44.85546875" style="3" customWidth="1"/>
    <col min="8203" max="8203" width="5.140625" style="3" customWidth="1"/>
    <col min="8204" max="8204" width="13.7109375" style="3" bestFit="1" customWidth="1"/>
    <col min="8205" max="8207" width="12.7109375" style="3" bestFit="1" customWidth="1"/>
    <col min="8208" max="8208" width="13.7109375" style="3" bestFit="1" customWidth="1"/>
    <col min="8209" max="8209" width="5.5703125" style="3" bestFit="1" customWidth="1"/>
    <col min="8210" max="8455" width="9.140625" style="3"/>
    <col min="8456" max="8456" width="2.42578125" style="3" customWidth="1"/>
    <col min="8457" max="8457" width="10" style="3" customWidth="1"/>
    <col min="8458" max="8458" width="44.85546875" style="3" customWidth="1"/>
    <col min="8459" max="8459" width="5.140625" style="3" customWidth="1"/>
    <col min="8460" max="8460" width="13.7109375" style="3" bestFit="1" customWidth="1"/>
    <col min="8461" max="8463" width="12.7109375" style="3" bestFit="1" customWidth="1"/>
    <col min="8464" max="8464" width="13.7109375" style="3" bestFit="1" customWidth="1"/>
    <col min="8465" max="8465" width="5.5703125" style="3" bestFit="1" customWidth="1"/>
    <col min="8466" max="8711" width="9.140625" style="3"/>
    <col min="8712" max="8712" width="2.42578125" style="3" customWidth="1"/>
    <col min="8713" max="8713" width="10" style="3" customWidth="1"/>
    <col min="8714" max="8714" width="44.85546875" style="3" customWidth="1"/>
    <col min="8715" max="8715" width="5.140625" style="3" customWidth="1"/>
    <col min="8716" max="8716" width="13.7109375" style="3" bestFit="1" customWidth="1"/>
    <col min="8717" max="8719" width="12.7109375" style="3" bestFit="1" customWidth="1"/>
    <col min="8720" max="8720" width="13.7109375" style="3" bestFit="1" customWidth="1"/>
    <col min="8721" max="8721" width="5.5703125" style="3" bestFit="1" customWidth="1"/>
    <col min="8722" max="8967" width="9.140625" style="3"/>
    <col min="8968" max="8968" width="2.42578125" style="3" customWidth="1"/>
    <col min="8969" max="8969" width="10" style="3" customWidth="1"/>
    <col min="8970" max="8970" width="44.85546875" style="3" customWidth="1"/>
    <col min="8971" max="8971" width="5.140625" style="3" customWidth="1"/>
    <col min="8972" max="8972" width="13.7109375" style="3" bestFit="1" customWidth="1"/>
    <col min="8973" max="8975" width="12.7109375" style="3" bestFit="1" customWidth="1"/>
    <col min="8976" max="8976" width="13.7109375" style="3" bestFit="1" customWidth="1"/>
    <col min="8977" max="8977" width="5.5703125" style="3" bestFit="1" customWidth="1"/>
    <col min="8978" max="9223" width="9.140625" style="3"/>
    <col min="9224" max="9224" width="2.42578125" style="3" customWidth="1"/>
    <col min="9225" max="9225" width="10" style="3" customWidth="1"/>
    <col min="9226" max="9226" width="44.85546875" style="3" customWidth="1"/>
    <col min="9227" max="9227" width="5.140625" style="3" customWidth="1"/>
    <col min="9228" max="9228" width="13.7109375" style="3" bestFit="1" customWidth="1"/>
    <col min="9229" max="9231" width="12.7109375" style="3" bestFit="1" customWidth="1"/>
    <col min="9232" max="9232" width="13.7109375" style="3" bestFit="1" customWidth="1"/>
    <col min="9233" max="9233" width="5.5703125" style="3" bestFit="1" customWidth="1"/>
    <col min="9234" max="9479" width="9.140625" style="3"/>
    <col min="9480" max="9480" width="2.42578125" style="3" customWidth="1"/>
    <col min="9481" max="9481" width="10" style="3" customWidth="1"/>
    <col min="9482" max="9482" width="44.85546875" style="3" customWidth="1"/>
    <col min="9483" max="9483" width="5.140625" style="3" customWidth="1"/>
    <col min="9484" max="9484" width="13.7109375" style="3" bestFit="1" customWidth="1"/>
    <col min="9485" max="9487" width="12.7109375" style="3" bestFit="1" customWidth="1"/>
    <col min="9488" max="9488" width="13.7109375" style="3" bestFit="1" customWidth="1"/>
    <col min="9489" max="9489" width="5.5703125" style="3" bestFit="1" customWidth="1"/>
    <col min="9490" max="9735" width="9.140625" style="3"/>
    <col min="9736" max="9736" width="2.42578125" style="3" customWidth="1"/>
    <col min="9737" max="9737" width="10" style="3" customWidth="1"/>
    <col min="9738" max="9738" width="44.85546875" style="3" customWidth="1"/>
    <col min="9739" max="9739" width="5.140625" style="3" customWidth="1"/>
    <col min="9740" max="9740" width="13.7109375" style="3" bestFit="1" customWidth="1"/>
    <col min="9741" max="9743" width="12.7109375" style="3" bestFit="1" customWidth="1"/>
    <col min="9744" max="9744" width="13.7109375" style="3" bestFit="1" customWidth="1"/>
    <col min="9745" max="9745" width="5.5703125" style="3" bestFit="1" customWidth="1"/>
    <col min="9746" max="9991" width="9.140625" style="3"/>
    <col min="9992" max="9992" width="2.42578125" style="3" customWidth="1"/>
    <col min="9993" max="9993" width="10" style="3" customWidth="1"/>
    <col min="9994" max="9994" width="44.85546875" style="3" customWidth="1"/>
    <col min="9995" max="9995" width="5.140625" style="3" customWidth="1"/>
    <col min="9996" max="9996" width="13.7109375" style="3" bestFit="1" customWidth="1"/>
    <col min="9997" max="9999" width="12.7109375" style="3" bestFit="1" customWidth="1"/>
    <col min="10000" max="10000" width="13.7109375" style="3" bestFit="1" customWidth="1"/>
    <col min="10001" max="10001" width="5.5703125" style="3" bestFit="1" customWidth="1"/>
    <col min="10002" max="10247" width="9.140625" style="3"/>
    <col min="10248" max="10248" width="2.42578125" style="3" customWidth="1"/>
    <col min="10249" max="10249" width="10" style="3" customWidth="1"/>
    <col min="10250" max="10250" width="44.85546875" style="3" customWidth="1"/>
    <col min="10251" max="10251" width="5.140625" style="3" customWidth="1"/>
    <col min="10252" max="10252" width="13.7109375" style="3" bestFit="1" customWidth="1"/>
    <col min="10253" max="10255" width="12.7109375" style="3" bestFit="1" customWidth="1"/>
    <col min="10256" max="10256" width="13.7109375" style="3" bestFit="1" customWidth="1"/>
    <col min="10257" max="10257" width="5.5703125" style="3" bestFit="1" customWidth="1"/>
    <col min="10258" max="10503" width="9.140625" style="3"/>
    <col min="10504" max="10504" width="2.42578125" style="3" customWidth="1"/>
    <col min="10505" max="10505" width="10" style="3" customWidth="1"/>
    <col min="10506" max="10506" width="44.85546875" style="3" customWidth="1"/>
    <col min="10507" max="10507" width="5.140625" style="3" customWidth="1"/>
    <col min="10508" max="10508" width="13.7109375" style="3" bestFit="1" customWidth="1"/>
    <col min="10509" max="10511" width="12.7109375" style="3" bestFit="1" customWidth="1"/>
    <col min="10512" max="10512" width="13.7109375" style="3" bestFit="1" customWidth="1"/>
    <col min="10513" max="10513" width="5.5703125" style="3" bestFit="1" customWidth="1"/>
    <col min="10514" max="10759" width="9.140625" style="3"/>
    <col min="10760" max="10760" width="2.42578125" style="3" customWidth="1"/>
    <col min="10761" max="10761" width="10" style="3" customWidth="1"/>
    <col min="10762" max="10762" width="44.85546875" style="3" customWidth="1"/>
    <col min="10763" max="10763" width="5.140625" style="3" customWidth="1"/>
    <col min="10764" max="10764" width="13.7109375" style="3" bestFit="1" customWidth="1"/>
    <col min="10765" max="10767" width="12.7109375" style="3" bestFit="1" customWidth="1"/>
    <col min="10768" max="10768" width="13.7109375" style="3" bestFit="1" customWidth="1"/>
    <col min="10769" max="10769" width="5.5703125" style="3" bestFit="1" customWidth="1"/>
    <col min="10770" max="11015" width="9.140625" style="3"/>
    <col min="11016" max="11016" width="2.42578125" style="3" customWidth="1"/>
    <col min="11017" max="11017" width="10" style="3" customWidth="1"/>
    <col min="11018" max="11018" width="44.85546875" style="3" customWidth="1"/>
    <col min="11019" max="11019" width="5.140625" style="3" customWidth="1"/>
    <col min="11020" max="11020" width="13.7109375" style="3" bestFit="1" customWidth="1"/>
    <col min="11021" max="11023" width="12.7109375" style="3" bestFit="1" customWidth="1"/>
    <col min="11024" max="11024" width="13.7109375" style="3" bestFit="1" customWidth="1"/>
    <col min="11025" max="11025" width="5.5703125" style="3" bestFit="1" customWidth="1"/>
    <col min="11026" max="11271" width="9.140625" style="3"/>
    <col min="11272" max="11272" width="2.42578125" style="3" customWidth="1"/>
    <col min="11273" max="11273" width="10" style="3" customWidth="1"/>
    <col min="11274" max="11274" width="44.85546875" style="3" customWidth="1"/>
    <col min="11275" max="11275" width="5.140625" style="3" customWidth="1"/>
    <col min="11276" max="11276" width="13.7109375" style="3" bestFit="1" customWidth="1"/>
    <col min="11277" max="11279" width="12.7109375" style="3" bestFit="1" customWidth="1"/>
    <col min="11280" max="11280" width="13.7109375" style="3" bestFit="1" customWidth="1"/>
    <col min="11281" max="11281" width="5.5703125" style="3" bestFit="1" customWidth="1"/>
    <col min="11282" max="11527" width="9.140625" style="3"/>
    <col min="11528" max="11528" width="2.42578125" style="3" customWidth="1"/>
    <col min="11529" max="11529" width="10" style="3" customWidth="1"/>
    <col min="11530" max="11530" width="44.85546875" style="3" customWidth="1"/>
    <col min="11531" max="11531" width="5.140625" style="3" customWidth="1"/>
    <col min="11532" max="11532" width="13.7109375" style="3" bestFit="1" customWidth="1"/>
    <col min="11533" max="11535" width="12.7109375" style="3" bestFit="1" customWidth="1"/>
    <col min="11536" max="11536" width="13.7109375" style="3" bestFit="1" customWidth="1"/>
    <col min="11537" max="11537" width="5.5703125" style="3" bestFit="1" customWidth="1"/>
    <col min="11538" max="11783" width="9.140625" style="3"/>
    <col min="11784" max="11784" width="2.42578125" style="3" customWidth="1"/>
    <col min="11785" max="11785" width="10" style="3" customWidth="1"/>
    <col min="11786" max="11786" width="44.85546875" style="3" customWidth="1"/>
    <col min="11787" max="11787" width="5.140625" style="3" customWidth="1"/>
    <col min="11788" max="11788" width="13.7109375" style="3" bestFit="1" customWidth="1"/>
    <col min="11789" max="11791" width="12.7109375" style="3" bestFit="1" customWidth="1"/>
    <col min="11792" max="11792" width="13.7109375" style="3" bestFit="1" customWidth="1"/>
    <col min="11793" max="11793" width="5.5703125" style="3" bestFit="1" customWidth="1"/>
    <col min="11794" max="12039" width="9.140625" style="3"/>
    <col min="12040" max="12040" width="2.42578125" style="3" customWidth="1"/>
    <col min="12041" max="12041" width="10" style="3" customWidth="1"/>
    <col min="12042" max="12042" width="44.85546875" style="3" customWidth="1"/>
    <col min="12043" max="12043" width="5.140625" style="3" customWidth="1"/>
    <col min="12044" max="12044" width="13.7109375" style="3" bestFit="1" customWidth="1"/>
    <col min="12045" max="12047" width="12.7109375" style="3" bestFit="1" customWidth="1"/>
    <col min="12048" max="12048" width="13.7109375" style="3" bestFit="1" customWidth="1"/>
    <col min="12049" max="12049" width="5.5703125" style="3" bestFit="1" customWidth="1"/>
    <col min="12050" max="12295" width="9.140625" style="3"/>
    <col min="12296" max="12296" width="2.42578125" style="3" customWidth="1"/>
    <col min="12297" max="12297" width="10" style="3" customWidth="1"/>
    <col min="12298" max="12298" width="44.85546875" style="3" customWidth="1"/>
    <col min="12299" max="12299" width="5.140625" style="3" customWidth="1"/>
    <col min="12300" max="12300" width="13.7109375" style="3" bestFit="1" customWidth="1"/>
    <col min="12301" max="12303" width="12.7109375" style="3" bestFit="1" customWidth="1"/>
    <col min="12304" max="12304" width="13.7109375" style="3" bestFit="1" customWidth="1"/>
    <col min="12305" max="12305" width="5.5703125" style="3" bestFit="1" customWidth="1"/>
    <col min="12306" max="12551" width="9.140625" style="3"/>
    <col min="12552" max="12552" width="2.42578125" style="3" customWidth="1"/>
    <col min="12553" max="12553" width="10" style="3" customWidth="1"/>
    <col min="12554" max="12554" width="44.85546875" style="3" customWidth="1"/>
    <col min="12555" max="12555" width="5.140625" style="3" customWidth="1"/>
    <col min="12556" max="12556" width="13.7109375" style="3" bestFit="1" customWidth="1"/>
    <col min="12557" max="12559" width="12.7109375" style="3" bestFit="1" customWidth="1"/>
    <col min="12560" max="12560" width="13.7109375" style="3" bestFit="1" customWidth="1"/>
    <col min="12561" max="12561" width="5.5703125" style="3" bestFit="1" customWidth="1"/>
    <col min="12562" max="12807" width="9.140625" style="3"/>
    <col min="12808" max="12808" width="2.42578125" style="3" customWidth="1"/>
    <col min="12809" max="12809" width="10" style="3" customWidth="1"/>
    <col min="12810" max="12810" width="44.85546875" style="3" customWidth="1"/>
    <col min="12811" max="12811" width="5.140625" style="3" customWidth="1"/>
    <col min="12812" max="12812" width="13.7109375" style="3" bestFit="1" customWidth="1"/>
    <col min="12813" max="12815" width="12.7109375" style="3" bestFit="1" customWidth="1"/>
    <col min="12816" max="12816" width="13.7109375" style="3" bestFit="1" customWidth="1"/>
    <col min="12817" max="12817" width="5.5703125" style="3" bestFit="1" customWidth="1"/>
    <col min="12818" max="13063" width="9.140625" style="3"/>
    <col min="13064" max="13064" width="2.42578125" style="3" customWidth="1"/>
    <col min="13065" max="13065" width="10" style="3" customWidth="1"/>
    <col min="13066" max="13066" width="44.85546875" style="3" customWidth="1"/>
    <col min="13067" max="13067" width="5.140625" style="3" customWidth="1"/>
    <col min="13068" max="13068" width="13.7109375" style="3" bestFit="1" customWidth="1"/>
    <col min="13069" max="13071" width="12.7109375" style="3" bestFit="1" customWidth="1"/>
    <col min="13072" max="13072" width="13.7109375" style="3" bestFit="1" customWidth="1"/>
    <col min="13073" max="13073" width="5.5703125" style="3" bestFit="1" customWidth="1"/>
    <col min="13074" max="13319" width="9.140625" style="3"/>
    <col min="13320" max="13320" width="2.42578125" style="3" customWidth="1"/>
    <col min="13321" max="13321" width="10" style="3" customWidth="1"/>
    <col min="13322" max="13322" width="44.85546875" style="3" customWidth="1"/>
    <col min="13323" max="13323" width="5.140625" style="3" customWidth="1"/>
    <col min="13324" max="13324" width="13.7109375" style="3" bestFit="1" customWidth="1"/>
    <col min="13325" max="13327" width="12.7109375" style="3" bestFit="1" customWidth="1"/>
    <col min="13328" max="13328" width="13.7109375" style="3" bestFit="1" customWidth="1"/>
    <col min="13329" max="13329" width="5.5703125" style="3" bestFit="1" customWidth="1"/>
    <col min="13330" max="13575" width="9.140625" style="3"/>
    <col min="13576" max="13576" width="2.42578125" style="3" customWidth="1"/>
    <col min="13577" max="13577" width="10" style="3" customWidth="1"/>
    <col min="13578" max="13578" width="44.85546875" style="3" customWidth="1"/>
    <col min="13579" max="13579" width="5.140625" style="3" customWidth="1"/>
    <col min="13580" max="13580" width="13.7109375" style="3" bestFit="1" customWidth="1"/>
    <col min="13581" max="13583" width="12.7109375" style="3" bestFit="1" customWidth="1"/>
    <col min="13584" max="13584" width="13.7109375" style="3" bestFit="1" customWidth="1"/>
    <col min="13585" max="13585" width="5.5703125" style="3" bestFit="1" customWidth="1"/>
    <col min="13586" max="13831" width="9.140625" style="3"/>
    <col min="13832" max="13832" width="2.42578125" style="3" customWidth="1"/>
    <col min="13833" max="13833" width="10" style="3" customWidth="1"/>
    <col min="13834" max="13834" width="44.85546875" style="3" customWidth="1"/>
    <col min="13835" max="13835" width="5.140625" style="3" customWidth="1"/>
    <col min="13836" max="13836" width="13.7109375" style="3" bestFit="1" customWidth="1"/>
    <col min="13837" max="13839" width="12.7109375" style="3" bestFit="1" customWidth="1"/>
    <col min="13840" max="13840" width="13.7109375" style="3" bestFit="1" customWidth="1"/>
    <col min="13841" max="13841" width="5.5703125" style="3" bestFit="1" customWidth="1"/>
    <col min="13842" max="14087" width="9.140625" style="3"/>
    <col min="14088" max="14088" width="2.42578125" style="3" customWidth="1"/>
    <col min="14089" max="14089" width="10" style="3" customWidth="1"/>
    <col min="14090" max="14090" width="44.85546875" style="3" customWidth="1"/>
    <col min="14091" max="14091" width="5.140625" style="3" customWidth="1"/>
    <col min="14092" max="14092" width="13.7109375" style="3" bestFit="1" customWidth="1"/>
    <col min="14093" max="14095" width="12.7109375" style="3" bestFit="1" customWidth="1"/>
    <col min="14096" max="14096" width="13.7109375" style="3" bestFit="1" customWidth="1"/>
    <col min="14097" max="14097" width="5.5703125" style="3" bestFit="1" customWidth="1"/>
    <col min="14098" max="14343" width="9.140625" style="3"/>
    <col min="14344" max="14344" width="2.42578125" style="3" customWidth="1"/>
    <col min="14345" max="14345" width="10" style="3" customWidth="1"/>
    <col min="14346" max="14346" width="44.85546875" style="3" customWidth="1"/>
    <col min="14347" max="14347" width="5.140625" style="3" customWidth="1"/>
    <col min="14348" max="14348" width="13.7109375" style="3" bestFit="1" customWidth="1"/>
    <col min="14349" max="14351" width="12.7109375" style="3" bestFit="1" customWidth="1"/>
    <col min="14352" max="14352" width="13.7109375" style="3" bestFit="1" customWidth="1"/>
    <col min="14353" max="14353" width="5.5703125" style="3" bestFit="1" customWidth="1"/>
    <col min="14354" max="14599" width="9.140625" style="3"/>
    <col min="14600" max="14600" width="2.42578125" style="3" customWidth="1"/>
    <col min="14601" max="14601" width="10" style="3" customWidth="1"/>
    <col min="14602" max="14602" width="44.85546875" style="3" customWidth="1"/>
    <col min="14603" max="14603" width="5.140625" style="3" customWidth="1"/>
    <col min="14604" max="14604" width="13.7109375" style="3" bestFit="1" customWidth="1"/>
    <col min="14605" max="14607" width="12.7109375" style="3" bestFit="1" customWidth="1"/>
    <col min="14608" max="14608" width="13.7109375" style="3" bestFit="1" customWidth="1"/>
    <col min="14609" max="14609" width="5.5703125" style="3" bestFit="1" customWidth="1"/>
    <col min="14610" max="14855" width="9.140625" style="3"/>
    <col min="14856" max="14856" width="2.42578125" style="3" customWidth="1"/>
    <col min="14857" max="14857" width="10" style="3" customWidth="1"/>
    <col min="14858" max="14858" width="44.85546875" style="3" customWidth="1"/>
    <col min="14859" max="14859" width="5.140625" style="3" customWidth="1"/>
    <col min="14860" max="14860" width="13.7109375" style="3" bestFit="1" customWidth="1"/>
    <col min="14861" max="14863" width="12.7109375" style="3" bestFit="1" customWidth="1"/>
    <col min="14864" max="14864" width="13.7109375" style="3" bestFit="1" customWidth="1"/>
    <col min="14865" max="14865" width="5.5703125" style="3" bestFit="1" customWidth="1"/>
    <col min="14866" max="15111" width="9.140625" style="3"/>
    <col min="15112" max="15112" width="2.42578125" style="3" customWidth="1"/>
    <col min="15113" max="15113" width="10" style="3" customWidth="1"/>
    <col min="15114" max="15114" width="44.85546875" style="3" customWidth="1"/>
    <col min="15115" max="15115" width="5.140625" style="3" customWidth="1"/>
    <col min="15116" max="15116" width="13.7109375" style="3" bestFit="1" customWidth="1"/>
    <col min="15117" max="15119" width="12.7109375" style="3" bestFit="1" customWidth="1"/>
    <col min="15120" max="15120" width="13.7109375" style="3" bestFit="1" customWidth="1"/>
    <col min="15121" max="15121" width="5.5703125" style="3" bestFit="1" customWidth="1"/>
    <col min="15122" max="15367" width="9.140625" style="3"/>
    <col min="15368" max="15368" width="2.42578125" style="3" customWidth="1"/>
    <col min="15369" max="15369" width="10" style="3" customWidth="1"/>
    <col min="15370" max="15370" width="44.85546875" style="3" customWidth="1"/>
    <col min="15371" max="15371" width="5.140625" style="3" customWidth="1"/>
    <col min="15372" max="15372" width="13.7109375" style="3" bestFit="1" customWidth="1"/>
    <col min="15373" max="15375" width="12.7109375" style="3" bestFit="1" customWidth="1"/>
    <col min="15376" max="15376" width="13.7109375" style="3" bestFit="1" customWidth="1"/>
    <col min="15377" max="15377" width="5.5703125" style="3" bestFit="1" customWidth="1"/>
    <col min="15378" max="15623" width="9.140625" style="3"/>
    <col min="15624" max="15624" width="2.42578125" style="3" customWidth="1"/>
    <col min="15625" max="15625" width="10" style="3" customWidth="1"/>
    <col min="15626" max="15626" width="44.85546875" style="3" customWidth="1"/>
    <col min="15627" max="15627" width="5.140625" style="3" customWidth="1"/>
    <col min="15628" max="15628" width="13.7109375" style="3" bestFit="1" customWidth="1"/>
    <col min="15629" max="15631" width="12.7109375" style="3" bestFit="1" customWidth="1"/>
    <col min="15632" max="15632" width="13.7109375" style="3" bestFit="1" customWidth="1"/>
    <col min="15633" max="15633" width="5.5703125" style="3" bestFit="1" customWidth="1"/>
    <col min="15634" max="15879" width="9.140625" style="3"/>
    <col min="15880" max="15880" width="2.42578125" style="3" customWidth="1"/>
    <col min="15881" max="15881" width="10" style="3" customWidth="1"/>
    <col min="15882" max="15882" width="44.85546875" style="3" customWidth="1"/>
    <col min="15883" max="15883" width="5.140625" style="3" customWidth="1"/>
    <col min="15884" max="15884" width="13.7109375" style="3" bestFit="1" customWidth="1"/>
    <col min="15885" max="15887" width="12.7109375" style="3" bestFit="1" customWidth="1"/>
    <col min="15888" max="15888" width="13.7109375" style="3" bestFit="1" customWidth="1"/>
    <col min="15889" max="15889" width="5.5703125" style="3" bestFit="1" customWidth="1"/>
    <col min="15890" max="16135" width="9.140625" style="3"/>
    <col min="16136" max="16136" width="2.42578125" style="3" customWidth="1"/>
    <col min="16137" max="16137" width="10" style="3" customWidth="1"/>
    <col min="16138" max="16138" width="44.85546875" style="3" customWidth="1"/>
    <col min="16139" max="16139" width="5.140625" style="3" customWidth="1"/>
    <col min="16140" max="16140" width="13.7109375" style="3" bestFit="1" customWidth="1"/>
    <col min="16141" max="16143" width="12.7109375" style="3" bestFit="1" customWidth="1"/>
    <col min="16144" max="16144" width="13.7109375" style="3" bestFit="1" customWidth="1"/>
    <col min="16145" max="16145" width="5.5703125" style="3" bestFit="1" customWidth="1"/>
    <col min="16146" max="16384" width="9.140625" style="3"/>
  </cols>
  <sheetData>
    <row r="2" spans="1:17" x14ac:dyDescent="0.15">
      <c r="A2" s="107" t="s">
        <v>112</v>
      </c>
    </row>
    <row r="3" spans="1:17" s="24" customFormat="1" x14ac:dyDescent="0.15">
      <c r="A3" s="404" t="s">
        <v>113</v>
      </c>
      <c r="B3" s="404" t="s">
        <v>114</v>
      </c>
    </row>
    <row r="4" spans="1:17" x14ac:dyDescent="0.15">
      <c r="A4" s="405" t="s">
        <v>115</v>
      </c>
      <c r="B4" s="405" t="s">
        <v>115</v>
      </c>
    </row>
    <row r="5" spans="1:17" x14ac:dyDescent="0.15">
      <c r="A5" s="406">
        <v>0.19989999999999999</v>
      </c>
      <c r="B5" s="406">
        <v>0.11840000000000001</v>
      </c>
    </row>
    <row r="6" spans="1:17" x14ac:dyDescent="0.15">
      <c r="A6" s="405" t="s">
        <v>116</v>
      </c>
      <c r="B6" s="87" t="s">
        <v>117</v>
      </c>
    </row>
    <row r="7" spans="1:17" x14ac:dyDescent="0.15">
      <c r="A7" s="406">
        <v>0.33</v>
      </c>
    </row>
    <row r="9" spans="1:17" x14ac:dyDescent="0.15">
      <c r="A9" s="25"/>
      <c r="B9" s="25"/>
      <c r="C9" s="25"/>
      <c r="D9" s="25"/>
      <c r="E9" s="25"/>
      <c r="F9" s="33" t="s">
        <v>11</v>
      </c>
      <c r="G9" s="407">
        <v>2021</v>
      </c>
      <c r="H9" s="407">
        <v>2021</v>
      </c>
      <c r="I9" s="407">
        <v>2022</v>
      </c>
      <c r="J9" s="407">
        <v>2023</v>
      </c>
      <c r="K9" s="407">
        <v>2024</v>
      </c>
      <c r="L9" s="407">
        <v>2025</v>
      </c>
      <c r="M9" s="407"/>
      <c r="N9" s="407"/>
      <c r="O9" s="407"/>
      <c r="P9" s="407"/>
    </row>
    <row r="10" spans="1:17" x14ac:dyDescent="0.15">
      <c r="F10" s="349" t="s">
        <v>716</v>
      </c>
      <c r="G10" s="408">
        <v>0.33</v>
      </c>
      <c r="H10" s="408">
        <v>0.33500000000000002</v>
      </c>
      <c r="I10" s="409">
        <v>0.4</v>
      </c>
      <c r="J10" s="406">
        <v>0.5</v>
      </c>
      <c r="K10" s="406">
        <v>0.74</v>
      </c>
      <c r="L10" s="409">
        <v>0.72</v>
      </c>
      <c r="M10" s="409"/>
      <c r="N10" s="409"/>
      <c r="O10" s="409"/>
      <c r="P10" s="409"/>
    </row>
    <row r="11" spans="1:17" x14ac:dyDescent="0.15">
      <c r="F11" s="349" t="s">
        <v>715</v>
      </c>
    </row>
    <row r="12" spans="1:17" x14ac:dyDescent="0.15">
      <c r="D12" s="400"/>
    </row>
    <row r="13" spans="1:17" x14ac:dyDescent="0.15">
      <c r="D13" s="400"/>
    </row>
    <row r="14" spans="1:17" x14ac:dyDescent="0.15">
      <c r="A14" s="25"/>
      <c r="B14" s="410" t="s">
        <v>494</v>
      </c>
      <c r="C14" s="411"/>
      <c r="D14" s="412" t="s">
        <v>118</v>
      </c>
      <c r="E14" s="412" t="s">
        <v>119</v>
      </c>
      <c r="F14" s="412" t="s">
        <v>120</v>
      </c>
      <c r="G14" s="412" t="s">
        <v>121</v>
      </c>
      <c r="H14" s="412" t="s">
        <v>285</v>
      </c>
      <c r="I14" s="412" t="s">
        <v>286</v>
      </c>
      <c r="J14" s="412" t="s">
        <v>287</v>
      </c>
      <c r="K14" s="412" t="s">
        <v>288</v>
      </c>
      <c r="L14" s="412" t="s">
        <v>289</v>
      </c>
      <c r="M14" s="412" t="s">
        <v>291</v>
      </c>
      <c r="N14" s="412" t="s">
        <v>292</v>
      </c>
      <c r="O14" s="412" t="s">
        <v>293</v>
      </c>
      <c r="P14" s="413" t="s">
        <v>10</v>
      </c>
    </row>
    <row r="15" spans="1:17" x14ac:dyDescent="0.15">
      <c r="B15" s="404" t="s">
        <v>710</v>
      </c>
      <c r="C15" s="405"/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0"/>
      <c r="P15" s="414"/>
    </row>
    <row r="16" spans="1:17" x14ac:dyDescent="0.15">
      <c r="A16" s="59" t="s">
        <v>122</v>
      </c>
      <c r="B16" s="3" t="s">
        <v>709</v>
      </c>
      <c r="C16" s="405">
        <v>311</v>
      </c>
      <c r="D16" s="400">
        <v>646851.22</v>
      </c>
      <c r="E16" s="400">
        <v>1584309.78</v>
      </c>
      <c r="F16" s="400">
        <v>1110585.6299999999</v>
      </c>
      <c r="G16" s="400">
        <v>1101862.0900000001</v>
      </c>
      <c r="H16" s="400">
        <f>1041204.38</f>
        <v>1041204.38</v>
      </c>
      <c r="I16" s="400">
        <v>1041463.47</v>
      </c>
      <c r="J16" s="400">
        <v>1038282.04</v>
      </c>
      <c r="K16" s="400">
        <v>1036421.89</v>
      </c>
      <c r="L16" s="400">
        <v>1047813.28</v>
      </c>
      <c r="M16" s="400">
        <v>1031939.72</v>
      </c>
      <c r="N16" s="400">
        <f>1031371.47</f>
        <v>1031371.47</v>
      </c>
      <c r="O16" s="400">
        <f>2257142.6</f>
        <v>2257142.6</v>
      </c>
      <c r="P16" s="414">
        <f>SUM(D16:O16)</f>
        <v>13969247.57</v>
      </c>
      <c r="Q16" s="400">
        <f>13969247.57-P16</f>
        <v>0</v>
      </c>
    </row>
    <row r="17" spans="1:17" x14ac:dyDescent="0.15">
      <c r="A17" s="59" t="s">
        <v>123</v>
      </c>
      <c r="B17" s="3" t="s">
        <v>711</v>
      </c>
      <c r="C17" s="405">
        <v>320</v>
      </c>
      <c r="D17" s="400">
        <v>40013.54</v>
      </c>
      <c r="E17" s="400">
        <v>25467.31</v>
      </c>
      <c r="F17" s="400">
        <f>43738.35</f>
        <v>43738.35</v>
      </c>
      <c r="G17" s="400">
        <v>147124.29</v>
      </c>
      <c r="H17" s="400">
        <f>167667.79</f>
        <v>167667.79</v>
      </c>
      <c r="I17" s="400">
        <v>197063.87</v>
      </c>
      <c r="J17" s="400">
        <v>79480.33</v>
      </c>
      <c r="K17" s="400">
        <v>114330.75</v>
      </c>
      <c r="L17" s="400">
        <v>39881.89</v>
      </c>
      <c r="M17" s="400">
        <v>76483.03</v>
      </c>
      <c r="N17" s="400">
        <f>132426.56</f>
        <v>132426.56</v>
      </c>
      <c r="O17" s="400">
        <f>81964.99</f>
        <v>81964.990000000005</v>
      </c>
      <c r="P17" s="414">
        <f>SUM(D17:O17)</f>
        <v>1145642.7</v>
      </c>
      <c r="Q17" s="400">
        <f>1145642.7-P17</f>
        <v>0</v>
      </c>
    </row>
    <row r="18" spans="1:17" x14ac:dyDescent="0.15">
      <c r="B18" s="404" t="s">
        <v>712</v>
      </c>
      <c r="C18" s="405"/>
      <c r="D18" s="400">
        <v>1821306.69</v>
      </c>
      <c r="E18" s="400">
        <v>3418373.35</v>
      </c>
      <c r="F18" s="400">
        <v>2477691.9500000002</v>
      </c>
      <c r="G18" s="400">
        <v>2713144.41</v>
      </c>
      <c r="H18" s="400">
        <f>2527081.2</f>
        <v>2527081.2000000002</v>
      </c>
      <c r="I18" s="400">
        <v>2358458.2000000002</v>
      </c>
      <c r="J18" s="400">
        <v>2342207.5</v>
      </c>
      <c r="K18" s="400">
        <f>2308046.36</f>
        <v>2308046.36</v>
      </c>
      <c r="L18" s="400">
        <v>2466047.48</v>
      </c>
      <c r="M18" s="400">
        <v>2370360.38</v>
      </c>
      <c r="N18" s="400">
        <f>2878589.87</f>
        <v>2878589.87</v>
      </c>
      <c r="O18" s="400">
        <f>5272665.5</f>
        <v>5272665.5</v>
      </c>
      <c r="P18" s="414">
        <f>SUM(D18:N18)</f>
        <v>27681307.390000001</v>
      </c>
      <c r="Q18" s="347">
        <f>27681307.39-P18</f>
        <v>0</v>
      </c>
    </row>
    <row r="19" spans="1:17" x14ac:dyDescent="0.15">
      <c r="A19" s="25"/>
      <c r="B19" s="25" t="s">
        <v>713</v>
      </c>
      <c r="C19" s="416"/>
      <c r="D19" s="417">
        <v>1774960.27</v>
      </c>
      <c r="E19" s="418">
        <v>1892028.52</v>
      </c>
      <c r="F19" s="418">
        <v>1916270.79</v>
      </c>
      <c r="G19" s="418">
        <v>1847527.88</v>
      </c>
      <c r="H19" s="418">
        <v>1862823.19</v>
      </c>
      <c r="I19" s="418">
        <f>1860508.85</f>
        <v>1860508.85</v>
      </c>
      <c r="J19" s="418">
        <v>1888869.79</v>
      </c>
      <c r="K19" s="418">
        <v>1864374.65</v>
      </c>
      <c r="L19" s="418">
        <f>1864704.24</f>
        <v>1864704.24</v>
      </c>
      <c r="M19" s="418">
        <v>1868149.11</v>
      </c>
      <c r="N19" s="418">
        <f>1866454.01</f>
        <v>1866454.01</v>
      </c>
      <c r="O19" s="418">
        <f>3707726.11</f>
        <v>3707726.11</v>
      </c>
      <c r="P19" s="441">
        <f>SUM(D19:O19)</f>
        <v>24214397.41</v>
      </c>
      <c r="Q19" s="347">
        <f>24214397.41-P19</f>
        <v>0</v>
      </c>
    </row>
    <row r="20" spans="1:17" x14ac:dyDescent="0.15">
      <c r="B20" s="3" t="s">
        <v>714</v>
      </c>
      <c r="C20" s="405" t="s">
        <v>124</v>
      </c>
      <c r="D20" s="400">
        <f t="shared" ref="D20:K20" si="0">D18-D19</f>
        <v>46346.419999999925</v>
      </c>
      <c r="E20" s="400">
        <f t="shared" si="0"/>
        <v>1526344.83</v>
      </c>
      <c r="F20" s="400">
        <f t="shared" si="0"/>
        <v>561421.16000000015</v>
      </c>
      <c r="G20" s="419">
        <f>G18-G19</f>
        <v>865616.53000000026</v>
      </c>
      <c r="H20" s="400">
        <f t="shared" si="0"/>
        <v>664258.01000000024</v>
      </c>
      <c r="I20" s="419">
        <f t="shared" si="0"/>
        <v>497949.35000000009</v>
      </c>
      <c r="J20" s="419">
        <f t="shared" si="0"/>
        <v>453337.70999999996</v>
      </c>
      <c r="K20" s="419">
        <f t="shared" si="0"/>
        <v>443671.70999999996</v>
      </c>
      <c r="L20" s="419">
        <f>L18-L19</f>
        <v>601343.24</v>
      </c>
      <c r="M20" s="419">
        <f>M18-M19</f>
        <v>502211.26999999979</v>
      </c>
      <c r="N20" s="400">
        <f>N18-N19</f>
        <v>1012135.8600000001</v>
      </c>
      <c r="O20" s="400">
        <f>O18-O19</f>
        <v>1564939.3900000001</v>
      </c>
      <c r="P20" s="415">
        <f>SUM(D20:N20)</f>
        <v>7174636.0900000008</v>
      </c>
      <c r="Q20" s="347"/>
    </row>
    <row r="21" spans="1:17" x14ac:dyDescent="0.15">
      <c r="C21" s="405"/>
      <c r="D21" s="400"/>
      <c r="P21" s="29"/>
    </row>
    <row r="22" spans="1:17" x14ac:dyDescent="0.15">
      <c r="A22" s="25"/>
      <c r="B22" s="420" t="s">
        <v>125</v>
      </c>
      <c r="C22" s="416" t="s">
        <v>126</v>
      </c>
      <c r="D22" s="417">
        <f t="shared" ref="D22:J22" si="1">SUM(D16:D17)-D20</f>
        <v>640518.34000000008</v>
      </c>
      <c r="E22" s="417">
        <f t="shared" si="1"/>
        <v>83432.260000000009</v>
      </c>
      <c r="F22" s="417">
        <f t="shared" si="1"/>
        <v>592902.81999999983</v>
      </c>
      <c r="G22" s="417">
        <f t="shared" si="1"/>
        <v>383369.84999999986</v>
      </c>
      <c r="H22" s="417">
        <f t="shared" si="1"/>
        <v>544614.15999999968</v>
      </c>
      <c r="I22" s="417">
        <f t="shared" si="1"/>
        <v>740577.98999999976</v>
      </c>
      <c r="J22" s="417">
        <f t="shared" si="1"/>
        <v>664424.66000000015</v>
      </c>
      <c r="K22" s="417">
        <f>SUM(K16:K17)-K20</f>
        <v>707080.93000000017</v>
      </c>
      <c r="L22" s="417">
        <f>SUM(L16:L17)-L20</f>
        <v>486351.92999999993</v>
      </c>
      <c r="M22" s="417">
        <f>SUM(M16:M17)-M20</f>
        <v>606211.48000000021</v>
      </c>
      <c r="N22" s="417">
        <f>SUM(N16:N17)-N20</f>
        <v>151662.16999999993</v>
      </c>
      <c r="O22" s="417">
        <f>SUM(O16:O17)-O20</f>
        <v>774168.20000000019</v>
      </c>
      <c r="P22" s="421">
        <f>SUM(D22:O22)</f>
        <v>6375314.79</v>
      </c>
    </row>
    <row r="23" spans="1:17" x14ac:dyDescent="0.15">
      <c r="B23" s="3" t="s">
        <v>495</v>
      </c>
      <c r="D23" s="400"/>
      <c r="E23" s="347">
        <f>D22+E22</f>
        <v>723950.60000000009</v>
      </c>
      <c r="F23" s="347">
        <f t="shared" ref="F23:J23" si="2">E23+F22</f>
        <v>1316853.42</v>
      </c>
      <c r="G23" s="347">
        <f t="shared" si="2"/>
        <v>1700223.2699999998</v>
      </c>
      <c r="H23" s="347">
        <f t="shared" si="2"/>
        <v>2244837.4299999997</v>
      </c>
      <c r="I23" s="347">
        <f t="shared" si="2"/>
        <v>2985415.4199999995</v>
      </c>
      <c r="J23" s="347">
        <f t="shared" si="2"/>
        <v>3649840.0799999996</v>
      </c>
      <c r="K23" s="347">
        <f>J23+K22</f>
        <v>4356921.01</v>
      </c>
      <c r="L23" s="347">
        <f>K23+L22</f>
        <v>4843272.9399999995</v>
      </c>
      <c r="M23" s="347">
        <f>L23+M22</f>
        <v>5449484.4199999999</v>
      </c>
      <c r="N23" s="347">
        <f>M23+N22</f>
        <v>5601146.5899999999</v>
      </c>
      <c r="O23" s="347">
        <f>N23+O22</f>
        <v>6375314.79</v>
      </c>
      <c r="P23" s="29"/>
    </row>
    <row r="24" spans="1:17" x14ac:dyDescent="0.15">
      <c r="D24" s="400"/>
      <c r="P24" s="29"/>
    </row>
    <row r="25" spans="1:17" x14ac:dyDescent="0.15">
      <c r="B25" s="349" t="s">
        <v>127</v>
      </c>
      <c r="C25" s="422"/>
      <c r="D25" s="400">
        <f>21390.5-13008.99</f>
        <v>8381.51</v>
      </c>
      <c r="E25" s="423">
        <v>7644.48</v>
      </c>
      <c r="F25" s="423">
        <f>70335.98-81867.41</f>
        <v>-11531.430000000008</v>
      </c>
      <c r="G25" s="423">
        <v>236970.22</v>
      </c>
      <c r="H25" s="423">
        <f>196118.17-25818.29</f>
        <v>170299.88</v>
      </c>
      <c r="I25" s="423">
        <f>48213.11-50509.62</f>
        <v>-2296.510000000002</v>
      </c>
      <c r="J25" s="423">
        <f>73898.94-87402.27</f>
        <v>-13503.330000000002</v>
      </c>
      <c r="K25" s="423">
        <f>93050.89-139895.26</f>
        <v>-46844.37000000001</v>
      </c>
      <c r="L25" s="423">
        <f>207190.52-117856.34</f>
        <v>89334.18</v>
      </c>
      <c r="M25" s="423">
        <f>356724.71-334520.02</f>
        <v>22204.690000000002</v>
      </c>
      <c r="N25" s="423">
        <f>559892.02-(2703.66+30050.01)</f>
        <v>527138.35</v>
      </c>
      <c r="O25" s="423">
        <f>468274.43</f>
        <v>468274.43</v>
      </c>
      <c r="P25" s="414">
        <f>SUM(D25:N25)</f>
        <v>987797.66999999993</v>
      </c>
      <c r="Q25" s="347">
        <f>(1883005.45-(2703.66+892504.12))-P25</f>
        <v>0</v>
      </c>
    </row>
    <row r="26" spans="1:17" x14ac:dyDescent="0.15">
      <c r="D26" s="400"/>
      <c r="P26" s="29"/>
    </row>
    <row r="27" spans="1:17" x14ac:dyDescent="0.15">
      <c r="D27" s="400"/>
      <c r="P27" s="29"/>
    </row>
    <row r="28" spans="1:17" x14ac:dyDescent="0.15">
      <c r="A28" s="25"/>
      <c r="B28" s="420" t="s">
        <v>128</v>
      </c>
      <c r="C28" s="25"/>
      <c r="D28" s="429">
        <v>33033586.629999999</v>
      </c>
      <c r="E28" s="418">
        <v>32875956.559999999</v>
      </c>
      <c r="F28" s="418">
        <v>34457888.159999996</v>
      </c>
      <c r="G28" s="418">
        <v>35776936.130000003</v>
      </c>
      <c r="H28" s="418">
        <v>35898682.270000003</v>
      </c>
      <c r="I28" s="418">
        <f>35480656.82</f>
        <v>35480656.82</v>
      </c>
      <c r="J28" s="418">
        <f>35920808.42</f>
        <v>35920808.420000002</v>
      </c>
      <c r="K28" s="418">
        <v>36369533.189999998</v>
      </c>
      <c r="L28" s="418">
        <f>36874615.14</f>
        <v>36874615.140000001</v>
      </c>
      <c r="M28" s="418">
        <v>37473087.700000003</v>
      </c>
      <c r="N28" s="418">
        <v>38488332.469999999</v>
      </c>
      <c r="O28" s="418">
        <v>40962776.229999997</v>
      </c>
      <c r="P28" s="424" t="s">
        <v>10</v>
      </c>
    </row>
    <row r="29" spans="1:17" x14ac:dyDescent="0.15">
      <c r="D29" s="400"/>
      <c r="E29" s="347">
        <f t="shared" ref="E29:K29" si="3">E28-D28</f>
        <v>-157630.0700000003</v>
      </c>
      <c r="F29" s="347">
        <f t="shared" si="3"/>
        <v>1581931.5999999978</v>
      </c>
      <c r="G29" s="347">
        <f t="shared" si="3"/>
        <v>1319047.9700000063</v>
      </c>
      <c r="H29" s="347">
        <f t="shared" si="3"/>
        <v>121746.1400000006</v>
      </c>
      <c r="I29" s="347">
        <f t="shared" si="3"/>
        <v>-418025.45000000298</v>
      </c>
      <c r="J29" s="347">
        <f t="shared" si="3"/>
        <v>440151.60000000149</v>
      </c>
      <c r="K29" s="347">
        <f t="shared" si="3"/>
        <v>448724.76999999583</v>
      </c>
      <c r="L29" s="347">
        <f>L28-K28</f>
        <v>505081.95000000298</v>
      </c>
      <c r="M29" s="347">
        <f>M28-L28</f>
        <v>598472.56000000238</v>
      </c>
      <c r="N29" s="347">
        <f>N28-M28</f>
        <v>1015244.7699999958</v>
      </c>
      <c r="O29" s="347">
        <f>O28-N28</f>
        <v>2474443.7599999979</v>
      </c>
      <c r="P29" s="425">
        <f>SUM(E29:O29)</f>
        <v>7929189.5999999978</v>
      </c>
      <c r="Q29" s="347">
        <f>O28-D28-P29</f>
        <v>0</v>
      </c>
    </row>
    <row r="30" spans="1:17" x14ac:dyDescent="0.15">
      <c r="D30" s="400"/>
      <c r="P30" s="29"/>
    </row>
    <row r="31" spans="1:17" x14ac:dyDescent="0.15">
      <c r="A31" s="25"/>
      <c r="B31" s="25"/>
      <c r="C31" s="420" t="s">
        <v>129</v>
      </c>
      <c r="D31" s="426">
        <f>D25/D28</f>
        <v>2.5372691418219155E-4</v>
      </c>
      <c r="E31" s="426">
        <f>E25/E28</f>
        <v>2.3252494527569115E-4</v>
      </c>
      <c r="F31" s="426">
        <f t="shared" ref="F31:L31" si="4">F25/F28</f>
        <v>-3.3465283613596847E-4</v>
      </c>
      <c r="G31" s="426">
        <f t="shared" si="4"/>
        <v>6.6235470566551272E-3</v>
      </c>
      <c r="H31" s="426">
        <f t="shared" si="4"/>
        <v>4.7439033755931788E-3</v>
      </c>
      <c r="I31" s="426">
        <f t="shared" si="4"/>
        <v>-6.4725690159870105E-5</v>
      </c>
      <c r="J31" s="426">
        <f t="shared" si="4"/>
        <v>-3.7591943483325426E-4</v>
      </c>
      <c r="K31" s="426">
        <f t="shared" si="4"/>
        <v>-1.288011307576533E-3</v>
      </c>
      <c r="L31" s="426">
        <f t="shared" si="4"/>
        <v>2.4226471153889848E-3</v>
      </c>
      <c r="M31" s="426">
        <f>M25/M28</f>
        <v>5.9255031711731619E-4</v>
      </c>
      <c r="N31" s="426">
        <f>N25/N28</f>
        <v>1.3696055821874893E-2</v>
      </c>
      <c r="O31" s="426">
        <f>O25/O28</f>
        <v>1.1431706370942915E-2</v>
      </c>
      <c r="P31" s="427">
        <f>SUM(D31:O31)</f>
        <v>3.7933352648324675E-2</v>
      </c>
    </row>
    <row r="32" spans="1:17" x14ac:dyDescent="0.15">
      <c r="D32" s="400"/>
    </row>
    <row r="33" spans="1:15" x14ac:dyDescent="0.15">
      <c r="D33" s="400"/>
    </row>
    <row r="34" spans="1:15" x14ac:dyDescent="0.15">
      <c r="D34" s="400"/>
    </row>
    <row r="35" spans="1:15" x14ac:dyDescent="0.15">
      <c r="D35" s="400"/>
      <c r="K35" s="381"/>
      <c r="L35" s="381"/>
      <c r="M35" s="381"/>
      <c r="N35" s="381"/>
      <c r="O35" s="381"/>
    </row>
    <row r="36" spans="1:15" x14ac:dyDescent="0.15">
      <c r="B36" s="351" t="s">
        <v>99</v>
      </c>
      <c r="E36" s="351" t="s">
        <v>100</v>
      </c>
      <c r="H36" s="428" t="s">
        <v>101</v>
      </c>
      <c r="K36" s="347"/>
      <c r="L36" s="347"/>
      <c r="M36" s="347"/>
      <c r="N36" s="347"/>
      <c r="O36" s="347"/>
    </row>
    <row r="37" spans="1:15" x14ac:dyDescent="0.15">
      <c r="B37" s="351" t="s">
        <v>102</v>
      </c>
      <c r="E37" s="351" t="s">
        <v>103</v>
      </c>
      <c r="H37" s="354" t="s">
        <v>104</v>
      </c>
    </row>
    <row r="38" spans="1:15" x14ac:dyDescent="0.15">
      <c r="D38" s="400"/>
    </row>
    <row r="39" spans="1:15" x14ac:dyDescent="0.15">
      <c r="D39" s="400"/>
    </row>
    <row r="40" spans="1:15" x14ac:dyDescent="0.15">
      <c r="D40" s="400"/>
    </row>
    <row r="41" spans="1:15" x14ac:dyDescent="0.15">
      <c r="B41" s="3" t="s">
        <v>897</v>
      </c>
      <c r="D41" s="400"/>
    </row>
    <row r="42" spans="1:15" x14ac:dyDescent="0.15">
      <c r="A42" s="349" t="s">
        <v>900</v>
      </c>
      <c r="B42" s="3" t="s">
        <v>898</v>
      </c>
      <c r="D42" s="400"/>
      <c r="H42" s="347">
        <f>P16+P17</f>
        <v>15114890.27</v>
      </c>
    </row>
    <row r="43" spans="1:15" x14ac:dyDescent="0.15">
      <c r="A43" s="349" t="s">
        <v>901</v>
      </c>
      <c r="B43" s="3" t="s">
        <v>2651</v>
      </c>
      <c r="D43" s="400"/>
      <c r="I43" s="347">
        <f>D28</f>
        <v>33033586.629999999</v>
      </c>
    </row>
    <row r="44" spans="1:15" x14ac:dyDescent="0.15">
      <c r="A44" s="349" t="s">
        <v>318</v>
      </c>
      <c r="B44" s="3" t="s">
        <v>2652</v>
      </c>
      <c r="D44" s="400"/>
      <c r="I44" s="347">
        <f>P25</f>
        <v>987797.66999999993</v>
      </c>
    </row>
    <row r="45" spans="1:15" x14ac:dyDescent="0.15">
      <c r="A45" s="349" t="s">
        <v>326</v>
      </c>
      <c r="B45" s="3" t="s">
        <v>899</v>
      </c>
      <c r="D45" s="400"/>
      <c r="I45" s="423">
        <f>O28</f>
        <v>40962776.229999997</v>
      </c>
    </row>
    <row r="46" spans="1:15" x14ac:dyDescent="0.15">
      <c r="A46" s="349" t="s">
        <v>902</v>
      </c>
      <c r="B46" s="3" t="s">
        <v>903</v>
      </c>
      <c r="D46" s="400"/>
      <c r="I46" s="347">
        <f>I45-(I43+I44)</f>
        <v>6941391.9299999997</v>
      </c>
    </row>
    <row r="47" spans="1:15" x14ac:dyDescent="0.15">
      <c r="A47" s="349" t="s">
        <v>904</v>
      </c>
      <c r="B47" s="3" t="s">
        <v>906</v>
      </c>
      <c r="D47" s="400"/>
    </row>
    <row r="48" spans="1:15" s="405" customFormat="1" x14ac:dyDescent="0.15">
      <c r="B48" s="487" t="s">
        <v>905</v>
      </c>
      <c r="C48" s="488"/>
      <c r="D48" s="492" t="s">
        <v>1008</v>
      </c>
      <c r="E48" s="488" t="s">
        <v>1009</v>
      </c>
      <c r="F48" s="47" t="s">
        <v>2654</v>
      </c>
      <c r="G48" s="608" t="s">
        <v>2653</v>
      </c>
    </row>
    <row r="49" spans="2:15" x14ac:dyDescent="0.15">
      <c r="B49" s="489">
        <v>0.106</v>
      </c>
      <c r="C49" s="31"/>
      <c r="D49" s="493">
        <f>B49-E49</f>
        <v>4.229999999999999E-2</v>
      </c>
      <c r="E49" s="490">
        <v>6.3700000000000007E-2</v>
      </c>
      <c r="F49" s="494">
        <v>1000</v>
      </c>
      <c r="G49" s="491">
        <f>F49*E49</f>
        <v>63.70000000000001</v>
      </c>
    </row>
    <row r="50" spans="2:15" x14ac:dyDescent="0.15">
      <c r="B50" s="3" t="s">
        <v>907</v>
      </c>
    </row>
    <row r="51" spans="2:15" x14ac:dyDescent="0.15">
      <c r="B51" s="3" t="s">
        <v>2655</v>
      </c>
      <c r="D51" s="400"/>
    </row>
    <row r="52" spans="2:15" x14ac:dyDescent="0.15">
      <c r="D52" s="400"/>
    </row>
    <row r="53" spans="2:15" x14ac:dyDescent="0.15">
      <c r="D53" s="400"/>
    </row>
    <row r="54" spans="2:15" x14ac:dyDescent="0.15">
      <c r="D54" s="400"/>
    </row>
    <row r="55" spans="2:15" ht="11.25" x14ac:dyDescent="0.2">
      <c r="D55" s="400"/>
      <c r="H55" s="55" t="s">
        <v>99</v>
      </c>
      <c r="I55" s="54"/>
      <c r="J55" s="54"/>
      <c r="K55" s="56" t="s">
        <v>100</v>
      </c>
      <c r="L55" s="56"/>
      <c r="M55" s="57"/>
      <c r="N55" s="55"/>
      <c r="O55" s="58" t="s">
        <v>101</v>
      </c>
    </row>
    <row r="56" spans="2:15" ht="11.25" x14ac:dyDescent="0.2">
      <c r="D56" s="400"/>
      <c r="H56" s="55" t="s">
        <v>102</v>
      </c>
      <c r="I56" s="54"/>
      <c r="J56" s="54"/>
      <c r="K56" s="56" t="s">
        <v>103</v>
      </c>
      <c r="L56" s="56"/>
      <c r="M56" s="57"/>
      <c r="N56" s="55"/>
      <c r="O56" s="58" t="s">
        <v>104</v>
      </c>
    </row>
    <row r="57" spans="2:15" x14ac:dyDescent="0.15">
      <c r="D57" s="400"/>
    </row>
    <row r="58" spans="2:15" x14ac:dyDescent="0.15">
      <c r="D58" s="400"/>
    </row>
    <row r="59" spans="2:15" x14ac:dyDescent="0.15">
      <c r="D59" s="400"/>
    </row>
    <row r="60" spans="2:15" x14ac:dyDescent="0.15">
      <c r="D60" s="400"/>
    </row>
    <row r="61" spans="2:15" x14ac:dyDescent="0.15">
      <c r="D61" s="400"/>
    </row>
    <row r="62" spans="2:15" x14ac:dyDescent="0.15">
      <c r="D62" s="400"/>
    </row>
    <row r="63" spans="2:15" x14ac:dyDescent="0.15">
      <c r="D63" s="400"/>
    </row>
    <row r="64" spans="2:15" x14ac:dyDescent="0.15">
      <c r="D64" s="400"/>
    </row>
    <row r="65" spans="4:4" x14ac:dyDescent="0.15">
      <c r="D65" s="400"/>
    </row>
    <row r="66" spans="4:4" x14ac:dyDescent="0.15">
      <c r="D66" s="400"/>
    </row>
    <row r="67" spans="4:4" x14ac:dyDescent="0.15">
      <c r="D67" s="400"/>
    </row>
    <row r="68" spans="4:4" x14ac:dyDescent="0.15">
      <c r="D68" s="400"/>
    </row>
    <row r="69" spans="4:4" x14ac:dyDescent="0.15">
      <c r="D69" s="400"/>
    </row>
    <row r="70" spans="4:4" x14ac:dyDescent="0.15">
      <c r="D70" s="400"/>
    </row>
    <row r="71" spans="4:4" x14ac:dyDescent="0.15">
      <c r="D71" s="400"/>
    </row>
    <row r="72" spans="4:4" x14ac:dyDescent="0.15">
      <c r="D72" s="400"/>
    </row>
    <row r="73" spans="4:4" x14ac:dyDescent="0.15">
      <c r="D73" s="400"/>
    </row>
    <row r="74" spans="4:4" x14ac:dyDescent="0.15">
      <c r="D74" s="400"/>
    </row>
    <row r="75" spans="4:4" x14ac:dyDescent="0.15">
      <c r="D75" s="400"/>
    </row>
    <row r="76" spans="4:4" x14ac:dyDescent="0.15">
      <c r="D76" s="400"/>
    </row>
    <row r="77" spans="4:4" x14ac:dyDescent="0.15">
      <c r="D77" s="400"/>
    </row>
    <row r="78" spans="4:4" x14ac:dyDescent="0.15">
      <c r="D78" s="400"/>
    </row>
    <row r="79" spans="4:4" x14ac:dyDescent="0.15">
      <c r="D79" s="400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33"/>
  <sheetViews>
    <sheetView topLeftCell="H113" workbookViewId="0">
      <selection activeCell="O149" sqref="O149"/>
    </sheetView>
  </sheetViews>
  <sheetFormatPr defaultRowHeight="8.25" x14ac:dyDescent="0.15"/>
  <cols>
    <col min="1" max="1" width="8.42578125" style="59" customWidth="1"/>
    <col min="2" max="2" width="9.42578125" style="59" customWidth="1"/>
    <col min="3" max="3" width="6.140625" style="59" customWidth="1"/>
    <col min="4" max="4" width="10.140625" style="59" bestFit="1" customWidth="1"/>
    <col min="5" max="5" width="8.7109375" style="59" customWidth="1"/>
    <col min="6" max="6" width="10.7109375" style="59" customWidth="1"/>
    <col min="7" max="7" width="8.7109375" style="59" customWidth="1"/>
    <col min="8" max="8" width="10" style="59" customWidth="1"/>
    <col min="9" max="9" width="5.7109375" style="59" customWidth="1"/>
    <col min="10" max="10" width="11.140625" style="59" customWidth="1"/>
    <col min="11" max="11" width="8.5703125" style="59" customWidth="1"/>
    <col min="12" max="12" width="11.28515625" style="59" customWidth="1"/>
    <col min="13" max="13" width="9.140625" style="59" customWidth="1"/>
    <col min="14" max="14" width="11.7109375" style="59" bestFit="1" customWidth="1"/>
    <col min="15" max="15" width="10.7109375" style="59" customWidth="1"/>
    <col min="16" max="16" width="4.5703125" style="59" customWidth="1"/>
    <col min="17" max="17" width="3.28515625" style="59" bestFit="1" customWidth="1"/>
    <col min="18" max="18" width="7" style="59" customWidth="1"/>
    <col min="19" max="19" width="9.5703125" style="59" customWidth="1"/>
    <col min="20" max="21" width="9.42578125" style="59" customWidth="1"/>
    <col min="22" max="22" width="9.5703125" style="59" customWidth="1"/>
    <col min="23" max="23" width="9.28515625" style="59" customWidth="1"/>
    <col min="24" max="24" width="9.5703125" style="59" customWidth="1"/>
    <col min="25" max="26" width="9.42578125" style="59" customWidth="1"/>
    <col min="27" max="27" width="8.85546875" style="59" customWidth="1"/>
    <col min="28" max="28" width="9.28515625" style="59" customWidth="1"/>
    <col min="29" max="29" width="9" style="59" customWidth="1"/>
    <col min="30" max="30" width="9.5703125" style="59" customWidth="1"/>
    <col min="31" max="31" width="10.140625" style="59" customWidth="1"/>
    <col min="32" max="32" width="5.28515625" style="59" bestFit="1" customWidth="1"/>
    <col min="33" max="33" width="9.7109375" style="59" bestFit="1" customWidth="1"/>
    <col min="34" max="34" width="11" style="59" bestFit="1" customWidth="1"/>
    <col min="35" max="35" width="10.85546875" style="59" bestFit="1" customWidth="1"/>
    <col min="36" max="36" width="9.140625" style="59"/>
    <col min="37" max="37" width="3.85546875" style="59" bestFit="1" customWidth="1"/>
    <col min="38" max="38" width="7.28515625" style="59" bestFit="1" customWidth="1"/>
    <col min="39" max="41" width="9.140625" style="59"/>
    <col min="42" max="42" width="9.28515625" style="59" customWidth="1"/>
    <col min="43" max="43" width="9.28515625" style="59" bestFit="1" customWidth="1"/>
    <col min="44" max="256" width="9.140625" style="59"/>
    <col min="257" max="257" width="7.85546875" style="59" customWidth="1"/>
    <col min="258" max="258" width="12.140625" style="59" customWidth="1"/>
    <col min="259" max="259" width="6.28515625" style="59" customWidth="1"/>
    <col min="260" max="260" width="11.5703125" style="59" customWidth="1"/>
    <col min="261" max="261" width="7.85546875" style="59" customWidth="1"/>
    <col min="262" max="262" width="12.28515625" style="59" customWidth="1"/>
    <col min="263" max="263" width="5.28515625" style="59" customWidth="1"/>
    <col min="264" max="264" width="12.140625" style="59" bestFit="1" customWidth="1"/>
    <col min="265" max="265" width="5.7109375" style="59" customWidth="1"/>
    <col min="266" max="266" width="11.85546875" style="59" bestFit="1" customWidth="1"/>
    <col min="267" max="267" width="8" style="59" customWidth="1"/>
    <col min="268" max="268" width="12.5703125" style="59" customWidth="1"/>
    <col min="269" max="269" width="9" style="59" customWidth="1"/>
    <col min="270" max="270" width="11.7109375" style="59" bestFit="1" customWidth="1"/>
    <col min="271" max="271" width="9.42578125" style="59" customWidth="1"/>
    <col min="272" max="272" width="4.140625" style="59" customWidth="1"/>
    <col min="273" max="273" width="3.28515625" style="59" bestFit="1" customWidth="1"/>
    <col min="274" max="274" width="8.85546875" style="59" customWidth="1"/>
    <col min="275" max="275" width="10" style="59" bestFit="1" customWidth="1"/>
    <col min="276" max="277" width="9.42578125" style="59" customWidth="1"/>
    <col min="278" max="278" width="9.5703125" style="59" customWidth="1"/>
    <col min="279" max="279" width="9.85546875" style="59" customWidth="1"/>
    <col min="280" max="281" width="9.42578125" style="59" customWidth="1"/>
    <col min="282" max="282" width="9.85546875" style="59" customWidth="1"/>
    <col min="283" max="284" width="9.28515625" style="59" customWidth="1"/>
    <col min="285" max="285" width="9.85546875" style="59" customWidth="1"/>
    <col min="286" max="286" width="9.28515625" style="59" customWidth="1"/>
    <col min="287" max="287" width="10.42578125" style="59" customWidth="1"/>
    <col min="288" max="288" width="5.28515625" style="59" bestFit="1" customWidth="1"/>
    <col min="289" max="289" width="9.7109375" style="59" bestFit="1" customWidth="1"/>
    <col min="290" max="290" width="11" style="59" bestFit="1" customWidth="1"/>
    <col min="291" max="291" width="10.85546875" style="59" bestFit="1" customWidth="1"/>
    <col min="292" max="292" width="9.140625" style="59"/>
    <col min="293" max="293" width="3.85546875" style="59" bestFit="1" customWidth="1"/>
    <col min="294" max="294" width="7.28515625" style="59" bestFit="1" customWidth="1"/>
    <col min="295" max="297" width="9.140625" style="59"/>
    <col min="298" max="298" width="9.28515625" style="59" customWidth="1"/>
    <col min="299" max="299" width="9.28515625" style="59" bestFit="1" customWidth="1"/>
    <col min="300" max="512" width="9.140625" style="59"/>
    <col min="513" max="513" width="7.85546875" style="59" customWidth="1"/>
    <col min="514" max="514" width="12.140625" style="59" customWidth="1"/>
    <col min="515" max="515" width="6.28515625" style="59" customWidth="1"/>
    <col min="516" max="516" width="11.5703125" style="59" customWidth="1"/>
    <col min="517" max="517" width="7.85546875" style="59" customWidth="1"/>
    <col min="518" max="518" width="12.28515625" style="59" customWidth="1"/>
    <col min="519" max="519" width="5.28515625" style="59" customWidth="1"/>
    <col min="520" max="520" width="12.140625" style="59" bestFit="1" customWidth="1"/>
    <col min="521" max="521" width="5.7109375" style="59" customWidth="1"/>
    <col min="522" max="522" width="11.85546875" style="59" bestFit="1" customWidth="1"/>
    <col min="523" max="523" width="8" style="59" customWidth="1"/>
    <col min="524" max="524" width="12.5703125" style="59" customWidth="1"/>
    <col min="525" max="525" width="9" style="59" customWidth="1"/>
    <col min="526" max="526" width="11.7109375" style="59" bestFit="1" customWidth="1"/>
    <col min="527" max="527" width="9.42578125" style="59" customWidth="1"/>
    <col min="528" max="528" width="4.140625" style="59" customWidth="1"/>
    <col min="529" max="529" width="3.28515625" style="59" bestFit="1" customWidth="1"/>
    <col min="530" max="530" width="8.85546875" style="59" customWidth="1"/>
    <col min="531" max="531" width="10" style="59" bestFit="1" customWidth="1"/>
    <col min="532" max="533" width="9.42578125" style="59" customWidth="1"/>
    <col min="534" max="534" width="9.5703125" style="59" customWidth="1"/>
    <col min="535" max="535" width="9.85546875" style="59" customWidth="1"/>
    <col min="536" max="537" width="9.42578125" style="59" customWidth="1"/>
    <col min="538" max="538" width="9.85546875" style="59" customWidth="1"/>
    <col min="539" max="540" width="9.28515625" style="59" customWidth="1"/>
    <col min="541" max="541" width="9.85546875" style="59" customWidth="1"/>
    <col min="542" max="542" width="9.28515625" style="59" customWidth="1"/>
    <col min="543" max="543" width="10.42578125" style="59" customWidth="1"/>
    <col min="544" max="544" width="5.28515625" style="59" bestFit="1" customWidth="1"/>
    <col min="545" max="545" width="9.7109375" style="59" bestFit="1" customWidth="1"/>
    <col min="546" max="546" width="11" style="59" bestFit="1" customWidth="1"/>
    <col min="547" max="547" width="10.85546875" style="59" bestFit="1" customWidth="1"/>
    <col min="548" max="548" width="9.140625" style="59"/>
    <col min="549" max="549" width="3.85546875" style="59" bestFit="1" customWidth="1"/>
    <col min="550" max="550" width="7.28515625" style="59" bestFit="1" customWidth="1"/>
    <col min="551" max="553" width="9.140625" style="59"/>
    <col min="554" max="554" width="9.28515625" style="59" customWidth="1"/>
    <col min="555" max="555" width="9.28515625" style="59" bestFit="1" customWidth="1"/>
    <col min="556" max="768" width="9.140625" style="59"/>
    <col min="769" max="769" width="7.85546875" style="59" customWidth="1"/>
    <col min="770" max="770" width="12.140625" style="59" customWidth="1"/>
    <col min="771" max="771" width="6.28515625" style="59" customWidth="1"/>
    <col min="772" max="772" width="11.5703125" style="59" customWidth="1"/>
    <col min="773" max="773" width="7.85546875" style="59" customWidth="1"/>
    <col min="774" max="774" width="12.28515625" style="59" customWidth="1"/>
    <col min="775" max="775" width="5.28515625" style="59" customWidth="1"/>
    <col min="776" max="776" width="12.140625" style="59" bestFit="1" customWidth="1"/>
    <col min="777" max="777" width="5.7109375" style="59" customWidth="1"/>
    <col min="778" max="778" width="11.85546875" style="59" bestFit="1" customWidth="1"/>
    <col min="779" max="779" width="8" style="59" customWidth="1"/>
    <col min="780" max="780" width="12.5703125" style="59" customWidth="1"/>
    <col min="781" max="781" width="9" style="59" customWidth="1"/>
    <col min="782" max="782" width="11.7109375" style="59" bestFit="1" customWidth="1"/>
    <col min="783" max="783" width="9.42578125" style="59" customWidth="1"/>
    <col min="784" max="784" width="4.140625" style="59" customWidth="1"/>
    <col min="785" max="785" width="3.28515625" style="59" bestFit="1" customWidth="1"/>
    <col min="786" max="786" width="8.85546875" style="59" customWidth="1"/>
    <col min="787" max="787" width="10" style="59" bestFit="1" customWidth="1"/>
    <col min="788" max="789" width="9.42578125" style="59" customWidth="1"/>
    <col min="790" max="790" width="9.5703125" style="59" customWidth="1"/>
    <col min="791" max="791" width="9.85546875" style="59" customWidth="1"/>
    <col min="792" max="793" width="9.42578125" style="59" customWidth="1"/>
    <col min="794" max="794" width="9.85546875" style="59" customWidth="1"/>
    <col min="795" max="796" width="9.28515625" style="59" customWidth="1"/>
    <col min="797" max="797" width="9.85546875" style="59" customWidth="1"/>
    <col min="798" max="798" width="9.28515625" style="59" customWidth="1"/>
    <col min="799" max="799" width="10.42578125" style="59" customWidth="1"/>
    <col min="800" max="800" width="5.28515625" style="59" bestFit="1" customWidth="1"/>
    <col min="801" max="801" width="9.7109375" style="59" bestFit="1" customWidth="1"/>
    <col min="802" max="802" width="11" style="59" bestFit="1" customWidth="1"/>
    <col min="803" max="803" width="10.85546875" style="59" bestFit="1" customWidth="1"/>
    <col min="804" max="804" width="9.140625" style="59"/>
    <col min="805" max="805" width="3.85546875" style="59" bestFit="1" customWidth="1"/>
    <col min="806" max="806" width="7.28515625" style="59" bestFit="1" customWidth="1"/>
    <col min="807" max="809" width="9.140625" style="59"/>
    <col min="810" max="810" width="9.28515625" style="59" customWidth="1"/>
    <col min="811" max="811" width="9.28515625" style="59" bestFit="1" customWidth="1"/>
    <col min="812" max="1024" width="9.140625" style="59"/>
    <col min="1025" max="1025" width="7.85546875" style="59" customWidth="1"/>
    <col min="1026" max="1026" width="12.140625" style="59" customWidth="1"/>
    <col min="1027" max="1027" width="6.28515625" style="59" customWidth="1"/>
    <col min="1028" max="1028" width="11.5703125" style="59" customWidth="1"/>
    <col min="1029" max="1029" width="7.85546875" style="59" customWidth="1"/>
    <col min="1030" max="1030" width="12.28515625" style="59" customWidth="1"/>
    <col min="1031" max="1031" width="5.28515625" style="59" customWidth="1"/>
    <col min="1032" max="1032" width="12.140625" style="59" bestFit="1" customWidth="1"/>
    <col min="1033" max="1033" width="5.7109375" style="59" customWidth="1"/>
    <col min="1034" max="1034" width="11.85546875" style="59" bestFit="1" customWidth="1"/>
    <col min="1035" max="1035" width="8" style="59" customWidth="1"/>
    <col min="1036" max="1036" width="12.5703125" style="59" customWidth="1"/>
    <col min="1037" max="1037" width="9" style="59" customWidth="1"/>
    <col min="1038" max="1038" width="11.7109375" style="59" bestFit="1" customWidth="1"/>
    <col min="1039" max="1039" width="9.42578125" style="59" customWidth="1"/>
    <col min="1040" max="1040" width="4.140625" style="59" customWidth="1"/>
    <col min="1041" max="1041" width="3.28515625" style="59" bestFit="1" customWidth="1"/>
    <col min="1042" max="1042" width="8.85546875" style="59" customWidth="1"/>
    <col min="1043" max="1043" width="10" style="59" bestFit="1" customWidth="1"/>
    <col min="1044" max="1045" width="9.42578125" style="59" customWidth="1"/>
    <col min="1046" max="1046" width="9.5703125" style="59" customWidth="1"/>
    <col min="1047" max="1047" width="9.85546875" style="59" customWidth="1"/>
    <col min="1048" max="1049" width="9.42578125" style="59" customWidth="1"/>
    <col min="1050" max="1050" width="9.85546875" style="59" customWidth="1"/>
    <col min="1051" max="1052" width="9.28515625" style="59" customWidth="1"/>
    <col min="1053" max="1053" width="9.85546875" style="59" customWidth="1"/>
    <col min="1054" max="1054" width="9.28515625" style="59" customWidth="1"/>
    <col min="1055" max="1055" width="10.42578125" style="59" customWidth="1"/>
    <col min="1056" max="1056" width="5.28515625" style="59" bestFit="1" customWidth="1"/>
    <col min="1057" max="1057" width="9.7109375" style="59" bestFit="1" customWidth="1"/>
    <col min="1058" max="1058" width="11" style="59" bestFit="1" customWidth="1"/>
    <col min="1059" max="1059" width="10.85546875" style="59" bestFit="1" customWidth="1"/>
    <col min="1060" max="1060" width="9.140625" style="59"/>
    <col min="1061" max="1061" width="3.85546875" style="59" bestFit="1" customWidth="1"/>
    <col min="1062" max="1062" width="7.28515625" style="59" bestFit="1" customWidth="1"/>
    <col min="1063" max="1065" width="9.140625" style="59"/>
    <col min="1066" max="1066" width="9.28515625" style="59" customWidth="1"/>
    <col min="1067" max="1067" width="9.28515625" style="59" bestFit="1" customWidth="1"/>
    <col min="1068" max="1280" width="9.140625" style="59"/>
    <col min="1281" max="1281" width="7.85546875" style="59" customWidth="1"/>
    <col min="1282" max="1282" width="12.140625" style="59" customWidth="1"/>
    <col min="1283" max="1283" width="6.28515625" style="59" customWidth="1"/>
    <col min="1284" max="1284" width="11.5703125" style="59" customWidth="1"/>
    <col min="1285" max="1285" width="7.85546875" style="59" customWidth="1"/>
    <col min="1286" max="1286" width="12.28515625" style="59" customWidth="1"/>
    <col min="1287" max="1287" width="5.28515625" style="59" customWidth="1"/>
    <col min="1288" max="1288" width="12.140625" style="59" bestFit="1" customWidth="1"/>
    <col min="1289" max="1289" width="5.7109375" style="59" customWidth="1"/>
    <col min="1290" max="1290" width="11.85546875" style="59" bestFit="1" customWidth="1"/>
    <col min="1291" max="1291" width="8" style="59" customWidth="1"/>
    <col min="1292" max="1292" width="12.5703125" style="59" customWidth="1"/>
    <col min="1293" max="1293" width="9" style="59" customWidth="1"/>
    <col min="1294" max="1294" width="11.7109375" style="59" bestFit="1" customWidth="1"/>
    <col min="1295" max="1295" width="9.42578125" style="59" customWidth="1"/>
    <col min="1296" max="1296" width="4.140625" style="59" customWidth="1"/>
    <col min="1297" max="1297" width="3.28515625" style="59" bestFit="1" customWidth="1"/>
    <col min="1298" max="1298" width="8.85546875" style="59" customWidth="1"/>
    <col min="1299" max="1299" width="10" style="59" bestFit="1" customWidth="1"/>
    <col min="1300" max="1301" width="9.42578125" style="59" customWidth="1"/>
    <col min="1302" max="1302" width="9.5703125" style="59" customWidth="1"/>
    <col min="1303" max="1303" width="9.85546875" style="59" customWidth="1"/>
    <col min="1304" max="1305" width="9.42578125" style="59" customWidth="1"/>
    <col min="1306" max="1306" width="9.85546875" style="59" customWidth="1"/>
    <col min="1307" max="1308" width="9.28515625" style="59" customWidth="1"/>
    <col min="1309" max="1309" width="9.85546875" style="59" customWidth="1"/>
    <col min="1310" max="1310" width="9.28515625" style="59" customWidth="1"/>
    <col min="1311" max="1311" width="10.42578125" style="59" customWidth="1"/>
    <col min="1312" max="1312" width="5.28515625" style="59" bestFit="1" customWidth="1"/>
    <col min="1313" max="1313" width="9.7109375" style="59" bestFit="1" customWidth="1"/>
    <col min="1314" max="1314" width="11" style="59" bestFit="1" customWidth="1"/>
    <col min="1315" max="1315" width="10.85546875" style="59" bestFit="1" customWidth="1"/>
    <col min="1316" max="1316" width="9.140625" style="59"/>
    <col min="1317" max="1317" width="3.85546875" style="59" bestFit="1" customWidth="1"/>
    <col min="1318" max="1318" width="7.28515625" style="59" bestFit="1" customWidth="1"/>
    <col min="1319" max="1321" width="9.140625" style="59"/>
    <col min="1322" max="1322" width="9.28515625" style="59" customWidth="1"/>
    <col min="1323" max="1323" width="9.28515625" style="59" bestFit="1" customWidth="1"/>
    <col min="1324" max="1536" width="9.140625" style="59"/>
    <col min="1537" max="1537" width="7.85546875" style="59" customWidth="1"/>
    <col min="1538" max="1538" width="12.140625" style="59" customWidth="1"/>
    <col min="1539" max="1539" width="6.28515625" style="59" customWidth="1"/>
    <col min="1540" max="1540" width="11.5703125" style="59" customWidth="1"/>
    <col min="1541" max="1541" width="7.85546875" style="59" customWidth="1"/>
    <col min="1542" max="1542" width="12.28515625" style="59" customWidth="1"/>
    <col min="1543" max="1543" width="5.28515625" style="59" customWidth="1"/>
    <col min="1544" max="1544" width="12.140625" style="59" bestFit="1" customWidth="1"/>
    <col min="1545" max="1545" width="5.7109375" style="59" customWidth="1"/>
    <col min="1546" max="1546" width="11.85546875" style="59" bestFit="1" customWidth="1"/>
    <col min="1547" max="1547" width="8" style="59" customWidth="1"/>
    <col min="1548" max="1548" width="12.5703125" style="59" customWidth="1"/>
    <col min="1549" max="1549" width="9" style="59" customWidth="1"/>
    <col min="1550" max="1550" width="11.7109375" style="59" bestFit="1" customWidth="1"/>
    <col min="1551" max="1551" width="9.42578125" style="59" customWidth="1"/>
    <col min="1552" max="1552" width="4.140625" style="59" customWidth="1"/>
    <col min="1553" max="1553" width="3.28515625" style="59" bestFit="1" customWidth="1"/>
    <col min="1554" max="1554" width="8.85546875" style="59" customWidth="1"/>
    <col min="1555" max="1555" width="10" style="59" bestFit="1" customWidth="1"/>
    <col min="1556" max="1557" width="9.42578125" style="59" customWidth="1"/>
    <col min="1558" max="1558" width="9.5703125" style="59" customWidth="1"/>
    <col min="1559" max="1559" width="9.85546875" style="59" customWidth="1"/>
    <col min="1560" max="1561" width="9.42578125" style="59" customWidth="1"/>
    <col min="1562" max="1562" width="9.85546875" style="59" customWidth="1"/>
    <col min="1563" max="1564" width="9.28515625" style="59" customWidth="1"/>
    <col min="1565" max="1565" width="9.85546875" style="59" customWidth="1"/>
    <col min="1566" max="1566" width="9.28515625" style="59" customWidth="1"/>
    <col min="1567" max="1567" width="10.42578125" style="59" customWidth="1"/>
    <col min="1568" max="1568" width="5.28515625" style="59" bestFit="1" customWidth="1"/>
    <col min="1569" max="1569" width="9.7109375" style="59" bestFit="1" customWidth="1"/>
    <col min="1570" max="1570" width="11" style="59" bestFit="1" customWidth="1"/>
    <col min="1571" max="1571" width="10.85546875" style="59" bestFit="1" customWidth="1"/>
    <col min="1572" max="1572" width="9.140625" style="59"/>
    <col min="1573" max="1573" width="3.85546875" style="59" bestFit="1" customWidth="1"/>
    <col min="1574" max="1574" width="7.28515625" style="59" bestFit="1" customWidth="1"/>
    <col min="1575" max="1577" width="9.140625" style="59"/>
    <col min="1578" max="1578" width="9.28515625" style="59" customWidth="1"/>
    <col min="1579" max="1579" width="9.28515625" style="59" bestFit="1" customWidth="1"/>
    <col min="1580" max="1792" width="9.140625" style="59"/>
    <col min="1793" max="1793" width="7.85546875" style="59" customWidth="1"/>
    <col min="1794" max="1794" width="12.140625" style="59" customWidth="1"/>
    <col min="1795" max="1795" width="6.28515625" style="59" customWidth="1"/>
    <col min="1796" max="1796" width="11.5703125" style="59" customWidth="1"/>
    <col min="1797" max="1797" width="7.85546875" style="59" customWidth="1"/>
    <col min="1798" max="1798" width="12.28515625" style="59" customWidth="1"/>
    <col min="1799" max="1799" width="5.28515625" style="59" customWidth="1"/>
    <col min="1800" max="1800" width="12.140625" style="59" bestFit="1" customWidth="1"/>
    <col min="1801" max="1801" width="5.7109375" style="59" customWidth="1"/>
    <col min="1802" max="1802" width="11.85546875" style="59" bestFit="1" customWidth="1"/>
    <col min="1803" max="1803" width="8" style="59" customWidth="1"/>
    <col min="1804" max="1804" width="12.5703125" style="59" customWidth="1"/>
    <col min="1805" max="1805" width="9" style="59" customWidth="1"/>
    <col min="1806" max="1806" width="11.7109375" style="59" bestFit="1" customWidth="1"/>
    <col min="1807" max="1807" width="9.42578125" style="59" customWidth="1"/>
    <col min="1808" max="1808" width="4.140625" style="59" customWidth="1"/>
    <col min="1809" max="1809" width="3.28515625" style="59" bestFit="1" customWidth="1"/>
    <col min="1810" max="1810" width="8.85546875" style="59" customWidth="1"/>
    <col min="1811" max="1811" width="10" style="59" bestFit="1" customWidth="1"/>
    <col min="1812" max="1813" width="9.42578125" style="59" customWidth="1"/>
    <col min="1814" max="1814" width="9.5703125" style="59" customWidth="1"/>
    <col min="1815" max="1815" width="9.85546875" style="59" customWidth="1"/>
    <col min="1816" max="1817" width="9.42578125" style="59" customWidth="1"/>
    <col min="1818" max="1818" width="9.85546875" style="59" customWidth="1"/>
    <col min="1819" max="1820" width="9.28515625" style="59" customWidth="1"/>
    <col min="1821" max="1821" width="9.85546875" style="59" customWidth="1"/>
    <col min="1822" max="1822" width="9.28515625" style="59" customWidth="1"/>
    <col min="1823" max="1823" width="10.42578125" style="59" customWidth="1"/>
    <col min="1824" max="1824" width="5.28515625" style="59" bestFit="1" customWidth="1"/>
    <col min="1825" max="1825" width="9.7109375" style="59" bestFit="1" customWidth="1"/>
    <col min="1826" max="1826" width="11" style="59" bestFit="1" customWidth="1"/>
    <col min="1827" max="1827" width="10.85546875" style="59" bestFit="1" customWidth="1"/>
    <col min="1828" max="1828" width="9.140625" style="59"/>
    <col min="1829" max="1829" width="3.85546875" style="59" bestFit="1" customWidth="1"/>
    <col min="1830" max="1830" width="7.28515625" style="59" bestFit="1" customWidth="1"/>
    <col min="1831" max="1833" width="9.140625" style="59"/>
    <col min="1834" max="1834" width="9.28515625" style="59" customWidth="1"/>
    <col min="1835" max="1835" width="9.28515625" style="59" bestFit="1" customWidth="1"/>
    <col min="1836" max="2048" width="9.140625" style="59"/>
    <col min="2049" max="2049" width="7.85546875" style="59" customWidth="1"/>
    <col min="2050" max="2050" width="12.140625" style="59" customWidth="1"/>
    <col min="2051" max="2051" width="6.28515625" style="59" customWidth="1"/>
    <col min="2052" max="2052" width="11.5703125" style="59" customWidth="1"/>
    <col min="2053" max="2053" width="7.85546875" style="59" customWidth="1"/>
    <col min="2054" max="2054" width="12.28515625" style="59" customWidth="1"/>
    <col min="2055" max="2055" width="5.28515625" style="59" customWidth="1"/>
    <col min="2056" max="2056" width="12.140625" style="59" bestFit="1" customWidth="1"/>
    <col min="2057" max="2057" width="5.7109375" style="59" customWidth="1"/>
    <col min="2058" max="2058" width="11.85546875" style="59" bestFit="1" customWidth="1"/>
    <col min="2059" max="2059" width="8" style="59" customWidth="1"/>
    <col min="2060" max="2060" width="12.5703125" style="59" customWidth="1"/>
    <col min="2061" max="2061" width="9" style="59" customWidth="1"/>
    <col min="2062" max="2062" width="11.7109375" style="59" bestFit="1" customWidth="1"/>
    <col min="2063" max="2063" width="9.42578125" style="59" customWidth="1"/>
    <col min="2064" max="2064" width="4.140625" style="59" customWidth="1"/>
    <col min="2065" max="2065" width="3.28515625" style="59" bestFit="1" customWidth="1"/>
    <col min="2066" max="2066" width="8.85546875" style="59" customWidth="1"/>
    <col min="2067" max="2067" width="10" style="59" bestFit="1" customWidth="1"/>
    <col min="2068" max="2069" width="9.42578125" style="59" customWidth="1"/>
    <col min="2070" max="2070" width="9.5703125" style="59" customWidth="1"/>
    <col min="2071" max="2071" width="9.85546875" style="59" customWidth="1"/>
    <col min="2072" max="2073" width="9.42578125" style="59" customWidth="1"/>
    <col min="2074" max="2074" width="9.85546875" style="59" customWidth="1"/>
    <col min="2075" max="2076" width="9.28515625" style="59" customWidth="1"/>
    <col min="2077" max="2077" width="9.85546875" style="59" customWidth="1"/>
    <col min="2078" max="2078" width="9.28515625" style="59" customWidth="1"/>
    <col min="2079" max="2079" width="10.42578125" style="59" customWidth="1"/>
    <col min="2080" max="2080" width="5.28515625" style="59" bestFit="1" customWidth="1"/>
    <col min="2081" max="2081" width="9.7109375" style="59" bestFit="1" customWidth="1"/>
    <col min="2082" max="2082" width="11" style="59" bestFit="1" customWidth="1"/>
    <col min="2083" max="2083" width="10.85546875" style="59" bestFit="1" customWidth="1"/>
    <col min="2084" max="2084" width="9.140625" style="59"/>
    <col min="2085" max="2085" width="3.85546875" style="59" bestFit="1" customWidth="1"/>
    <col min="2086" max="2086" width="7.28515625" style="59" bestFit="1" customWidth="1"/>
    <col min="2087" max="2089" width="9.140625" style="59"/>
    <col min="2090" max="2090" width="9.28515625" style="59" customWidth="1"/>
    <col min="2091" max="2091" width="9.28515625" style="59" bestFit="1" customWidth="1"/>
    <col min="2092" max="2304" width="9.140625" style="59"/>
    <col min="2305" max="2305" width="7.85546875" style="59" customWidth="1"/>
    <col min="2306" max="2306" width="12.140625" style="59" customWidth="1"/>
    <col min="2307" max="2307" width="6.28515625" style="59" customWidth="1"/>
    <col min="2308" max="2308" width="11.5703125" style="59" customWidth="1"/>
    <col min="2309" max="2309" width="7.85546875" style="59" customWidth="1"/>
    <col min="2310" max="2310" width="12.28515625" style="59" customWidth="1"/>
    <col min="2311" max="2311" width="5.28515625" style="59" customWidth="1"/>
    <col min="2312" max="2312" width="12.140625" style="59" bestFit="1" customWidth="1"/>
    <col min="2313" max="2313" width="5.7109375" style="59" customWidth="1"/>
    <col min="2314" max="2314" width="11.85546875" style="59" bestFit="1" customWidth="1"/>
    <col min="2315" max="2315" width="8" style="59" customWidth="1"/>
    <col min="2316" max="2316" width="12.5703125" style="59" customWidth="1"/>
    <col min="2317" max="2317" width="9" style="59" customWidth="1"/>
    <col min="2318" max="2318" width="11.7109375" style="59" bestFit="1" customWidth="1"/>
    <col min="2319" max="2319" width="9.42578125" style="59" customWidth="1"/>
    <col min="2320" max="2320" width="4.140625" style="59" customWidth="1"/>
    <col min="2321" max="2321" width="3.28515625" style="59" bestFit="1" customWidth="1"/>
    <col min="2322" max="2322" width="8.85546875" style="59" customWidth="1"/>
    <col min="2323" max="2323" width="10" style="59" bestFit="1" customWidth="1"/>
    <col min="2324" max="2325" width="9.42578125" style="59" customWidth="1"/>
    <col min="2326" max="2326" width="9.5703125" style="59" customWidth="1"/>
    <col min="2327" max="2327" width="9.85546875" style="59" customWidth="1"/>
    <col min="2328" max="2329" width="9.42578125" style="59" customWidth="1"/>
    <col min="2330" max="2330" width="9.85546875" style="59" customWidth="1"/>
    <col min="2331" max="2332" width="9.28515625" style="59" customWidth="1"/>
    <col min="2333" max="2333" width="9.85546875" style="59" customWidth="1"/>
    <col min="2334" max="2334" width="9.28515625" style="59" customWidth="1"/>
    <col min="2335" max="2335" width="10.42578125" style="59" customWidth="1"/>
    <col min="2336" max="2336" width="5.28515625" style="59" bestFit="1" customWidth="1"/>
    <col min="2337" max="2337" width="9.7109375" style="59" bestFit="1" customWidth="1"/>
    <col min="2338" max="2338" width="11" style="59" bestFit="1" customWidth="1"/>
    <col min="2339" max="2339" width="10.85546875" style="59" bestFit="1" customWidth="1"/>
    <col min="2340" max="2340" width="9.140625" style="59"/>
    <col min="2341" max="2341" width="3.85546875" style="59" bestFit="1" customWidth="1"/>
    <col min="2342" max="2342" width="7.28515625" style="59" bestFit="1" customWidth="1"/>
    <col min="2343" max="2345" width="9.140625" style="59"/>
    <col min="2346" max="2346" width="9.28515625" style="59" customWidth="1"/>
    <col min="2347" max="2347" width="9.28515625" style="59" bestFit="1" customWidth="1"/>
    <col min="2348" max="2560" width="9.140625" style="59"/>
    <col min="2561" max="2561" width="7.85546875" style="59" customWidth="1"/>
    <col min="2562" max="2562" width="12.140625" style="59" customWidth="1"/>
    <col min="2563" max="2563" width="6.28515625" style="59" customWidth="1"/>
    <col min="2564" max="2564" width="11.5703125" style="59" customWidth="1"/>
    <col min="2565" max="2565" width="7.85546875" style="59" customWidth="1"/>
    <col min="2566" max="2566" width="12.28515625" style="59" customWidth="1"/>
    <col min="2567" max="2567" width="5.28515625" style="59" customWidth="1"/>
    <col min="2568" max="2568" width="12.140625" style="59" bestFit="1" customWidth="1"/>
    <col min="2569" max="2569" width="5.7109375" style="59" customWidth="1"/>
    <col min="2570" max="2570" width="11.85546875" style="59" bestFit="1" customWidth="1"/>
    <col min="2571" max="2571" width="8" style="59" customWidth="1"/>
    <col min="2572" max="2572" width="12.5703125" style="59" customWidth="1"/>
    <col min="2573" max="2573" width="9" style="59" customWidth="1"/>
    <col min="2574" max="2574" width="11.7109375" style="59" bestFit="1" customWidth="1"/>
    <col min="2575" max="2575" width="9.42578125" style="59" customWidth="1"/>
    <col min="2576" max="2576" width="4.140625" style="59" customWidth="1"/>
    <col min="2577" max="2577" width="3.28515625" style="59" bestFit="1" customWidth="1"/>
    <col min="2578" max="2578" width="8.85546875" style="59" customWidth="1"/>
    <col min="2579" max="2579" width="10" style="59" bestFit="1" customWidth="1"/>
    <col min="2580" max="2581" width="9.42578125" style="59" customWidth="1"/>
    <col min="2582" max="2582" width="9.5703125" style="59" customWidth="1"/>
    <col min="2583" max="2583" width="9.85546875" style="59" customWidth="1"/>
    <col min="2584" max="2585" width="9.42578125" style="59" customWidth="1"/>
    <col min="2586" max="2586" width="9.85546875" style="59" customWidth="1"/>
    <col min="2587" max="2588" width="9.28515625" style="59" customWidth="1"/>
    <col min="2589" max="2589" width="9.85546875" style="59" customWidth="1"/>
    <col min="2590" max="2590" width="9.28515625" style="59" customWidth="1"/>
    <col min="2591" max="2591" width="10.42578125" style="59" customWidth="1"/>
    <col min="2592" max="2592" width="5.28515625" style="59" bestFit="1" customWidth="1"/>
    <col min="2593" max="2593" width="9.7109375" style="59" bestFit="1" customWidth="1"/>
    <col min="2594" max="2594" width="11" style="59" bestFit="1" customWidth="1"/>
    <col min="2595" max="2595" width="10.85546875" style="59" bestFit="1" customWidth="1"/>
    <col min="2596" max="2596" width="9.140625" style="59"/>
    <col min="2597" max="2597" width="3.85546875" style="59" bestFit="1" customWidth="1"/>
    <col min="2598" max="2598" width="7.28515625" style="59" bestFit="1" customWidth="1"/>
    <col min="2599" max="2601" width="9.140625" style="59"/>
    <col min="2602" max="2602" width="9.28515625" style="59" customWidth="1"/>
    <col min="2603" max="2603" width="9.28515625" style="59" bestFit="1" customWidth="1"/>
    <col min="2604" max="2816" width="9.140625" style="59"/>
    <col min="2817" max="2817" width="7.85546875" style="59" customWidth="1"/>
    <col min="2818" max="2818" width="12.140625" style="59" customWidth="1"/>
    <col min="2819" max="2819" width="6.28515625" style="59" customWidth="1"/>
    <col min="2820" max="2820" width="11.5703125" style="59" customWidth="1"/>
    <col min="2821" max="2821" width="7.85546875" style="59" customWidth="1"/>
    <col min="2822" max="2822" width="12.28515625" style="59" customWidth="1"/>
    <col min="2823" max="2823" width="5.28515625" style="59" customWidth="1"/>
    <col min="2824" max="2824" width="12.140625" style="59" bestFit="1" customWidth="1"/>
    <col min="2825" max="2825" width="5.7109375" style="59" customWidth="1"/>
    <col min="2826" max="2826" width="11.85546875" style="59" bestFit="1" customWidth="1"/>
    <col min="2827" max="2827" width="8" style="59" customWidth="1"/>
    <col min="2828" max="2828" width="12.5703125" style="59" customWidth="1"/>
    <col min="2829" max="2829" width="9" style="59" customWidth="1"/>
    <col min="2830" max="2830" width="11.7109375" style="59" bestFit="1" customWidth="1"/>
    <col min="2831" max="2831" width="9.42578125" style="59" customWidth="1"/>
    <col min="2832" max="2832" width="4.140625" style="59" customWidth="1"/>
    <col min="2833" max="2833" width="3.28515625" style="59" bestFit="1" customWidth="1"/>
    <col min="2834" max="2834" width="8.85546875" style="59" customWidth="1"/>
    <col min="2835" max="2835" width="10" style="59" bestFit="1" customWidth="1"/>
    <col min="2836" max="2837" width="9.42578125" style="59" customWidth="1"/>
    <col min="2838" max="2838" width="9.5703125" style="59" customWidth="1"/>
    <col min="2839" max="2839" width="9.85546875" style="59" customWidth="1"/>
    <col min="2840" max="2841" width="9.42578125" style="59" customWidth="1"/>
    <col min="2842" max="2842" width="9.85546875" style="59" customWidth="1"/>
    <col min="2843" max="2844" width="9.28515625" style="59" customWidth="1"/>
    <col min="2845" max="2845" width="9.85546875" style="59" customWidth="1"/>
    <col min="2846" max="2846" width="9.28515625" style="59" customWidth="1"/>
    <col min="2847" max="2847" width="10.42578125" style="59" customWidth="1"/>
    <col min="2848" max="2848" width="5.28515625" style="59" bestFit="1" customWidth="1"/>
    <col min="2849" max="2849" width="9.7109375" style="59" bestFit="1" customWidth="1"/>
    <col min="2850" max="2850" width="11" style="59" bestFit="1" customWidth="1"/>
    <col min="2851" max="2851" width="10.85546875" style="59" bestFit="1" customWidth="1"/>
    <col min="2852" max="2852" width="9.140625" style="59"/>
    <col min="2853" max="2853" width="3.85546875" style="59" bestFit="1" customWidth="1"/>
    <col min="2854" max="2854" width="7.28515625" style="59" bestFit="1" customWidth="1"/>
    <col min="2855" max="2857" width="9.140625" style="59"/>
    <col min="2858" max="2858" width="9.28515625" style="59" customWidth="1"/>
    <col min="2859" max="2859" width="9.28515625" style="59" bestFit="1" customWidth="1"/>
    <col min="2860" max="3072" width="9.140625" style="59"/>
    <col min="3073" max="3073" width="7.85546875" style="59" customWidth="1"/>
    <col min="3074" max="3074" width="12.140625" style="59" customWidth="1"/>
    <col min="3075" max="3075" width="6.28515625" style="59" customWidth="1"/>
    <col min="3076" max="3076" width="11.5703125" style="59" customWidth="1"/>
    <col min="3077" max="3077" width="7.85546875" style="59" customWidth="1"/>
    <col min="3078" max="3078" width="12.28515625" style="59" customWidth="1"/>
    <col min="3079" max="3079" width="5.28515625" style="59" customWidth="1"/>
    <col min="3080" max="3080" width="12.140625" style="59" bestFit="1" customWidth="1"/>
    <col min="3081" max="3081" width="5.7109375" style="59" customWidth="1"/>
    <col min="3082" max="3082" width="11.85546875" style="59" bestFit="1" customWidth="1"/>
    <col min="3083" max="3083" width="8" style="59" customWidth="1"/>
    <col min="3084" max="3084" width="12.5703125" style="59" customWidth="1"/>
    <col min="3085" max="3085" width="9" style="59" customWidth="1"/>
    <col min="3086" max="3086" width="11.7109375" style="59" bestFit="1" customWidth="1"/>
    <col min="3087" max="3087" width="9.42578125" style="59" customWidth="1"/>
    <col min="3088" max="3088" width="4.140625" style="59" customWidth="1"/>
    <col min="3089" max="3089" width="3.28515625" style="59" bestFit="1" customWidth="1"/>
    <col min="3090" max="3090" width="8.85546875" style="59" customWidth="1"/>
    <col min="3091" max="3091" width="10" style="59" bestFit="1" customWidth="1"/>
    <col min="3092" max="3093" width="9.42578125" style="59" customWidth="1"/>
    <col min="3094" max="3094" width="9.5703125" style="59" customWidth="1"/>
    <col min="3095" max="3095" width="9.85546875" style="59" customWidth="1"/>
    <col min="3096" max="3097" width="9.42578125" style="59" customWidth="1"/>
    <col min="3098" max="3098" width="9.85546875" style="59" customWidth="1"/>
    <col min="3099" max="3100" width="9.28515625" style="59" customWidth="1"/>
    <col min="3101" max="3101" width="9.85546875" style="59" customWidth="1"/>
    <col min="3102" max="3102" width="9.28515625" style="59" customWidth="1"/>
    <col min="3103" max="3103" width="10.42578125" style="59" customWidth="1"/>
    <col min="3104" max="3104" width="5.28515625" style="59" bestFit="1" customWidth="1"/>
    <col min="3105" max="3105" width="9.7109375" style="59" bestFit="1" customWidth="1"/>
    <col min="3106" max="3106" width="11" style="59" bestFit="1" customWidth="1"/>
    <col min="3107" max="3107" width="10.85546875" style="59" bestFit="1" customWidth="1"/>
    <col min="3108" max="3108" width="9.140625" style="59"/>
    <col min="3109" max="3109" width="3.85546875" style="59" bestFit="1" customWidth="1"/>
    <col min="3110" max="3110" width="7.28515625" style="59" bestFit="1" customWidth="1"/>
    <col min="3111" max="3113" width="9.140625" style="59"/>
    <col min="3114" max="3114" width="9.28515625" style="59" customWidth="1"/>
    <col min="3115" max="3115" width="9.28515625" style="59" bestFit="1" customWidth="1"/>
    <col min="3116" max="3328" width="9.140625" style="59"/>
    <col min="3329" max="3329" width="7.85546875" style="59" customWidth="1"/>
    <col min="3330" max="3330" width="12.140625" style="59" customWidth="1"/>
    <col min="3331" max="3331" width="6.28515625" style="59" customWidth="1"/>
    <col min="3332" max="3332" width="11.5703125" style="59" customWidth="1"/>
    <col min="3333" max="3333" width="7.85546875" style="59" customWidth="1"/>
    <col min="3334" max="3334" width="12.28515625" style="59" customWidth="1"/>
    <col min="3335" max="3335" width="5.28515625" style="59" customWidth="1"/>
    <col min="3336" max="3336" width="12.140625" style="59" bestFit="1" customWidth="1"/>
    <col min="3337" max="3337" width="5.7109375" style="59" customWidth="1"/>
    <col min="3338" max="3338" width="11.85546875" style="59" bestFit="1" customWidth="1"/>
    <col min="3339" max="3339" width="8" style="59" customWidth="1"/>
    <col min="3340" max="3340" width="12.5703125" style="59" customWidth="1"/>
    <col min="3341" max="3341" width="9" style="59" customWidth="1"/>
    <col min="3342" max="3342" width="11.7109375" style="59" bestFit="1" customWidth="1"/>
    <col min="3343" max="3343" width="9.42578125" style="59" customWidth="1"/>
    <col min="3344" max="3344" width="4.140625" style="59" customWidth="1"/>
    <col min="3345" max="3345" width="3.28515625" style="59" bestFit="1" customWidth="1"/>
    <col min="3346" max="3346" width="8.85546875" style="59" customWidth="1"/>
    <col min="3347" max="3347" width="10" style="59" bestFit="1" customWidth="1"/>
    <col min="3348" max="3349" width="9.42578125" style="59" customWidth="1"/>
    <col min="3350" max="3350" width="9.5703125" style="59" customWidth="1"/>
    <col min="3351" max="3351" width="9.85546875" style="59" customWidth="1"/>
    <col min="3352" max="3353" width="9.42578125" style="59" customWidth="1"/>
    <col min="3354" max="3354" width="9.85546875" style="59" customWidth="1"/>
    <col min="3355" max="3356" width="9.28515625" style="59" customWidth="1"/>
    <col min="3357" max="3357" width="9.85546875" style="59" customWidth="1"/>
    <col min="3358" max="3358" width="9.28515625" style="59" customWidth="1"/>
    <col min="3359" max="3359" width="10.42578125" style="59" customWidth="1"/>
    <col min="3360" max="3360" width="5.28515625" style="59" bestFit="1" customWidth="1"/>
    <col min="3361" max="3361" width="9.7109375" style="59" bestFit="1" customWidth="1"/>
    <col min="3362" max="3362" width="11" style="59" bestFit="1" customWidth="1"/>
    <col min="3363" max="3363" width="10.85546875" style="59" bestFit="1" customWidth="1"/>
    <col min="3364" max="3364" width="9.140625" style="59"/>
    <col min="3365" max="3365" width="3.85546875" style="59" bestFit="1" customWidth="1"/>
    <col min="3366" max="3366" width="7.28515625" style="59" bestFit="1" customWidth="1"/>
    <col min="3367" max="3369" width="9.140625" style="59"/>
    <col min="3370" max="3370" width="9.28515625" style="59" customWidth="1"/>
    <col min="3371" max="3371" width="9.28515625" style="59" bestFit="1" customWidth="1"/>
    <col min="3372" max="3584" width="9.140625" style="59"/>
    <col min="3585" max="3585" width="7.85546875" style="59" customWidth="1"/>
    <col min="3586" max="3586" width="12.140625" style="59" customWidth="1"/>
    <col min="3587" max="3587" width="6.28515625" style="59" customWidth="1"/>
    <col min="3588" max="3588" width="11.5703125" style="59" customWidth="1"/>
    <col min="3589" max="3589" width="7.85546875" style="59" customWidth="1"/>
    <col min="3590" max="3590" width="12.28515625" style="59" customWidth="1"/>
    <col min="3591" max="3591" width="5.28515625" style="59" customWidth="1"/>
    <col min="3592" max="3592" width="12.140625" style="59" bestFit="1" customWidth="1"/>
    <col min="3593" max="3593" width="5.7109375" style="59" customWidth="1"/>
    <col min="3594" max="3594" width="11.85546875" style="59" bestFit="1" customWidth="1"/>
    <col min="3595" max="3595" width="8" style="59" customWidth="1"/>
    <col min="3596" max="3596" width="12.5703125" style="59" customWidth="1"/>
    <col min="3597" max="3597" width="9" style="59" customWidth="1"/>
    <col min="3598" max="3598" width="11.7109375" style="59" bestFit="1" customWidth="1"/>
    <col min="3599" max="3599" width="9.42578125" style="59" customWidth="1"/>
    <col min="3600" max="3600" width="4.140625" style="59" customWidth="1"/>
    <col min="3601" max="3601" width="3.28515625" style="59" bestFit="1" customWidth="1"/>
    <col min="3602" max="3602" width="8.85546875" style="59" customWidth="1"/>
    <col min="3603" max="3603" width="10" style="59" bestFit="1" customWidth="1"/>
    <col min="3604" max="3605" width="9.42578125" style="59" customWidth="1"/>
    <col min="3606" max="3606" width="9.5703125" style="59" customWidth="1"/>
    <col min="3607" max="3607" width="9.85546875" style="59" customWidth="1"/>
    <col min="3608" max="3609" width="9.42578125" style="59" customWidth="1"/>
    <col min="3610" max="3610" width="9.85546875" style="59" customWidth="1"/>
    <col min="3611" max="3612" width="9.28515625" style="59" customWidth="1"/>
    <col min="3613" max="3613" width="9.85546875" style="59" customWidth="1"/>
    <col min="3614" max="3614" width="9.28515625" style="59" customWidth="1"/>
    <col min="3615" max="3615" width="10.42578125" style="59" customWidth="1"/>
    <col min="3616" max="3616" width="5.28515625" style="59" bestFit="1" customWidth="1"/>
    <col min="3617" max="3617" width="9.7109375" style="59" bestFit="1" customWidth="1"/>
    <col min="3618" max="3618" width="11" style="59" bestFit="1" customWidth="1"/>
    <col min="3619" max="3619" width="10.85546875" style="59" bestFit="1" customWidth="1"/>
    <col min="3620" max="3620" width="9.140625" style="59"/>
    <col min="3621" max="3621" width="3.85546875" style="59" bestFit="1" customWidth="1"/>
    <col min="3622" max="3622" width="7.28515625" style="59" bestFit="1" customWidth="1"/>
    <col min="3623" max="3625" width="9.140625" style="59"/>
    <col min="3626" max="3626" width="9.28515625" style="59" customWidth="1"/>
    <col min="3627" max="3627" width="9.28515625" style="59" bestFit="1" customWidth="1"/>
    <col min="3628" max="3840" width="9.140625" style="59"/>
    <col min="3841" max="3841" width="7.85546875" style="59" customWidth="1"/>
    <col min="3842" max="3842" width="12.140625" style="59" customWidth="1"/>
    <col min="3843" max="3843" width="6.28515625" style="59" customWidth="1"/>
    <col min="3844" max="3844" width="11.5703125" style="59" customWidth="1"/>
    <col min="3845" max="3845" width="7.85546875" style="59" customWidth="1"/>
    <col min="3846" max="3846" width="12.28515625" style="59" customWidth="1"/>
    <col min="3847" max="3847" width="5.28515625" style="59" customWidth="1"/>
    <col min="3848" max="3848" width="12.140625" style="59" bestFit="1" customWidth="1"/>
    <col min="3849" max="3849" width="5.7109375" style="59" customWidth="1"/>
    <col min="3850" max="3850" width="11.85546875" style="59" bestFit="1" customWidth="1"/>
    <col min="3851" max="3851" width="8" style="59" customWidth="1"/>
    <col min="3852" max="3852" width="12.5703125" style="59" customWidth="1"/>
    <col min="3853" max="3853" width="9" style="59" customWidth="1"/>
    <col min="3854" max="3854" width="11.7109375" style="59" bestFit="1" customWidth="1"/>
    <col min="3855" max="3855" width="9.42578125" style="59" customWidth="1"/>
    <col min="3856" max="3856" width="4.140625" style="59" customWidth="1"/>
    <col min="3857" max="3857" width="3.28515625" style="59" bestFit="1" customWidth="1"/>
    <col min="3858" max="3858" width="8.85546875" style="59" customWidth="1"/>
    <col min="3859" max="3859" width="10" style="59" bestFit="1" customWidth="1"/>
    <col min="3860" max="3861" width="9.42578125" style="59" customWidth="1"/>
    <col min="3862" max="3862" width="9.5703125" style="59" customWidth="1"/>
    <col min="3863" max="3863" width="9.85546875" style="59" customWidth="1"/>
    <col min="3864" max="3865" width="9.42578125" style="59" customWidth="1"/>
    <col min="3866" max="3866" width="9.85546875" style="59" customWidth="1"/>
    <col min="3867" max="3868" width="9.28515625" style="59" customWidth="1"/>
    <col min="3869" max="3869" width="9.85546875" style="59" customWidth="1"/>
    <col min="3870" max="3870" width="9.28515625" style="59" customWidth="1"/>
    <col min="3871" max="3871" width="10.42578125" style="59" customWidth="1"/>
    <col min="3872" max="3872" width="5.28515625" style="59" bestFit="1" customWidth="1"/>
    <col min="3873" max="3873" width="9.7109375" style="59" bestFit="1" customWidth="1"/>
    <col min="3874" max="3874" width="11" style="59" bestFit="1" customWidth="1"/>
    <col min="3875" max="3875" width="10.85546875" style="59" bestFit="1" customWidth="1"/>
    <col min="3876" max="3876" width="9.140625" style="59"/>
    <col min="3877" max="3877" width="3.85546875" style="59" bestFit="1" customWidth="1"/>
    <col min="3878" max="3878" width="7.28515625" style="59" bestFit="1" customWidth="1"/>
    <col min="3879" max="3881" width="9.140625" style="59"/>
    <col min="3882" max="3882" width="9.28515625" style="59" customWidth="1"/>
    <col min="3883" max="3883" width="9.28515625" style="59" bestFit="1" customWidth="1"/>
    <col min="3884" max="4096" width="9.140625" style="59"/>
    <col min="4097" max="4097" width="7.85546875" style="59" customWidth="1"/>
    <col min="4098" max="4098" width="12.140625" style="59" customWidth="1"/>
    <col min="4099" max="4099" width="6.28515625" style="59" customWidth="1"/>
    <col min="4100" max="4100" width="11.5703125" style="59" customWidth="1"/>
    <col min="4101" max="4101" width="7.85546875" style="59" customWidth="1"/>
    <col min="4102" max="4102" width="12.28515625" style="59" customWidth="1"/>
    <col min="4103" max="4103" width="5.28515625" style="59" customWidth="1"/>
    <col min="4104" max="4104" width="12.140625" style="59" bestFit="1" customWidth="1"/>
    <col min="4105" max="4105" width="5.7109375" style="59" customWidth="1"/>
    <col min="4106" max="4106" width="11.85546875" style="59" bestFit="1" customWidth="1"/>
    <col min="4107" max="4107" width="8" style="59" customWidth="1"/>
    <col min="4108" max="4108" width="12.5703125" style="59" customWidth="1"/>
    <col min="4109" max="4109" width="9" style="59" customWidth="1"/>
    <col min="4110" max="4110" width="11.7109375" style="59" bestFit="1" customWidth="1"/>
    <col min="4111" max="4111" width="9.42578125" style="59" customWidth="1"/>
    <col min="4112" max="4112" width="4.140625" style="59" customWidth="1"/>
    <col min="4113" max="4113" width="3.28515625" style="59" bestFit="1" customWidth="1"/>
    <col min="4114" max="4114" width="8.85546875" style="59" customWidth="1"/>
    <col min="4115" max="4115" width="10" style="59" bestFit="1" customWidth="1"/>
    <col min="4116" max="4117" width="9.42578125" style="59" customWidth="1"/>
    <col min="4118" max="4118" width="9.5703125" style="59" customWidth="1"/>
    <col min="4119" max="4119" width="9.85546875" style="59" customWidth="1"/>
    <col min="4120" max="4121" width="9.42578125" style="59" customWidth="1"/>
    <col min="4122" max="4122" width="9.85546875" style="59" customWidth="1"/>
    <col min="4123" max="4124" width="9.28515625" style="59" customWidth="1"/>
    <col min="4125" max="4125" width="9.85546875" style="59" customWidth="1"/>
    <col min="4126" max="4126" width="9.28515625" style="59" customWidth="1"/>
    <col min="4127" max="4127" width="10.42578125" style="59" customWidth="1"/>
    <col min="4128" max="4128" width="5.28515625" style="59" bestFit="1" customWidth="1"/>
    <col min="4129" max="4129" width="9.7109375" style="59" bestFit="1" customWidth="1"/>
    <col min="4130" max="4130" width="11" style="59" bestFit="1" customWidth="1"/>
    <col min="4131" max="4131" width="10.85546875" style="59" bestFit="1" customWidth="1"/>
    <col min="4132" max="4132" width="9.140625" style="59"/>
    <col min="4133" max="4133" width="3.85546875" style="59" bestFit="1" customWidth="1"/>
    <col min="4134" max="4134" width="7.28515625" style="59" bestFit="1" customWidth="1"/>
    <col min="4135" max="4137" width="9.140625" style="59"/>
    <col min="4138" max="4138" width="9.28515625" style="59" customWidth="1"/>
    <col min="4139" max="4139" width="9.28515625" style="59" bestFit="1" customWidth="1"/>
    <col min="4140" max="4352" width="9.140625" style="59"/>
    <col min="4353" max="4353" width="7.85546875" style="59" customWidth="1"/>
    <col min="4354" max="4354" width="12.140625" style="59" customWidth="1"/>
    <col min="4355" max="4355" width="6.28515625" style="59" customWidth="1"/>
    <col min="4356" max="4356" width="11.5703125" style="59" customWidth="1"/>
    <col min="4357" max="4357" width="7.85546875" style="59" customWidth="1"/>
    <col min="4358" max="4358" width="12.28515625" style="59" customWidth="1"/>
    <col min="4359" max="4359" width="5.28515625" style="59" customWidth="1"/>
    <col min="4360" max="4360" width="12.140625" style="59" bestFit="1" customWidth="1"/>
    <col min="4361" max="4361" width="5.7109375" style="59" customWidth="1"/>
    <col min="4362" max="4362" width="11.85546875" style="59" bestFit="1" customWidth="1"/>
    <col min="4363" max="4363" width="8" style="59" customWidth="1"/>
    <col min="4364" max="4364" width="12.5703125" style="59" customWidth="1"/>
    <col min="4365" max="4365" width="9" style="59" customWidth="1"/>
    <col min="4366" max="4366" width="11.7109375" style="59" bestFit="1" customWidth="1"/>
    <col min="4367" max="4367" width="9.42578125" style="59" customWidth="1"/>
    <col min="4368" max="4368" width="4.140625" style="59" customWidth="1"/>
    <col min="4369" max="4369" width="3.28515625" style="59" bestFit="1" customWidth="1"/>
    <col min="4370" max="4370" width="8.85546875" style="59" customWidth="1"/>
    <col min="4371" max="4371" width="10" style="59" bestFit="1" customWidth="1"/>
    <col min="4372" max="4373" width="9.42578125" style="59" customWidth="1"/>
    <col min="4374" max="4374" width="9.5703125" style="59" customWidth="1"/>
    <col min="4375" max="4375" width="9.85546875" style="59" customWidth="1"/>
    <col min="4376" max="4377" width="9.42578125" style="59" customWidth="1"/>
    <col min="4378" max="4378" width="9.85546875" style="59" customWidth="1"/>
    <col min="4379" max="4380" width="9.28515625" style="59" customWidth="1"/>
    <col min="4381" max="4381" width="9.85546875" style="59" customWidth="1"/>
    <col min="4382" max="4382" width="9.28515625" style="59" customWidth="1"/>
    <col min="4383" max="4383" width="10.42578125" style="59" customWidth="1"/>
    <col min="4384" max="4384" width="5.28515625" style="59" bestFit="1" customWidth="1"/>
    <col min="4385" max="4385" width="9.7109375" style="59" bestFit="1" customWidth="1"/>
    <col min="4386" max="4386" width="11" style="59" bestFit="1" customWidth="1"/>
    <col min="4387" max="4387" width="10.85546875" style="59" bestFit="1" customWidth="1"/>
    <col min="4388" max="4388" width="9.140625" style="59"/>
    <col min="4389" max="4389" width="3.85546875" style="59" bestFit="1" customWidth="1"/>
    <col min="4390" max="4390" width="7.28515625" style="59" bestFit="1" customWidth="1"/>
    <col min="4391" max="4393" width="9.140625" style="59"/>
    <col min="4394" max="4394" width="9.28515625" style="59" customWidth="1"/>
    <col min="4395" max="4395" width="9.28515625" style="59" bestFit="1" customWidth="1"/>
    <col min="4396" max="4608" width="9.140625" style="59"/>
    <col min="4609" max="4609" width="7.85546875" style="59" customWidth="1"/>
    <col min="4610" max="4610" width="12.140625" style="59" customWidth="1"/>
    <col min="4611" max="4611" width="6.28515625" style="59" customWidth="1"/>
    <col min="4612" max="4612" width="11.5703125" style="59" customWidth="1"/>
    <col min="4613" max="4613" width="7.85546875" style="59" customWidth="1"/>
    <col min="4614" max="4614" width="12.28515625" style="59" customWidth="1"/>
    <col min="4615" max="4615" width="5.28515625" style="59" customWidth="1"/>
    <col min="4616" max="4616" width="12.140625" style="59" bestFit="1" customWidth="1"/>
    <col min="4617" max="4617" width="5.7109375" style="59" customWidth="1"/>
    <col min="4618" max="4618" width="11.85546875" style="59" bestFit="1" customWidth="1"/>
    <col min="4619" max="4619" width="8" style="59" customWidth="1"/>
    <col min="4620" max="4620" width="12.5703125" style="59" customWidth="1"/>
    <col min="4621" max="4621" width="9" style="59" customWidth="1"/>
    <col min="4622" max="4622" width="11.7109375" style="59" bestFit="1" customWidth="1"/>
    <col min="4623" max="4623" width="9.42578125" style="59" customWidth="1"/>
    <col min="4624" max="4624" width="4.140625" style="59" customWidth="1"/>
    <col min="4625" max="4625" width="3.28515625" style="59" bestFit="1" customWidth="1"/>
    <col min="4626" max="4626" width="8.85546875" style="59" customWidth="1"/>
    <col min="4627" max="4627" width="10" style="59" bestFit="1" customWidth="1"/>
    <col min="4628" max="4629" width="9.42578125" style="59" customWidth="1"/>
    <col min="4630" max="4630" width="9.5703125" style="59" customWidth="1"/>
    <col min="4631" max="4631" width="9.85546875" style="59" customWidth="1"/>
    <col min="4632" max="4633" width="9.42578125" style="59" customWidth="1"/>
    <col min="4634" max="4634" width="9.85546875" style="59" customWidth="1"/>
    <col min="4635" max="4636" width="9.28515625" style="59" customWidth="1"/>
    <col min="4637" max="4637" width="9.85546875" style="59" customWidth="1"/>
    <col min="4638" max="4638" width="9.28515625" style="59" customWidth="1"/>
    <col min="4639" max="4639" width="10.42578125" style="59" customWidth="1"/>
    <col min="4640" max="4640" width="5.28515625" style="59" bestFit="1" customWidth="1"/>
    <col min="4641" max="4641" width="9.7109375" style="59" bestFit="1" customWidth="1"/>
    <col min="4642" max="4642" width="11" style="59" bestFit="1" customWidth="1"/>
    <col min="4643" max="4643" width="10.85546875" style="59" bestFit="1" customWidth="1"/>
    <col min="4644" max="4644" width="9.140625" style="59"/>
    <col min="4645" max="4645" width="3.85546875" style="59" bestFit="1" customWidth="1"/>
    <col min="4646" max="4646" width="7.28515625" style="59" bestFit="1" customWidth="1"/>
    <col min="4647" max="4649" width="9.140625" style="59"/>
    <col min="4650" max="4650" width="9.28515625" style="59" customWidth="1"/>
    <col min="4651" max="4651" width="9.28515625" style="59" bestFit="1" customWidth="1"/>
    <col min="4652" max="4864" width="9.140625" style="59"/>
    <col min="4865" max="4865" width="7.85546875" style="59" customWidth="1"/>
    <col min="4866" max="4866" width="12.140625" style="59" customWidth="1"/>
    <col min="4867" max="4867" width="6.28515625" style="59" customWidth="1"/>
    <col min="4868" max="4868" width="11.5703125" style="59" customWidth="1"/>
    <col min="4869" max="4869" width="7.85546875" style="59" customWidth="1"/>
    <col min="4870" max="4870" width="12.28515625" style="59" customWidth="1"/>
    <col min="4871" max="4871" width="5.28515625" style="59" customWidth="1"/>
    <col min="4872" max="4872" width="12.140625" style="59" bestFit="1" customWidth="1"/>
    <col min="4873" max="4873" width="5.7109375" style="59" customWidth="1"/>
    <col min="4874" max="4874" width="11.85546875" style="59" bestFit="1" customWidth="1"/>
    <col min="4875" max="4875" width="8" style="59" customWidth="1"/>
    <col min="4876" max="4876" width="12.5703125" style="59" customWidth="1"/>
    <col min="4877" max="4877" width="9" style="59" customWidth="1"/>
    <col min="4878" max="4878" width="11.7109375" style="59" bestFit="1" customWidth="1"/>
    <col min="4879" max="4879" width="9.42578125" style="59" customWidth="1"/>
    <col min="4880" max="4880" width="4.140625" style="59" customWidth="1"/>
    <col min="4881" max="4881" width="3.28515625" style="59" bestFit="1" customWidth="1"/>
    <col min="4882" max="4882" width="8.85546875" style="59" customWidth="1"/>
    <col min="4883" max="4883" width="10" style="59" bestFit="1" customWidth="1"/>
    <col min="4884" max="4885" width="9.42578125" style="59" customWidth="1"/>
    <col min="4886" max="4886" width="9.5703125" style="59" customWidth="1"/>
    <col min="4887" max="4887" width="9.85546875" style="59" customWidth="1"/>
    <col min="4888" max="4889" width="9.42578125" style="59" customWidth="1"/>
    <col min="4890" max="4890" width="9.85546875" style="59" customWidth="1"/>
    <col min="4891" max="4892" width="9.28515625" style="59" customWidth="1"/>
    <col min="4893" max="4893" width="9.85546875" style="59" customWidth="1"/>
    <col min="4894" max="4894" width="9.28515625" style="59" customWidth="1"/>
    <col min="4895" max="4895" width="10.42578125" style="59" customWidth="1"/>
    <col min="4896" max="4896" width="5.28515625" style="59" bestFit="1" customWidth="1"/>
    <col min="4897" max="4897" width="9.7109375" style="59" bestFit="1" customWidth="1"/>
    <col min="4898" max="4898" width="11" style="59" bestFit="1" customWidth="1"/>
    <col min="4899" max="4899" width="10.85546875" style="59" bestFit="1" customWidth="1"/>
    <col min="4900" max="4900" width="9.140625" style="59"/>
    <col min="4901" max="4901" width="3.85546875" style="59" bestFit="1" customWidth="1"/>
    <col min="4902" max="4902" width="7.28515625" style="59" bestFit="1" customWidth="1"/>
    <col min="4903" max="4905" width="9.140625" style="59"/>
    <col min="4906" max="4906" width="9.28515625" style="59" customWidth="1"/>
    <col min="4907" max="4907" width="9.28515625" style="59" bestFit="1" customWidth="1"/>
    <col min="4908" max="5120" width="9.140625" style="59"/>
    <col min="5121" max="5121" width="7.85546875" style="59" customWidth="1"/>
    <col min="5122" max="5122" width="12.140625" style="59" customWidth="1"/>
    <col min="5123" max="5123" width="6.28515625" style="59" customWidth="1"/>
    <col min="5124" max="5124" width="11.5703125" style="59" customWidth="1"/>
    <col min="5125" max="5125" width="7.85546875" style="59" customWidth="1"/>
    <col min="5126" max="5126" width="12.28515625" style="59" customWidth="1"/>
    <col min="5127" max="5127" width="5.28515625" style="59" customWidth="1"/>
    <col min="5128" max="5128" width="12.140625" style="59" bestFit="1" customWidth="1"/>
    <col min="5129" max="5129" width="5.7109375" style="59" customWidth="1"/>
    <col min="5130" max="5130" width="11.85546875" style="59" bestFit="1" customWidth="1"/>
    <col min="5131" max="5131" width="8" style="59" customWidth="1"/>
    <col min="5132" max="5132" width="12.5703125" style="59" customWidth="1"/>
    <col min="5133" max="5133" width="9" style="59" customWidth="1"/>
    <col min="5134" max="5134" width="11.7109375" style="59" bestFit="1" customWidth="1"/>
    <col min="5135" max="5135" width="9.42578125" style="59" customWidth="1"/>
    <col min="5136" max="5136" width="4.140625" style="59" customWidth="1"/>
    <col min="5137" max="5137" width="3.28515625" style="59" bestFit="1" customWidth="1"/>
    <col min="5138" max="5138" width="8.85546875" style="59" customWidth="1"/>
    <col min="5139" max="5139" width="10" style="59" bestFit="1" customWidth="1"/>
    <col min="5140" max="5141" width="9.42578125" style="59" customWidth="1"/>
    <col min="5142" max="5142" width="9.5703125" style="59" customWidth="1"/>
    <col min="5143" max="5143" width="9.85546875" style="59" customWidth="1"/>
    <col min="5144" max="5145" width="9.42578125" style="59" customWidth="1"/>
    <col min="5146" max="5146" width="9.85546875" style="59" customWidth="1"/>
    <col min="5147" max="5148" width="9.28515625" style="59" customWidth="1"/>
    <col min="5149" max="5149" width="9.85546875" style="59" customWidth="1"/>
    <col min="5150" max="5150" width="9.28515625" style="59" customWidth="1"/>
    <col min="5151" max="5151" width="10.42578125" style="59" customWidth="1"/>
    <col min="5152" max="5152" width="5.28515625" style="59" bestFit="1" customWidth="1"/>
    <col min="5153" max="5153" width="9.7109375" style="59" bestFit="1" customWidth="1"/>
    <col min="5154" max="5154" width="11" style="59" bestFit="1" customWidth="1"/>
    <col min="5155" max="5155" width="10.85546875" style="59" bestFit="1" customWidth="1"/>
    <col min="5156" max="5156" width="9.140625" style="59"/>
    <col min="5157" max="5157" width="3.85546875" style="59" bestFit="1" customWidth="1"/>
    <col min="5158" max="5158" width="7.28515625" style="59" bestFit="1" customWidth="1"/>
    <col min="5159" max="5161" width="9.140625" style="59"/>
    <col min="5162" max="5162" width="9.28515625" style="59" customWidth="1"/>
    <col min="5163" max="5163" width="9.28515625" style="59" bestFit="1" customWidth="1"/>
    <col min="5164" max="5376" width="9.140625" style="59"/>
    <col min="5377" max="5377" width="7.85546875" style="59" customWidth="1"/>
    <col min="5378" max="5378" width="12.140625" style="59" customWidth="1"/>
    <col min="5379" max="5379" width="6.28515625" style="59" customWidth="1"/>
    <col min="5380" max="5380" width="11.5703125" style="59" customWidth="1"/>
    <col min="5381" max="5381" width="7.85546875" style="59" customWidth="1"/>
    <col min="5382" max="5382" width="12.28515625" style="59" customWidth="1"/>
    <col min="5383" max="5383" width="5.28515625" style="59" customWidth="1"/>
    <col min="5384" max="5384" width="12.140625" style="59" bestFit="1" customWidth="1"/>
    <col min="5385" max="5385" width="5.7109375" style="59" customWidth="1"/>
    <col min="5386" max="5386" width="11.85546875" style="59" bestFit="1" customWidth="1"/>
    <col min="5387" max="5387" width="8" style="59" customWidth="1"/>
    <col min="5388" max="5388" width="12.5703125" style="59" customWidth="1"/>
    <col min="5389" max="5389" width="9" style="59" customWidth="1"/>
    <col min="5390" max="5390" width="11.7109375" style="59" bestFit="1" customWidth="1"/>
    <col min="5391" max="5391" width="9.42578125" style="59" customWidth="1"/>
    <col min="5392" max="5392" width="4.140625" style="59" customWidth="1"/>
    <col min="5393" max="5393" width="3.28515625" style="59" bestFit="1" customWidth="1"/>
    <col min="5394" max="5394" width="8.85546875" style="59" customWidth="1"/>
    <col min="5395" max="5395" width="10" style="59" bestFit="1" customWidth="1"/>
    <col min="5396" max="5397" width="9.42578125" style="59" customWidth="1"/>
    <col min="5398" max="5398" width="9.5703125" style="59" customWidth="1"/>
    <col min="5399" max="5399" width="9.85546875" style="59" customWidth="1"/>
    <col min="5400" max="5401" width="9.42578125" style="59" customWidth="1"/>
    <col min="5402" max="5402" width="9.85546875" style="59" customWidth="1"/>
    <col min="5403" max="5404" width="9.28515625" style="59" customWidth="1"/>
    <col min="5405" max="5405" width="9.85546875" style="59" customWidth="1"/>
    <col min="5406" max="5406" width="9.28515625" style="59" customWidth="1"/>
    <col min="5407" max="5407" width="10.42578125" style="59" customWidth="1"/>
    <col min="5408" max="5408" width="5.28515625" style="59" bestFit="1" customWidth="1"/>
    <col min="5409" max="5409" width="9.7109375" style="59" bestFit="1" customWidth="1"/>
    <col min="5410" max="5410" width="11" style="59" bestFit="1" customWidth="1"/>
    <col min="5411" max="5411" width="10.85546875" style="59" bestFit="1" customWidth="1"/>
    <col min="5412" max="5412" width="9.140625" style="59"/>
    <col min="5413" max="5413" width="3.85546875" style="59" bestFit="1" customWidth="1"/>
    <col min="5414" max="5414" width="7.28515625" style="59" bestFit="1" customWidth="1"/>
    <col min="5415" max="5417" width="9.140625" style="59"/>
    <col min="5418" max="5418" width="9.28515625" style="59" customWidth="1"/>
    <col min="5419" max="5419" width="9.28515625" style="59" bestFit="1" customWidth="1"/>
    <col min="5420" max="5632" width="9.140625" style="59"/>
    <col min="5633" max="5633" width="7.85546875" style="59" customWidth="1"/>
    <col min="5634" max="5634" width="12.140625" style="59" customWidth="1"/>
    <col min="5635" max="5635" width="6.28515625" style="59" customWidth="1"/>
    <col min="5636" max="5636" width="11.5703125" style="59" customWidth="1"/>
    <col min="5637" max="5637" width="7.85546875" style="59" customWidth="1"/>
    <col min="5638" max="5638" width="12.28515625" style="59" customWidth="1"/>
    <col min="5639" max="5639" width="5.28515625" style="59" customWidth="1"/>
    <col min="5640" max="5640" width="12.140625" style="59" bestFit="1" customWidth="1"/>
    <col min="5641" max="5641" width="5.7109375" style="59" customWidth="1"/>
    <col min="5642" max="5642" width="11.85546875" style="59" bestFit="1" customWidth="1"/>
    <col min="5643" max="5643" width="8" style="59" customWidth="1"/>
    <col min="5644" max="5644" width="12.5703125" style="59" customWidth="1"/>
    <col min="5645" max="5645" width="9" style="59" customWidth="1"/>
    <col min="5646" max="5646" width="11.7109375" style="59" bestFit="1" customWidth="1"/>
    <col min="5647" max="5647" width="9.42578125" style="59" customWidth="1"/>
    <col min="5648" max="5648" width="4.140625" style="59" customWidth="1"/>
    <col min="5649" max="5649" width="3.28515625" style="59" bestFit="1" customWidth="1"/>
    <col min="5650" max="5650" width="8.85546875" style="59" customWidth="1"/>
    <col min="5651" max="5651" width="10" style="59" bestFit="1" customWidth="1"/>
    <col min="5652" max="5653" width="9.42578125" style="59" customWidth="1"/>
    <col min="5654" max="5654" width="9.5703125" style="59" customWidth="1"/>
    <col min="5655" max="5655" width="9.85546875" style="59" customWidth="1"/>
    <col min="5656" max="5657" width="9.42578125" style="59" customWidth="1"/>
    <col min="5658" max="5658" width="9.85546875" style="59" customWidth="1"/>
    <col min="5659" max="5660" width="9.28515625" style="59" customWidth="1"/>
    <col min="5661" max="5661" width="9.85546875" style="59" customWidth="1"/>
    <col min="5662" max="5662" width="9.28515625" style="59" customWidth="1"/>
    <col min="5663" max="5663" width="10.42578125" style="59" customWidth="1"/>
    <col min="5664" max="5664" width="5.28515625" style="59" bestFit="1" customWidth="1"/>
    <col min="5665" max="5665" width="9.7109375" style="59" bestFit="1" customWidth="1"/>
    <col min="5666" max="5666" width="11" style="59" bestFit="1" customWidth="1"/>
    <col min="5667" max="5667" width="10.85546875" style="59" bestFit="1" customWidth="1"/>
    <col min="5668" max="5668" width="9.140625" style="59"/>
    <col min="5669" max="5669" width="3.85546875" style="59" bestFit="1" customWidth="1"/>
    <col min="5670" max="5670" width="7.28515625" style="59" bestFit="1" customWidth="1"/>
    <col min="5671" max="5673" width="9.140625" style="59"/>
    <col min="5674" max="5674" width="9.28515625" style="59" customWidth="1"/>
    <col min="5675" max="5675" width="9.28515625" style="59" bestFit="1" customWidth="1"/>
    <col min="5676" max="5888" width="9.140625" style="59"/>
    <col min="5889" max="5889" width="7.85546875" style="59" customWidth="1"/>
    <col min="5890" max="5890" width="12.140625" style="59" customWidth="1"/>
    <col min="5891" max="5891" width="6.28515625" style="59" customWidth="1"/>
    <col min="5892" max="5892" width="11.5703125" style="59" customWidth="1"/>
    <col min="5893" max="5893" width="7.85546875" style="59" customWidth="1"/>
    <col min="5894" max="5894" width="12.28515625" style="59" customWidth="1"/>
    <col min="5895" max="5895" width="5.28515625" style="59" customWidth="1"/>
    <col min="5896" max="5896" width="12.140625" style="59" bestFit="1" customWidth="1"/>
    <col min="5897" max="5897" width="5.7109375" style="59" customWidth="1"/>
    <col min="5898" max="5898" width="11.85546875" style="59" bestFit="1" customWidth="1"/>
    <col min="5899" max="5899" width="8" style="59" customWidth="1"/>
    <col min="5900" max="5900" width="12.5703125" style="59" customWidth="1"/>
    <col min="5901" max="5901" width="9" style="59" customWidth="1"/>
    <col min="5902" max="5902" width="11.7109375" style="59" bestFit="1" customWidth="1"/>
    <col min="5903" max="5903" width="9.42578125" style="59" customWidth="1"/>
    <col min="5904" max="5904" width="4.140625" style="59" customWidth="1"/>
    <col min="5905" max="5905" width="3.28515625" style="59" bestFit="1" customWidth="1"/>
    <col min="5906" max="5906" width="8.85546875" style="59" customWidth="1"/>
    <col min="5907" max="5907" width="10" style="59" bestFit="1" customWidth="1"/>
    <col min="5908" max="5909" width="9.42578125" style="59" customWidth="1"/>
    <col min="5910" max="5910" width="9.5703125" style="59" customWidth="1"/>
    <col min="5911" max="5911" width="9.85546875" style="59" customWidth="1"/>
    <col min="5912" max="5913" width="9.42578125" style="59" customWidth="1"/>
    <col min="5914" max="5914" width="9.85546875" style="59" customWidth="1"/>
    <col min="5915" max="5916" width="9.28515625" style="59" customWidth="1"/>
    <col min="5917" max="5917" width="9.85546875" style="59" customWidth="1"/>
    <col min="5918" max="5918" width="9.28515625" style="59" customWidth="1"/>
    <col min="5919" max="5919" width="10.42578125" style="59" customWidth="1"/>
    <col min="5920" max="5920" width="5.28515625" style="59" bestFit="1" customWidth="1"/>
    <col min="5921" max="5921" width="9.7109375" style="59" bestFit="1" customWidth="1"/>
    <col min="5922" max="5922" width="11" style="59" bestFit="1" customWidth="1"/>
    <col min="5923" max="5923" width="10.85546875" style="59" bestFit="1" customWidth="1"/>
    <col min="5924" max="5924" width="9.140625" style="59"/>
    <col min="5925" max="5925" width="3.85546875" style="59" bestFit="1" customWidth="1"/>
    <col min="5926" max="5926" width="7.28515625" style="59" bestFit="1" customWidth="1"/>
    <col min="5927" max="5929" width="9.140625" style="59"/>
    <col min="5930" max="5930" width="9.28515625" style="59" customWidth="1"/>
    <col min="5931" max="5931" width="9.28515625" style="59" bestFit="1" customWidth="1"/>
    <col min="5932" max="6144" width="9.140625" style="59"/>
    <col min="6145" max="6145" width="7.85546875" style="59" customWidth="1"/>
    <col min="6146" max="6146" width="12.140625" style="59" customWidth="1"/>
    <col min="6147" max="6147" width="6.28515625" style="59" customWidth="1"/>
    <col min="6148" max="6148" width="11.5703125" style="59" customWidth="1"/>
    <col min="6149" max="6149" width="7.85546875" style="59" customWidth="1"/>
    <col min="6150" max="6150" width="12.28515625" style="59" customWidth="1"/>
    <col min="6151" max="6151" width="5.28515625" style="59" customWidth="1"/>
    <col min="6152" max="6152" width="12.140625" style="59" bestFit="1" customWidth="1"/>
    <col min="6153" max="6153" width="5.7109375" style="59" customWidth="1"/>
    <col min="6154" max="6154" width="11.85546875" style="59" bestFit="1" customWidth="1"/>
    <col min="6155" max="6155" width="8" style="59" customWidth="1"/>
    <col min="6156" max="6156" width="12.5703125" style="59" customWidth="1"/>
    <col min="6157" max="6157" width="9" style="59" customWidth="1"/>
    <col min="6158" max="6158" width="11.7109375" style="59" bestFit="1" customWidth="1"/>
    <col min="6159" max="6159" width="9.42578125" style="59" customWidth="1"/>
    <col min="6160" max="6160" width="4.140625" style="59" customWidth="1"/>
    <col min="6161" max="6161" width="3.28515625" style="59" bestFit="1" customWidth="1"/>
    <col min="6162" max="6162" width="8.85546875" style="59" customWidth="1"/>
    <col min="6163" max="6163" width="10" style="59" bestFit="1" customWidth="1"/>
    <col min="6164" max="6165" width="9.42578125" style="59" customWidth="1"/>
    <col min="6166" max="6166" width="9.5703125" style="59" customWidth="1"/>
    <col min="6167" max="6167" width="9.85546875" style="59" customWidth="1"/>
    <col min="6168" max="6169" width="9.42578125" style="59" customWidth="1"/>
    <col min="6170" max="6170" width="9.85546875" style="59" customWidth="1"/>
    <col min="6171" max="6172" width="9.28515625" style="59" customWidth="1"/>
    <col min="6173" max="6173" width="9.85546875" style="59" customWidth="1"/>
    <col min="6174" max="6174" width="9.28515625" style="59" customWidth="1"/>
    <col min="6175" max="6175" width="10.42578125" style="59" customWidth="1"/>
    <col min="6176" max="6176" width="5.28515625" style="59" bestFit="1" customWidth="1"/>
    <col min="6177" max="6177" width="9.7109375" style="59" bestFit="1" customWidth="1"/>
    <col min="6178" max="6178" width="11" style="59" bestFit="1" customWidth="1"/>
    <col min="6179" max="6179" width="10.85546875" style="59" bestFit="1" customWidth="1"/>
    <col min="6180" max="6180" width="9.140625" style="59"/>
    <col min="6181" max="6181" width="3.85546875" style="59" bestFit="1" customWidth="1"/>
    <col min="6182" max="6182" width="7.28515625" style="59" bestFit="1" customWidth="1"/>
    <col min="6183" max="6185" width="9.140625" style="59"/>
    <col min="6186" max="6186" width="9.28515625" style="59" customWidth="1"/>
    <col min="6187" max="6187" width="9.28515625" style="59" bestFit="1" customWidth="1"/>
    <col min="6188" max="6400" width="9.140625" style="59"/>
    <col min="6401" max="6401" width="7.85546875" style="59" customWidth="1"/>
    <col min="6402" max="6402" width="12.140625" style="59" customWidth="1"/>
    <col min="6403" max="6403" width="6.28515625" style="59" customWidth="1"/>
    <col min="6404" max="6404" width="11.5703125" style="59" customWidth="1"/>
    <col min="6405" max="6405" width="7.85546875" style="59" customWidth="1"/>
    <col min="6406" max="6406" width="12.28515625" style="59" customWidth="1"/>
    <col min="6407" max="6407" width="5.28515625" style="59" customWidth="1"/>
    <col min="6408" max="6408" width="12.140625" style="59" bestFit="1" customWidth="1"/>
    <col min="6409" max="6409" width="5.7109375" style="59" customWidth="1"/>
    <col min="6410" max="6410" width="11.85546875" style="59" bestFit="1" customWidth="1"/>
    <col min="6411" max="6411" width="8" style="59" customWidth="1"/>
    <col min="6412" max="6412" width="12.5703125" style="59" customWidth="1"/>
    <col min="6413" max="6413" width="9" style="59" customWidth="1"/>
    <col min="6414" max="6414" width="11.7109375" style="59" bestFit="1" customWidth="1"/>
    <col min="6415" max="6415" width="9.42578125" style="59" customWidth="1"/>
    <col min="6416" max="6416" width="4.140625" style="59" customWidth="1"/>
    <col min="6417" max="6417" width="3.28515625" style="59" bestFit="1" customWidth="1"/>
    <col min="6418" max="6418" width="8.85546875" style="59" customWidth="1"/>
    <col min="6419" max="6419" width="10" style="59" bestFit="1" customWidth="1"/>
    <col min="6420" max="6421" width="9.42578125" style="59" customWidth="1"/>
    <col min="6422" max="6422" width="9.5703125" style="59" customWidth="1"/>
    <col min="6423" max="6423" width="9.85546875" style="59" customWidth="1"/>
    <col min="6424" max="6425" width="9.42578125" style="59" customWidth="1"/>
    <col min="6426" max="6426" width="9.85546875" style="59" customWidth="1"/>
    <col min="6427" max="6428" width="9.28515625" style="59" customWidth="1"/>
    <col min="6429" max="6429" width="9.85546875" style="59" customWidth="1"/>
    <col min="6430" max="6430" width="9.28515625" style="59" customWidth="1"/>
    <col min="6431" max="6431" width="10.42578125" style="59" customWidth="1"/>
    <col min="6432" max="6432" width="5.28515625" style="59" bestFit="1" customWidth="1"/>
    <col min="6433" max="6433" width="9.7109375" style="59" bestFit="1" customWidth="1"/>
    <col min="6434" max="6434" width="11" style="59" bestFit="1" customWidth="1"/>
    <col min="6435" max="6435" width="10.85546875" style="59" bestFit="1" customWidth="1"/>
    <col min="6436" max="6436" width="9.140625" style="59"/>
    <col min="6437" max="6437" width="3.85546875" style="59" bestFit="1" customWidth="1"/>
    <col min="6438" max="6438" width="7.28515625" style="59" bestFit="1" customWidth="1"/>
    <col min="6439" max="6441" width="9.140625" style="59"/>
    <col min="6442" max="6442" width="9.28515625" style="59" customWidth="1"/>
    <col min="6443" max="6443" width="9.28515625" style="59" bestFit="1" customWidth="1"/>
    <col min="6444" max="6656" width="9.140625" style="59"/>
    <col min="6657" max="6657" width="7.85546875" style="59" customWidth="1"/>
    <col min="6658" max="6658" width="12.140625" style="59" customWidth="1"/>
    <col min="6659" max="6659" width="6.28515625" style="59" customWidth="1"/>
    <col min="6660" max="6660" width="11.5703125" style="59" customWidth="1"/>
    <col min="6661" max="6661" width="7.85546875" style="59" customWidth="1"/>
    <col min="6662" max="6662" width="12.28515625" style="59" customWidth="1"/>
    <col min="6663" max="6663" width="5.28515625" style="59" customWidth="1"/>
    <col min="6664" max="6664" width="12.140625" style="59" bestFit="1" customWidth="1"/>
    <col min="6665" max="6665" width="5.7109375" style="59" customWidth="1"/>
    <col min="6666" max="6666" width="11.85546875" style="59" bestFit="1" customWidth="1"/>
    <col min="6667" max="6667" width="8" style="59" customWidth="1"/>
    <col min="6668" max="6668" width="12.5703125" style="59" customWidth="1"/>
    <col min="6669" max="6669" width="9" style="59" customWidth="1"/>
    <col min="6670" max="6670" width="11.7109375" style="59" bestFit="1" customWidth="1"/>
    <col min="6671" max="6671" width="9.42578125" style="59" customWidth="1"/>
    <col min="6672" max="6672" width="4.140625" style="59" customWidth="1"/>
    <col min="6673" max="6673" width="3.28515625" style="59" bestFit="1" customWidth="1"/>
    <col min="6674" max="6674" width="8.85546875" style="59" customWidth="1"/>
    <col min="6675" max="6675" width="10" style="59" bestFit="1" customWidth="1"/>
    <col min="6676" max="6677" width="9.42578125" style="59" customWidth="1"/>
    <col min="6678" max="6678" width="9.5703125" style="59" customWidth="1"/>
    <col min="6679" max="6679" width="9.85546875" style="59" customWidth="1"/>
    <col min="6680" max="6681" width="9.42578125" style="59" customWidth="1"/>
    <col min="6682" max="6682" width="9.85546875" style="59" customWidth="1"/>
    <col min="6683" max="6684" width="9.28515625" style="59" customWidth="1"/>
    <col min="6685" max="6685" width="9.85546875" style="59" customWidth="1"/>
    <col min="6686" max="6686" width="9.28515625" style="59" customWidth="1"/>
    <col min="6687" max="6687" width="10.42578125" style="59" customWidth="1"/>
    <col min="6688" max="6688" width="5.28515625" style="59" bestFit="1" customWidth="1"/>
    <col min="6689" max="6689" width="9.7109375" style="59" bestFit="1" customWidth="1"/>
    <col min="6690" max="6690" width="11" style="59" bestFit="1" customWidth="1"/>
    <col min="6691" max="6691" width="10.85546875" style="59" bestFit="1" customWidth="1"/>
    <col min="6692" max="6692" width="9.140625" style="59"/>
    <col min="6693" max="6693" width="3.85546875" style="59" bestFit="1" customWidth="1"/>
    <col min="6694" max="6694" width="7.28515625" style="59" bestFit="1" customWidth="1"/>
    <col min="6695" max="6697" width="9.140625" style="59"/>
    <col min="6698" max="6698" width="9.28515625" style="59" customWidth="1"/>
    <col min="6699" max="6699" width="9.28515625" style="59" bestFit="1" customWidth="1"/>
    <col min="6700" max="6912" width="9.140625" style="59"/>
    <col min="6913" max="6913" width="7.85546875" style="59" customWidth="1"/>
    <col min="6914" max="6914" width="12.140625" style="59" customWidth="1"/>
    <col min="6915" max="6915" width="6.28515625" style="59" customWidth="1"/>
    <col min="6916" max="6916" width="11.5703125" style="59" customWidth="1"/>
    <col min="6917" max="6917" width="7.85546875" style="59" customWidth="1"/>
    <col min="6918" max="6918" width="12.28515625" style="59" customWidth="1"/>
    <col min="6919" max="6919" width="5.28515625" style="59" customWidth="1"/>
    <col min="6920" max="6920" width="12.140625" style="59" bestFit="1" customWidth="1"/>
    <col min="6921" max="6921" width="5.7109375" style="59" customWidth="1"/>
    <col min="6922" max="6922" width="11.85546875" style="59" bestFit="1" customWidth="1"/>
    <col min="6923" max="6923" width="8" style="59" customWidth="1"/>
    <col min="6924" max="6924" width="12.5703125" style="59" customWidth="1"/>
    <col min="6925" max="6925" width="9" style="59" customWidth="1"/>
    <col min="6926" max="6926" width="11.7109375" style="59" bestFit="1" customWidth="1"/>
    <col min="6927" max="6927" width="9.42578125" style="59" customWidth="1"/>
    <col min="6928" max="6928" width="4.140625" style="59" customWidth="1"/>
    <col min="6929" max="6929" width="3.28515625" style="59" bestFit="1" customWidth="1"/>
    <col min="6930" max="6930" width="8.85546875" style="59" customWidth="1"/>
    <col min="6931" max="6931" width="10" style="59" bestFit="1" customWidth="1"/>
    <col min="6932" max="6933" width="9.42578125" style="59" customWidth="1"/>
    <col min="6934" max="6934" width="9.5703125" style="59" customWidth="1"/>
    <col min="6935" max="6935" width="9.85546875" style="59" customWidth="1"/>
    <col min="6936" max="6937" width="9.42578125" style="59" customWidth="1"/>
    <col min="6938" max="6938" width="9.85546875" style="59" customWidth="1"/>
    <col min="6939" max="6940" width="9.28515625" style="59" customWidth="1"/>
    <col min="6941" max="6941" width="9.85546875" style="59" customWidth="1"/>
    <col min="6942" max="6942" width="9.28515625" style="59" customWidth="1"/>
    <col min="6943" max="6943" width="10.42578125" style="59" customWidth="1"/>
    <col min="6944" max="6944" width="5.28515625" style="59" bestFit="1" customWidth="1"/>
    <col min="6945" max="6945" width="9.7109375" style="59" bestFit="1" customWidth="1"/>
    <col min="6946" max="6946" width="11" style="59" bestFit="1" customWidth="1"/>
    <col min="6947" max="6947" width="10.85546875" style="59" bestFit="1" customWidth="1"/>
    <col min="6948" max="6948" width="9.140625" style="59"/>
    <col min="6949" max="6949" width="3.85546875" style="59" bestFit="1" customWidth="1"/>
    <col min="6950" max="6950" width="7.28515625" style="59" bestFit="1" customWidth="1"/>
    <col min="6951" max="6953" width="9.140625" style="59"/>
    <col min="6954" max="6954" width="9.28515625" style="59" customWidth="1"/>
    <col min="6955" max="6955" width="9.28515625" style="59" bestFit="1" customWidth="1"/>
    <col min="6956" max="7168" width="9.140625" style="59"/>
    <col min="7169" max="7169" width="7.85546875" style="59" customWidth="1"/>
    <col min="7170" max="7170" width="12.140625" style="59" customWidth="1"/>
    <col min="7171" max="7171" width="6.28515625" style="59" customWidth="1"/>
    <col min="7172" max="7172" width="11.5703125" style="59" customWidth="1"/>
    <col min="7173" max="7173" width="7.85546875" style="59" customWidth="1"/>
    <col min="7174" max="7174" width="12.28515625" style="59" customWidth="1"/>
    <col min="7175" max="7175" width="5.28515625" style="59" customWidth="1"/>
    <col min="7176" max="7176" width="12.140625" style="59" bestFit="1" customWidth="1"/>
    <col min="7177" max="7177" width="5.7109375" style="59" customWidth="1"/>
    <col min="7178" max="7178" width="11.85546875" style="59" bestFit="1" customWidth="1"/>
    <col min="7179" max="7179" width="8" style="59" customWidth="1"/>
    <col min="7180" max="7180" width="12.5703125" style="59" customWidth="1"/>
    <col min="7181" max="7181" width="9" style="59" customWidth="1"/>
    <col min="7182" max="7182" width="11.7109375" style="59" bestFit="1" customWidth="1"/>
    <col min="7183" max="7183" width="9.42578125" style="59" customWidth="1"/>
    <col min="7184" max="7184" width="4.140625" style="59" customWidth="1"/>
    <col min="7185" max="7185" width="3.28515625" style="59" bestFit="1" customWidth="1"/>
    <col min="7186" max="7186" width="8.85546875" style="59" customWidth="1"/>
    <col min="7187" max="7187" width="10" style="59" bestFit="1" customWidth="1"/>
    <col min="7188" max="7189" width="9.42578125" style="59" customWidth="1"/>
    <col min="7190" max="7190" width="9.5703125" style="59" customWidth="1"/>
    <col min="7191" max="7191" width="9.85546875" style="59" customWidth="1"/>
    <col min="7192" max="7193" width="9.42578125" style="59" customWidth="1"/>
    <col min="7194" max="7194" width="9.85546875" style="59" customWidth="1"/>
    <col min="7195" max="7196" width="9.28515625" style="59" customWidth="1"/>
    <col min="7197" max="7197" width="9.85546875" style="59" customWidth="1"/>
    <col min="7198" max="7198" width="9.28515625" style="59" customWidth="1"/>
    <col min="7199" max="7199" width="10.42578125" style="59" customWidth="1"/>
    <col min="7200" max="7200" width="5.28515625" style="59" bestFit="1" customWidth="1"/>
    <col min="7201" max="7201" width="9.7109375" style="59" bestFit="1" customWidth="1"/>
    <col min="7202" max="7202" width="11" style="59" bestFit="1" customWidth="1"/>
    <col min="7203" max="7203" width="10.85546875" style="59" bestFit="1" customWidth="1"/>
    <col min="7204" max="7204" width="9.140625" style="59"/>
    <col min="7205" max="7205" width="3.85546875" style="59" bestFit="1" customWidth="1"/>
    <col min="7206" max="7206" width="7.28515625" style="59" bestFit="1" customWidth="1"/>
    <col min="7207" max="7209" width="9.140625" style="59"/>
    <col min="7210" max="7210" width="9.28515625" style="59" customWidth="1"/>
    <col min="7211" max="7211" width="9.28515625" style="59" bestFit="1" customWidth="1"/>
    <col min="7212" max="7424" width="9.140625" style="59"/>
    <col min="7425" max="7425" width="7.85546875" style="59" customWidth="1"/>
    <col min="7426" max="7426" width="12.140625" style="59" customWidth="1"/>
    <col min="7427" max="7427" width="6.28515625" style="59" customWidth="1"/>
    <col min="7428" max="7428" width="11.5703125" style="59" customWidth="1"/>
    <col min="7429" max="7429" width="7.85546875" style="59" customWidth="1"/>
    <col min="7430" max="7430" width="12.28515625" style="59" customWidth="1"/>
    <col min="7431" max="7431" width="5.28515625" style="59" customWidth="1"/>
    <col min="7432" max="7432" width="12.140625" style="59" bestFit="1" customWidth="1"/>
    <col min="7433" max="7433" width="5.7109375" style="59" customWidth="1"/>
    <col min="7434" max="7434" width="11.85546875" style="59" bestFit="1" customWidth="1"/>
    <col min="7435" max="7435" width="8" style="59" customWidth="1"/>
    <col min="7436" max="7436" width="12.5703125" style="59" customWidth="1"/>
    <col min="7437" max="7437" width="9" style="59" customWidth="1"/>
    <col min="7438" max="7438" width="11.7109375" style="59" bestFit="1" customWidth="1"/>
    <col min="7439" max="7439" width="9.42578125" style="59" customWidth="1"/>
    <col min="7440" max="7440" width="4.140625" style="59" customWidth="1"/>
    <col min="7441" max="7441" width="3.28515625" style="59" bestFit="1" customWidth="1"/>
    <col min="7442" max="7442" width="8.85546875" style="59" customWidth="1"/>
    <col min="7443" max="7443" width="10" style="59" bestFit="1" customWidth="1"/>
    <col min="7444" max="7445" width="9.42578125" style="59" customWidth="1"/>
    <col min="7446" max="7446" width="9.5703125" style="59" customWidth="1"/>
    <col min="7447" max="7447" width="9.85546875" style="59" customWidth="1"/>
    <col min="7448" max="7449" width="9.42578125" style="59" customWidth="1"/>
    <col min="7450" max="7450" width="9.85546875" style="59" customWidth="1"/>
    <col min="7451" max="7452" width="9.28515625" style="59" customWidth="1"/>
    <col min="7453" max="7453" width="9.85546875" style="59" customWidth="1"/>
    <col min="7454" max="7454" width="9.28515625" style="59" customWidth="1"/>
    <col min="7455" max="7455" width="10.42578125" style="59" customWidth="1"/>
    <col min="7456" max="7456" width="5.28515625" style="59" bestFit="1" customWidth="1"/>
    <col min="7457" max="7457" width="9.7109375" style="59" bestFit="1" customWidth="1"/>
    <col min="7458" max="7458" width="11" style="59" bestFit="1" customWidth="1"/>
    <col min="7459" max="7459" width="10.85546875" style="59" bestFit="1" customWidth="1"/>
    <col min="7460" max="7460" width="9.140625" style="59"/>
    <col min="7461" max="7461" width="3.85546875" style="59" bestFit="1" customWidth="1"/>
    <col min="7462" max="7462" width="7.28515625" style="59" bestFit="1" customWidth="1"/>
    <col min="7463" max="7465" width="9.140625" style="59"/>
    <col min="7466" max="7466" width="9.28515625" style="59" customWidth="1"/>
    <col min="7467" max="7467" width="9.28515625" style="59" bestFit="1" customWidth="1"/>
    <col min="7468" max="7680" width="9.140625" style="59"/>
    <col min="7681" max="7681" width="7.85546875" style="59" customWidth="1"/>
    <col min="7682" max="7682" width="12.140625" style="59" customWidth="1"/>
    <col min="7683" max="7683" width="6.28515625" style="59" customWidth="1"/>
    <col min="7684" max="7684" width="11.5703125" style="59" customWidth="1"/>
    <col min="7685" max="7685" width="7.85546875" style="59" customWidth="1"/>
    <col min="7686" max="7686" width="12.28515625" style="59" customWidth="1"/>
    <col min="7687" max="7687" width="5.28515625" style="59" customWidth="1"/>
    <col min="7688" max="7688" width="12.140625" style="59" bestFit="1" customWidth="1"/>
    <col min="7689" max="7689" width="5.7109375" style="59" customWidth="1"/>
    <col min="7690" max="7690" width="11.85546875" style="59" bestFit="1" customWidth="1"/>
    <col min="7691" max="7691" width="8" style="59" customWidth="1"/>
    <col min="7692" max="7692" width="12.5703125" style="59" customWidth="1"/>
    <col min="7693" max="7693" width="9" style="59" customWidth="1"/>
    <col min="7694" max="7694" width="11.7109375" style="59" bestFit="1" customWidth="1"/>
    <col min="7695" max="7695" width="9.42578125" style="59" customWidth="1"/>
    <col min="7696" max="7696" width="4.140625" style="59" customWidth="1"/>
    <col min="7697" max="7697" width="3.28515625" style="59" bestFit="1" customWidth="1"/>
    <col min="7698" max="7698" width="8.85546875" style="59" customWidth="1"/>
    <col min="7699" max="7699" width="10" style="59" bestFit="1" customWidth="1"/>
    <col min="7700" max="7701" width="9.42578125" style="59" customWidth="1"/>
    <col min="7702" max="7702" width="9.5703125" style="59" customWidth="1"/>
    <col min="7703" max="7703" width="9.85546875" style="59" customWidth="1"/>
    <col min="7704" max="7705" width="9.42578125" style="59" customWidth="1"/>
    <col min="7706" max="7706" width="9.85546875" style="59" customWidth="1"/>
    <col min="7707" max="7708" width="9.28515625" style="59" customWidth="1"/>
    <col min="7709" max="7709" width="9.85546875" style="59" customWidth="1"/>
    <col min="7710" max="7710" width="9.28515625" style="59" customWidth="1"/>
    <col min="7711" max="7711" width="10.42578125" style="59" customWidth="1"/>
    <col min="7712" max="7712" width="5.28515625" style="59" bestFit="1" customWidth="1"/>
    <col min="7713" max="7713" width="9.7109375" style="59" bestFit="1" customWidth="1"/>
    <col min="7714" max="7714" width="11" style="59" bestFit="1" customWidth="1"/>
    <col min="7715" max="7715" width="10.85546875" style="59" bestFit="1" customWidth="1"/>
    <col min="7716" max="7716" width="9.140625" style="59"/>
    <col min="7717" max="7717" width="3.85546875" style="59" bestFit="1" customWidth="1"/>
    <col min="7718" max="7718" width="7.28515625" style="59" bestFit="1" customWidth="1"/>
    <col min="7719" max="7721" width="9.140625" style="59"/>
    <col min="7722" max="7722" width="9.28515625" style="59" customWidth="1"/>
    <col min="7723" max="7723" width="9.28515625" style="59" bestFit="1" customWidth="1"/>
    <col min="7724" max="7936" width="9.140625" style="59"/>
    <col min="7937" max="7937" width="7.85546875" style="59" customWidth="1"/>
    <col min="7938" max="7938" width="12.140625" style="59" customWidth="1"/>
    <col min="7939" max="7939" width="6.28515625" style="59" customWidth="1"/>
    <col min="7940" max="7940" width="11.5703125" style="59" customWidth="1"/>
    <col min="7941" max="7941" width="7.85546875" style="59" customWidth="1"/>
    <col min="7942" max="7942" width="12.28515625" style="59" customWidth="1"/>
    <col min="7943" max="7943" width="5.28515625" style="59" customWidth="1"/>
    <col min="7944" max="7944" width="12.140625" style="59" bestFit="1" customWidth="1"/>
    <col min="7945" max="7945" width="5.7109375" style="59" customWidth="1"/>
    <col min="7946" max="7946" width="11.85546875" style="59" bestFit="1" customWidth="1"/>
    <col min="7947" max="7947" width="8" style="59" customWidth="1"/>
    <col min="7948" max="7948" width="12.5703125" style="59" customWidth="1"/>
    <col min="7949" max="7949" width="9" style="59" customWidth="1"/>
    <col min="7950" max="7950" width="11.7109375" style="59" bestFit="1" customWidth="1"/>
    <col min="7951" max="7951" width="9.42578125" style="59" customWidth="1"/>
    <col min="7952" max="7952" width="4.140625" style="59" customWidth="1"/>
    <col min="7953" max="7953" width="3.28515625" style="59" bestFit="1" customWidth="1"/>
    <col min="7954" max="7954" width="8.85546875" style="59" customWidth="1"/>
    <col min="7955" max="7955" width="10" style="59" bestFit="1" customWidth="1"/>
    <col min="7956" max="7957" width="9.42578125" style="59" customWidth="1"/>
    <col min="7958" max="7958" width="9.5703125" style="59" customWidth="1"/>
    <col min="7959" max="7959" width="9.85546875" style="59" customWidth="1"/>
    <col min="7960" max="7961" width="9.42578125" style="59" customWidth="1"/>
    <col min="7962" max="7962" width="9.85546875" style="59" customWidth="1"/>
    <col min="7963" max="7964" width="9.28515625" style="59" customWidth="1"/>
    <col min="7965" max="7965" width="9.85546875" style="59" customWidth="1"/>
    <col min="7966" max="7966" width="9.28515625" style="59" customWidth="1"/>
    <col min="7967" max="7967" width="10.42578125" style="59" customWidth="1"/>
    <col min="7968" max="7968" width="5.28515625" style="59" bestFit="1" customWidth="1"/>
    <col min="7969" max="7969" width="9.7109375" style="59" bestFit="1" customWidth="1"/>
    <col min="7970" max="7970" width="11" style="59" bestFit="1" customWidth="1"/>
    <col min="7971" max="7971" width="10.85546875" style="59" bestFit="1" customWidth="1"/>
    <col min="7972" max="7972" width="9.140625" style="59"/>
    <col min="7973" max="7973" width="3.85546875" style="59" bestFit="1" customWidth="1"/>
    <col min="7974" max="7974" width="7.28515625" style="59" bestFit="1" customWidth="1"/>
    <col min="7975" max="7977" width="9.140625" style="59"/>
    <col min="7978" max="7978" width="9.28515625" style="59" customWidth="1"/>
    <col min="7979" max="7979" width="9.28515625" style="59" bestFit="1" customWidth="1"/>
    <col min="7980" max="8192" width="9.140625" style="59"/>
    <col min="8193" max="8193" width="7.85546875" style="59" customWidth="1"/>
    <col min="8194" max="8194" width="12.140625" style="59" customWidth="1"/>
    <col min="8195" max="8195" width="6.28515625" style="59" customWidth="1"/>
    <col min="8196" max="8196" width="11.5703125" style="59" customWidth="1"/>
    <col min="8197" max="8197" width="7.85546875" style="59" customWidth="1"/>
    <col min="8198" max="8198" width="12.28515625" style="59" customWidth="1"/>
    <col min="8199" max="8199" width="5.28515625" style="59" customWidth="1"/>
    <col min="8200" max="8200" width="12.140625" style="59" bestFit="1" customWidth="1"/>
    <col min="8201" max="8201" width="5.7109375" style="59" customWidth="1"/>
    <col min="8202" max="8202" width="11.85546875" style="59" bestFit="1" customWidth="1"/>
    <col min="8203" max="8203" width="8" style="59" customWidth="1"/>
    <col min="8204" max="8204" width="12.5703125" style="59" customWidth="1"/>
    <col min="8205" max="8205" width="9" style="59" customWidth="1"/>
    <col min="8206" max="8206" width="11.7109375" style="59" bestFit="1" customWidth="1"/>
    <col min="8207" max="8207" width="9.42578125" style="59" customWidth="1"/>
    <col min="8208" max="8208" width="4.140625" style="59" customWidth="1"/>
    <col min="8209" max="8209" width="3.28515625" style="59" bestFit="1" customWidth="1"/>
    <col min="8210" max="8210" width="8.85546875" style="59" customWidth="1"/>
    <col min="8211" max="8211" width="10" style="59" bestFit="1" customWidth="1"/>
    <col min="8212" max="8213" width="9.42578125" style="59" customWidth="1"/>
    <col min="8214" max="8214" width="9.5703125" style="59" customWidth="1"/>
    <col min="8215" max="8215" width="9.85546875" style="59" customWidth="1"/>
    <col min="8216" max="8217" width="9.42578125" style="59" customWidth="1"/>
    <col min="8218" max="8218" width="9.85546875" style="59" customWidth="1"/>
    <col min="8219" max="8220" width="9.28515625" style="59" customWidth="1"/>
    <col min="8221" max="8221" width="9.85546875" style="59" customWidth="1"/>
    <col min="8222" max="8222" width="9.28515625" style="59" customWidth="1"/>
    <col min="8223" max="8223" width="10.42578125" style="59" customWidth="1"/>
    <col min="8224" max="8224" width="5.28515625" style="59" bestFit="1" customWidth="1"/>
    <col min="8225" max="8225" width="9.7109375" style="59" bestFit="1" customWidth="1"/>
    <col min="8226" max="8226" width="11" style="59" bestFit="1" customWidth="1"/>
    <col min="8227" max="8227" width="10.85546875" style="59" bestFit="1" customWidth="1"/>
    <col min="8228" max="8228" width="9.140625" style="59"/>
    <col min="8229" max="8229" width="3.85546875" style="59" bestFit="1" customWidth="1"/>
    <col min="8230" max="8230" width="7.28515625" style="59" bestFit="1" customWidth="1"/>
    <col min="8231" max="8233" width="9.140625" style="59"/>
    <col min="8234" max="8234" width="9.28515625" style="59" customWidth="1"/>
    <col min="8235" max="8235" width="9.28515625" style="59" bestFit="1" customWidth="1"/>
    <col min="8236" max="8448" width="9.140625" style="59"/>
    <col min="8449" max="8449" width="7.85546875" style="59" customWidth="1"/>
    <col min="8450" max="8450" width="12.140625" style="59" customWidth="1"/>
    <col min="8451" max="8451" width="6.28515625" style="59" customWidth="1"/>
    <col min="8452" max="8452" width="11.5703125" style="59" customWidth="1"/>
    <col min="8453" max="8453" width="7.85546875" style="59" customWidth="1"/>
    <col min="8454" max="8454" width="12.28515625" style="59" customWidth="1"/>
    <col min="8455" max="8455" width="5.28515625" style="59" customWidth="1"/>
    <col min="8456" max="8456" width="12.140625" style="59" bestFit="1" customWidth="1"/>
    <col min="8457" max="8457" width="5.7109375" style="59" customWidth="1"/>
    <col min="8458" max="8458" width="11.85546875" style="59" bestFit="1" customWidth="1"/>
    <col min="8459" max="8459" width="8" style="59" customWidth="1"/>
    <col min="8460" max="8460" width="12.5703125" style="59" customWidth="1"/>
    <col min="8461" max="8461" width="9" style="59" customWidth="1"/>
    <col min="8462" max="8462" width="11.7109375" style="59" bestFit="1" customWidth="1"/>
    <col min="8463" max="8463" width="9.42578125" style="59" customWidth="1"/>
    <col min="8464" max="8464" width="4.140625" style="59" customWidth="1"/>
    <col min="8465" max="8465" width="3.28515625" style="59" bestFit="1" customWidth="1"/>
    <col min="8466" max="8466" width="8.85546875" style="59" customWidth="1"/>
    <col min="8467" max="8467" width="10" style="59" bestFit="1" customWidth="1"/>
    <col min="8468" max="8469" width="9.42578125" style="59" customWidth="1"/>
    <col min="8470" max="8470" width="9.5703125" style="59" customWidth="1"/>
    <col min="8471" max="8471" width="9.85546875" style="59" customWidth="1"/>
    <col min="8472" max="8473" width="9.42578125" style="59" customWidth="1"/>
    <col min="8474" max="8474" width="9.85546875" style="59" customWidth="1"/>
    <col min="8475" max="8476" width="9.28515625" style="59" customWidth="1"/>
    <col min="8477" max="8477" width="9.85546875" style="59" customWidth="1"/>
    <col min="8478" max="8478" width="9.28515625" style="59" customWidth="1"/>
    <col min="8479" max="8479" width="10.42578125" style="59" customWidth="1"/>
    <col min="8480" max="8480" width="5.28515625" style="59" bestFit="1" customWidth="1"/>
    <col min="8481" max="8481" width="9.7109375" style="59" bestFit="1" customWidth="1"/>
    <col min="8482" max="8482" width="11" style="59" bestFit="1" customWidth="1"/>
    <col min="8483" max="8483" width="10.85546875" style="59" bestFit="1" customWidth="1"/>
    <col min="8484" max="8484" width="9.140625" style="59"/>
    <col min="8485" max="8485" width="3.85546875" style="59" bestFit="1" customWidth="1"/>
    <col min="8486" max="8486" width="7.28515625" style="59" bestFit="1" customWidth="1"/>
    <col min="8487" max="8489" width="9.140625" style="59"/>
    <col min="8490" max="8490" width="9.28515625" style="59" customWidth="1"/>
    <col min="8491" max="8491" width="9.28515625" style="59" bestFit="1" customWidth="1"/>
    <col min="8492" max="8704" width="9.140625" style="59"/>
    <col min="8705" max="8705" width="7.85546875" style="59" customWidth="1"/>
    <col min="8706" max="8706" width="12.140625" style="59" customWidth="1"/>
    <col min="8707" max="8707" width="6.28515625" style="59" customWidth="1"/>
    <col min="8708" max="8708" width="11.5703125" style="59" customWidth="1"/>
    <col min="8709" max="8709" width="7.85546875" style="59" customWidth="1"/>
    <col min="8710" max="8710" width="12.28515625" style="59" customWidth="1"/>
    <col min="8711" max="8711" width="5.28515625" style="59" customWidth="1"/>
    <col min="8712" max="8712" width="12.140625" style="59" bestFit="1" customWidth="1"/>
    <col min="8713" max="8713" width="5.7109375" style="59" customWidth="1"/>
    <col min="8714" max="8714" width="11.85546875" style="59" bestFit="1" customWidth="1"/>
    <col min="8715" max="8715" width="8" style="59" customWidth="1"/>
    <col min="8716" max="8716" width="12.5703125" style="59" customWidth="1"/>
    <col min="8717" max="8717" width="9" style="59" customWidth="1"/>
    <col min="8718" max="8718" width="11.7109375" style="59" bestFit="1" customWidth="1"/>
    <col min="8719" max="8719" width="9.42578125" style="59" customWidth="1"/>
    <col min="8720" max="8720" width="4.140625" style="59" customWidth="1"/>
    <col min="8721" max="8721" width="3.28515625" style="59" bestFit="1" customWidth="1"/>
    <col min="8722" max="8722" width="8.85546875" style="59" customWidth="1"/>
    <col min="8723" max="8723" width="10" style="59" bestFit="1" customWidth="1"/>
    <col min="8724" max="8725" width="9.42578125" style="59" customWidth="1"/>
    <col min="8726" max="8726" width="9.5703125" style="59" customWidth="1"/>
    <col min="8727" max="8727" width="9.85546875" style="59" customWidth="1"/>
    <col min="8728" max="8729" width="9.42578125" style="59" customWidth="1"/>
    <col min="8730" max="8730" width="9.85546875" style="59" customWidth="1"/>
    <col min="8731" max="8732" width="9.28515625" style="59" customWidth="1"/>
    <col min="8733" max="8733" width="9.85546875" style="59" customWidth="1"/>
    <col min="8734" max="8734" width="9.28515625" style="59" customWidth="1"/>
    <col min="8735" max="8735" width="10.42578125" style="59" customWidth="1"/>
    <col min="8736" max="8736" width="5.28515625" style="59" bestFit="1" customWidth="1"/>
    <col min="8737" max="8737" width="9.7109375" style="59" bestFit="1" customWidth="1"/>
    <col min="8738" max="8738" width="11" style="59" bestFit="1" customWidth="1"/>
    <col min="8739" max="8739" width="10.85546875" style="59" bestFit="1" customWidth="1"/>
    <col min="8740" max="8740" width="9.140625" style="59"/>
    <col min="8741" max="8741" width="3.85546875" style="59" bestFit="1" customWidth="1"/>
    <col min="8742" max="8742" width="7.28515625" style="59" bestFit="1" customWidth="1"/>
    <col min="8743" max="8745" width="9.140625" style="59"/>
    <col min="8746" max="8746" width="9.28515625" style="59" customWidth="1"/>
    <col min="8747" max="8747" width="9.28515625" style="59" bestFit="1" customWidth="1"/>
    <col min="8748" max="8960" width="9.140625" style="59"/>
    <col min="8961" max="8961" width="7.85546875" style="59" customWidth="1"/>
    <col min="8962" max="8962" width="12.140625" style="59" customWidth="1"/>
    <col min="8963" max="8963" width="6.28515625" style="59" customWidth="1"/>
    <col min="8964" max="8964" width="11.5703125" style="59" customWidth="1"/>
    <col min="8965" max="8965" width="7.85546875" style="59" customWidth="1"/>
    <col min="8966" max="8966" width="12.28515625" style="59" customWidth="1"/>
    <col min="8967" max="8967" width="5.28515625" style="59" customWidth="1"/>
    <col min="8968" max="8968" width="12.140625" style="59" bestFit="1" customWidth="1"/>
    <col min="8969" max="8969" width="5.7109375" style="59" customWidth="1"/>
    <col min="8970" max="8970" width="11.85546875" style="59" bestFit="1" customWidth="1"/>
    <col min="8971" max="8971" width="8" style="59" customWidth="1"/>
    <col min="8972" max="8972" width="12.5703125" style="59" customWidth="1"/>
    <col min="8973" max="8973" width="9" style="59" customWidth="1"/>
    <col min="8974" max="8974" width="11.7109375" style="59" bestFit="1" customWidth="1"/>
    <col min="8975" max="8975" width="9.42578125" style="59" customWidth="1"/>
    <col min="8976" max="8976" width="4.140625" style="59" customWidth="1"/>
    <col min="8977" max="8977" width="3.28515625" style="59" bestFit="1" customWidth="1"/>
    <col min="8978" max="8978" width="8.85546875" style="59" customWidth="1"/>
    <col min="8979" max="8979" width="10" style="59" bestFit="1" customWidth="1"/>
    <col min="8980" max="8981" width="9.42578125" style="59" customWidth="1"/>
    <col min="8982" max="8982" width="9.5703125" style="59" customWidth="1"/>
    <col min="8983" max="8983" width="9.85546875" style="59" customWidth="1"/>
    <col min="8984" max="8985" width="9.42578125" style="59" customWidth="1"/>
    <col min="8986" max="8986" width="9.85546875" style="59" customWidth="1"/>
    <col min="8987" max="8988" width="9.28515625" style="59" customWidth="1"/>
    <col min="8989" max="8989" width="9.85546875" style="59" customWidth="1"/>
    <col min="8990" max="8990" width="9.28515625" style="59" customWidth="1"/>
    <col min="8991" max="8991" width="10.42578125" style="59" customWidth="1"/>
    <col min="8992" max="8992" width="5.28515625" style="59" bestFit="1" customWidth="1"/>
    <col min="8993" max="8993" width="9.7109375" style="59" bestFit="1" customWidth="1"/>
    <col min="8994" max="8994" width="11" style="59" bestFit="1" customWidth="1"/>
    <col min="8995" max="8995" width="10.85546875" style="59" bestFit="1" customWidth="1"/>
    <col min="8996" max="8996" width="9.140625" style="59"/>
    <col min="8997" max="8997" width="3.85546875" style="59" bestFit="1" customWidth="1"/>
    <col min="8998" max="8998" width="7.28515625" style="59" bestFit="1" customWidth="1"/>
    <col min="8999" max="9001" width="9.140625" style="59"/>
    <col min="9002" max="9002" width="9.28515625" style="59" customWidth="1"/>
    <col min="9003" max="9003" width="9.28515625" style="59" bestFit="1" customWidth="1"/>
    <col min="9004" max="9216" width="9.140625" style="59"/>
    <col min="9217" max="9217" width="7.85546875" style="59" customWidth="1"/>
    <col min="9218" max="9218" width="12.140625" style="59" customWidth="1"/>
    <col min="9219" max="9219" width="6.28515625" style="59" customWidth="1"/>
    <col min="9220" max="9220" width="11.5703125" style="59" customWidth="1"/>
    <col min="9221" max="9221" width="7.85546875" style="59" customWidth="1"/>
    <col min="9222" max="9222" width="12.28515625" style="59" customWidth="1"/>
    <col min="9223" max="9223" width="5.28515625" style="59" customWidth="1"/>
    <col min="9224" max="9224" width="12.140625" style="59" bestFit="1" customWidth="1"/>
    <col min="9225" max="9225" width="5.7109375" style="59" customWidth="1"/>
    <col min="9226" max="9226" width="11.85546875" style="59" bestFit="1" customWidth="1"/>
    <col min="9227" max="9227" width="8" style="59" customWidth="1"/>
    <col min="9228" max="9228" width="12.5703125" style="59" customWidth="1"/>
    <col min="9229" max="9229" width="9" style="59" customWidth="1"/>
    <col min="9230" max="9230" width="11.7109375" style="59" bestFit="1" customWidth="1"/>
    <col min="9231" max="9231" width="9.42578125" style="59" customWidth="1"/>
    <col min="9232" max="9232" width="4.140625" style="59" customWidth="1"/>
    <col min="9233" max="9233" width="3.28515625" style="59" bestFit="1" customWidth="1"/>
    <col min="9234" max="9234" width="8.85546875" style="59" customWidth="1"/>
    <col min="9235" max="9235" width="10" style="59" bestFit="1" customWidth="1"/>
    <col min="9236" max="9237" width="9.42578125" style="59" customWidth="1"/>
    <col min="9238" max="9238" width="9.5703125" style="59" customWidth="1"/>
    <col min="9239" max="9239" width="9.85546875" style="59" customWidth="1"/>
    <col min="9240" max="9241" width="9.42578125" style="59" customWidth="1"/>
    <col min="9242" max="9242" width="9.85546875" style="59" customWidth="1"/>
    <col min="9243" max="9244" width="9.28515625" style="59" customWidth="1"/>
    <col min="9245" max="9245" width="9.85546875" style="59" customWidth="1"/>
    <col min="9246" max="9246" width="9.28515625" style="59" customWidth="1"/>
    <col min="9247" max="9247" width="10.42578125" style="59" customWidth="1"/>
    <col min="9248" max="9248" width="5.28515625" style="59" bestFit="1" customWidth="1"/>
    <col min="9249" max="9249" width="9.7109375" style="59" bestFit="1" customWidth="1"/>
    <col min="9250" max="9250" width="11" style="59" bestFit="1" customWidth="1"/>
    <col min="9251" max="9251" width="10.85546875" style="59" bestFit="1" customWidth="1"/>
    <col min="9252" max="9252" width="9.140625" style="59"/>
    <col min="9253" max="9253" width="3.85546875" style="59" bestFit="1" customWidth="1"/>
    <col min="9254" max="9254" width="7.28515625" style="59" bestFit="1" customWidth="1"/>
    <col min="9255" max="9257" width="9.140625" style="59"/>
    <col min="9258" max="9258" width="9.28515625" style="59" customWidth="1"/>
    <col min="9259" max="9259" width="9.28515625" style="59" bestFit="1" customWidth="1"/>
    <col min="9260" max="9472" width="9.140625" style="59"/>
    <col min="9473" max="9473" width="7.85546875" style="59" customWidth="1"/>
    <col min="9474" max="9474" width="12.140625" style="59" customWidth="1"/>
    <col min="9475" max="9475" width="6.28515625" style="59" customWidth="1"/>
    <col min="9476" max="9476" width="11.5703125" style="59" customWidth="1"/>
    <col min="9477" max="9477" width="7.85546875" style="59" customWidth="1"/>
    <col min="9478" max="9478" width="12.28515625" style="59" customWidth="1"/>
    <col min="9479" max="9479" width="5.28515625" style="59" customWidth="1"/>
    <col min="9480" max="9480" width="12.140625" style="59" bestFit="1" customWidth="1"/>
    <col min="9481" max="9481" width="5.7109375" style="59" customWidth="1"/>
    <col min="9482" max="9482" width="11.85546875" style="59" bestFit="1" customWidth="1"/>
    <col min="9483" max="9483" width="8" style="59" customWidth="1"/>
    <col min="9484" max="9484" width="12.5703125" style="59" customWidth="1"/>
    <col min="9485" max="9485" width="9" style="59" customWidth="1"/>
    <col min="9486" max="9486" width="11.7109375" style="59" bestFit="1" customWidth="1"/>
    <col min="9487" max="9487" width="9.42578125" style="59" customWidth="1"/>
    <col min="9488" max="9488" width="4.140625" style="59" customWidth="1"/>
    <col min="9489" max="9489" width="3.28515625" style="59" bestFit="1" customWidth="1"/>
    <col min="9490" max="9490" width="8.85546875" style="59" customWidth="1"/>
    <col min="9491" max="9491" width="10" style="59" bestFit="1" customWidth="1"/>
    <col min="9492" max="9493" width="9.42578125" style="59" customWidth="1"/>
    <col min="9494" max="9494" width="9.5703125" style="59" customWidth="1"/>
    <col min="9495" max="9495" width="9.85546875" style="59" customWidth="1"/>
    <col min="9496" max="9497" width="9.42578125" style="59" customWidth="1"/>
    <col min="9498" max="9498" width="9.85546875" style="59" customWidth="1"/>
    <col min="9499" max="9500" width="9.28515625" style="59" customWidth="1"/>
    <col min="9501" max="9501" width="9.85546875" style="59" customWidth="1"/>
    <col min="9502" max="9502" width="9.28515625" style="59" customWidth="1"/>
    <col min="9503" max="9503" width="10.42578125" style="59" customWidth="1"/>
    <col min="9504" max="9504" width="5.28515625" style="59" bestFit="1" customWidth="1"/>
    <col min="9505" max="9505" width="9.7109375" style="59" bestFit="1" customWidth="1"/>
    <col min="9506" max="9506" width="11" style="59" bestFit="1" customWidth="1"/>
    <col min="9507" max="9507" width="10.85546875" style="59" bestFit="1" customWidth="1"/>
    <col min="9508" max="9508" width="9.140625" style="59"/>
    <col min="9509" max="9509" width="3.85546875" style="59" bestFit="1" customWidth="1"/>
    <col min="9510" max="9510" width="7.28515625" style="59" bestFit="1" customWidth="1"/>
    <col min="9511" max="9513" width="9.140625" style="59"/>
    <col min="9514" max="9514" width="9.28515625" style="59" customWidth="1"/>
    <col min="9515" max="9515" width="9.28515625" style="59" bestFit="1" customWidth="1"/>
    <col min="9516" max="9728" width="9.140625" style="59"/>
    <col min="9729" max="9729" width="7.85546875" style="59" customWidth="1"/>
    <col min="9730" max="9730" width="12.140625" style="59" customWidth="1"/>
    <col min="9731" max="9731" width="6.28515625" style="59" customWidth="1"/>
    <col min="9732" max="9732" width="11.5703125" style="59" customWidth="1"/>
    <col min="9733" max="9733" width="7.85546875" style="59" customWidth="1"/>
    <col min="9734" max="9734" width="12.28515625" style="59" customWidth="1"/>
    <col min="9735" max="9735" width="5.28515625" style="59" customWidth="1"/>
    <col min="9736" max="9736" width="12.140625" style="59" bestFit="1" customWidth="1"/>
    <col min="9737" max="9737" width="5.7109375" style="59" customWidth="1"/>
    <col min="9738" max="9738" width="11.85546875" style="59" bestFit="1" customWidth="1"/>
    <col min="9739" max="9739" width="8" style="59" customWidth="1"/>
    <col min="9740" max="9740" width="12.5703125" style="59" customWidth="1"/>
    <col min="9741" max="9741" width="9" style="59" customWidth="1"/>
    <col min="9742" max="9742" width="11.7109375" style="59" bestFit="1" customWidth="1"/>
    <col min="9743" max="9743" width="9.42578125" style="59" customWidth="1"/>
    <col min="9744" max="9744" width="4.140625" style="59" customWidth="1"/>
    <col min="9745" max="9745" width="3.28515625" style="59" bestFit="1" customWidth="1"/>
    <col min="9746" max="9746" width="8.85546875" style="59" customWidth="1"/>
    <col min="9747" max="9747" width="10" style="59" bestFit="1" customWidth="1"/>
    <col min="9748" max="9749" width="9.42578125" style="59" customWidth="1"/>
    <col min="9750" max="9750" width="9.5703125" style="59" customWidth="1"/>
    <col min="9751" max="9751" width="9.85546875" style="59" customWidth="1"/>
    <col min="9752" max="9753" width="9.42578125" style="59" customWidth="1"/>
    <col min="9754" max="9754" width="9.85546875" style="59" customWidth="1"/>
    <col min="9755" max="9756" width="9.28515625" style="59" customWidth="1"/>
    <col min="9757" max="9757" width="9.85546875" style="59" customWidth="1"/>
    <col min="9758" max="9758" width="9.28515625" style="59" customWidth="1"/>
    <col min="9759" max="9759" width="10.42578125" style="59" customWidth="1"/>
    <col min="9760" max="9760" width="5.28515625" style="59" bestFit="1" customWidth="1"/>
    <col min="9761" max="9761" width="9.7109375" style="59" bestFit="1" customWidth="1"/>
    <col min="9762" max="9762" width="11" style="59" bestFit="1" customWidth="1"/>
    <col min="9763" max="9763" width="10.85546875" style="59" bestFit="1" customWidth="1"/>
    <col min="9764" max="9764" width="9.140625" style="59"/>
    <col min="9765" max="9765" width="3.85546875" style="59" bestFit="1" customWidth="1"/>
    <col min="9766" max="9766" width="7.28515625" style="59" bestFit="1" customWidth="1"/>
    <col min="9767" max="9769" width="9.140625" style="59"/>
    <col min="9770" max="9770" width="9.28515625" style="59" customWidth="1"/>
    <col min="9771" max="9771" width="9.28515625" style="59" bestFit="1" customWidth="1"/>
    <col min="9772" max="9984" width="9.140625" style="59"/>
    <col min="9985" max="9985" width="7.85546875" style="59" customWidth="1"/>
    <col min="9986" max="9986" width="12.140625" style="59" customWidth="1"/>
    <col min="9987" max="9987" width="6.28515625" style="59" customWidth="1"/>
    <col min="9988" max="9988" width="11.5703125" style="59" customWidth="1"/>
    <col min="9989" max="9989" width="7.85546875" style="59" customWidth="1"/>
    <col min="9990" max="9990" width="12.28515625" style="59" customWidth="1"/>
    <col min="9991" max="9991" width="5.28515625" style="59" customWidth="1"/>
    <col min="9992" max="9992" width="12.140625" style="59" bestFit="1" customWidth="1"/>
    <col min="9993" max="9993" width="5.7109375" style="59" customWidth="1"/>
    <col min="9994" max="9994" width="11.85546875" style="59" bestFit="1" customWidth="1"/>
    <col min="9995" max="9995" width="8" style="59" customWidth="1"/>
    <col min="9996" max="9996" width="12.5703125" style="59" customWidth="1"/>
    <col min="9997" max="9997" width="9" style="59" customWidth="1"/>
    <col min="9998" max="9998" width="11.7109375" style="59" bestFit="1" customWidth="1"/>
    <col min="9999" max="9999" width="9.42578125" style="59" customWidth="1"/>
    <col min="10000" max="10000" width="4.140625" style="59" customWidth="1"/>
    <col min="10001" max="10001" width="3.28515625" style="59" bestFit="1" customWidth="1"/>
    <col min="10002" max="10002" width="8.85546875" style="59" customWidth="1"/>
    <col min="10003" max="10003" width="10" style="59" bestFit="1" customWidth="1"/>
    <col min="10004" max="10005" width="9.42578125" style="59" customWidth="1"/>
    <col min="10006" max="10006" width="9.5703125" style="59" customWidth="1"/>
    <col min="10007" max="10007" width="9.85546875" style="59" customWidth="1"/>
    <col min="10008" max="10009" width="9.42578125" style="59" customWidth="1"/>
    <col min="10010" max="10010" width="9.85546875" style="59" customWidth="1"/>
    <col min="10011" max="10012" width="9.28515625" style="59" customWidth="1"/>
    <col min="10013" max="10013" width="9.85546875" style="59" customWidth="1"/>
    <col min="10014" max="10014" width="9.28515625" style="59" customWidth="1"/>
    <col min="10015" max="10015" width="10.42578125" style="59" customWidth="1"/>
    <col min="10016" max="10016" width="5.28515625" style="59" bestFit="1" customWidth="1"/>
    <col min="10017" max="10017" width="9.7109375" style="59" bestFit="1" customWidth="1"/>
    <col min="10018" max="10018" width="11" style="59" bestFit="1" customWidth="1"/>
    <col min="10019" max="10019" width="10.85546875" style="59" bestFit="1" customWidth="1"/>
    <col min="10020" max="10020" width="9.140625" style="59"/>
    <col min="10021" max="10021" width="3.85546875" style="59" bestFit="1" customWidth="1"/>
    <col min="10022" max="10022" width="7.28515625" style="59" bestFit="1" customWidth="1"/>
    <col min="10023" max="10025" width="9.140625" style="59"/>
    <col min="10026" max="10026" width="9.28515625" style="59" customWidth="1"/>
    <col min="10027" max="10027" width="9.28515625" style="59" bestFit="1" customWidth="1"/>
    <col min="10028" max="10240" width="9.140625" style="59"/>
    <col min="10241" max="10241" width="7.85546875" style="59" customWidth="1"/>
    <col min="10242" max="10242" width="12.140625" style="59" customWidth="1"/>
    <col min="10243" max="10243" width="6.28515625" style="59" customWidth="1"/>
    <col min="10244" max="10244" width="11.5703125" style="59" customWidth="1"/>
    <col min="10245" max="10245" width="7.85546875" style="59" customWidth="1"/>
    <col min="10246" max="10246" width="12.28515625" style="59" customWidth="1"/>
    <col min="10247" max="10247" width="5.28515625" style="59" customWidth="1"/>
    <col min="10248" max="10248" width="12.140625" style="59" bestFit="1" customWidth="1"/>
    <col min="10249" max="10249" width="5.7109375" style="59" customWidth="1"/>
    <col min="10250" max="10250" width="11.85546875" style="59" bestFit="1" customWidth="1"/>
    <col min="10251" max="10251" width="8" style="59" customWidth="1"/>
    <col min="10252" max="10252" width="12.5703125" style="59" customWidth="1"/>
    <col min="10253" max="10253" width="9" style="59" customWidth="1"/>
    <col min="10254" max="10254" width="11.7109375" style="59" bestFit="1" customWidth="1"/>
    <col min="10255" max="10255" width="9.42578125" style="59" customWidth="1"/>
    <col min="10256" max="10256" width="4.140625" style="59" customWidth="1"/>
    <col min="10257" max="10257" width="3.28515625" style="59" bestFit="1" customWidth="1"/>
    <col min="10258" max="10258" width="8.85546875" style="59" customWidth="1"/>
    <col min="10259" max="10259" width="10" style="59" bestFit="1" customWidth="1"/>
    <col min="10260" max="10261" width="9.42578125" style="59" customWidth="1"/>
    <col min="10262" max="10262" width="9.5703125" style="59" customWidth="1"/>
    <col min="10263" max="10263" width="9.85546875" style="59" customWidth="1"/>
    <col min="10264" max="10265" width="9.42578125" style="59" customWidth="1"/>
    <col min="10266" max="10266" width="9.85546875" style="59" customWidth="1"/>
    <col min="10267" max="10268" width="9.28515625" style="59" customWidth="1"/>
    <col min="10269" max="10269" width="9.85546875" style="59" customWidth="1"/>
    <col min="10270" max="10270" width="9.28515625" style="59" customWidth="1"/>
    <col min="10271" max="10271" width="10.42578125" style="59" customWidth="1"/>
    <col min="10272" max="10272" width="5.28515625" style="59" bestFit="1" customWidth="1"/>
    <col min="10273" max="10273" width="9.7109375" style="59" bestFit="1" customWidth="1"/>
    <col min="10274" max="10274" width="11" style="59" bestFit="1" customWidth="1"/>
    <col min="10275" max="10275" width="10.85546875" style="59" bestFit="1" customWidth="1"/>
    <col min="10276" max="10276" width="9.140625" style="59"/>
    <col min="10277" max="10277" width="3.85546875" style="59" bestFit="1" customWidth="1"/>
    <col min="10278" max="10278" width="7.28515625" style="59" bestFit="1" customWidth="1"/>
    <col min="10279" max="10281" width="9.140625" style="59"/>
    <col min="10282" max="10282" width="9.28515625" style="59" customWidth="1"/>
    <col min="10283" max="10283" width="9.28515625" style="59" bestFit="1" customWidth="1"/>
    <col min="10284" max="10496" width="9.140625" style="59"/>
    <col min="10497" max="10497" width="7.85546875" style="59" customWidth="1"/>
    <col min="10498" max="10498" width="12.140625" style="59" customWidth="1"/>
    <col min="10499" max="10499" width="6.28515625" style="59" customWidth="1"/>
    <col min="10500" max="10500" width="11.5703125" style="59" customWidth="1"/>
    <col min="10501" max="10501" width="7.85546875" style="59" customWidth="1"/>
    <col min="10502" max="10502" width="12.28515625" style="59" customWidth="1"/>
    <col min="10503" max="10503" width="5.28515625" style="59" customWidth="1"/>
    <col min="10504" max="10504" width="12.140625" style="59" bestFit="1" customWidth="1"/>
    <col min="10505" max="10505" width="5.7109375" style="59" customWidth="1"/>
    <col min="10506" max="10506" width="11.85546875" style="59" bestFit="1" customWidth="1"/>
    <col min="10507" max="10507" width="8" style="59" customWidth="1"/>
    <col min="10508" max="10508" width="12.5703125" style="59" customWidth="1"/>
    <col min="10509" max="10509" width="9" style="59" customWidth="1"/>
    <col min="10510" max="10510" width="11.7109375" style="59" bestFit="1" customWidth="1"/>
    <col min="10511" max="10511" width="9.42578125" style="59" customWidth="1"/>
    <col min="10512" max="10512" width="4.140625" style="59" customWidth="1"/>
    <col min="10513" max="10513" width="3.28515625" style="59" bestFit="1" customWidth="1"/>
    <col min="10514" max="10514" width="8.85546875" style="59" customWidth="1"/>
    <col min="10515" max="10515" width="10" style="59" bestFit="1" customWidth="1"/>
    <col min="10516" max="10517" width="9.42578125" style="59" customWidth="1"/>
    <col min="10518" max="10518" width="9.5703125" style="59" customWidth="1"/>
    <col min="10519" max="10519" width="9.85546875" style="59" customWidth="1"/>
    <col min="10520" max="10521" width="9.42578125" style="59" customWidth="1"/>
    <col min="10522" max="10522" width="9.85546875" style="59" customWidth="1"/>
    <col min="10523" max="10524" width="9.28515625" style="59" customWidth="1"/>
    <col min="10525" max="10525" width="9.85546875" style="59" customWidth="1"/>
    <col min="10526" max="10526" width="9.28515625" style="59" customWidth="1"/>
    <col min="10527" max="10527" width="10.42578125" style="59" customWidth="1"/>
    <col min="10528" max="10528" width="5.28515625" style="59" bestFit="1" customWidth="1"/>
    <col min="10529" max="10529" width="9.7109375" style="59" bestFit="1" customWidth="1"/>
    <col min="10530" max="10530" width="11" style="59" bestFit="1" customWidth="1"/>
    <col min="10531" max="10531" width="10.85546875" style="59" bestFit="1" customWidth="1"/>
    <col min="10532" max="10532" width="9.140625" style="59"/>
    <col min="10533" max="10533" width="3.85546875" style="59" bestFit="1" customWidth="1"/>
    <col min="10534" max="10534" width="7.28515625" style="59" bestFit="1" customWidth="1"/>
    <col min="10535" max="10537" width="9.140625" style="59"/>
    <col min="10538" max="10538" width="9.28515625" style="59" customWidth="1"/>
    <col min="10539" max="10539" width="9.28515625" style="59" bestFit="1" customWidth="1"/>
    <col min="10540" max="10752" width="9.140625" style="59"/>
    <col min="10753" max="10753" width="7.85546875" style="59" customWidth="1"/>
    <col min="10754" max="10754" width="12.140625" style="59" customWidth="1"/>
    <col min="10755" max="10755" width="6.28515625" style="59" customWidth="1"/>
    <col min="10756" max="10756" width="11.5703125" style="59" customWidth="1"/>
    <col min="10757" max="10757" width="7.85546875" style="59" customWidth="1"/>
    <col min="10758" max="10758" width="12.28515625" style="59" customWidth="1"/>
    <col min="10759" max="10759" width="5.28515625" style="59" customWidth="1"/>
    <col min="10760" max="10760" width="12.140625" style="59" bestFit="1" customWidth="1"/>
    <col min="10761" max="10761" width="5.7109375" style="59" customWidth="1"/>
    <col min="10762" max="10762" width="11.85546875" style="59" bestFit="1" customWidth="1"/>
    <col min="10763" max="10763" width="8" style="59" customWidth="1"/>
    <col min="10764" max="10764" width="12.5703125" style="59" customWidth="1"/>
    <col min="10765" max="10765" width="9" style="59" customWidth="1"/>
    <col min="10766" max="10766" width="11.7109375" style="59" bestFit="1" customWidth="1"/>
    <col min="10767" max="10767" width="9.42578125" style="59" customWidth="1"/>
    <col min="10768" max="10768" width="4.140625" style="59" customWidth="1"/>
    <col min="10769" max="10769" width="3.28515625" style="59" bestFit="1" customWidth="1"/>
    <col min="10770" max="10770" width="8.85546875" style="59" customWidth="1"/>
    <col min="10771" max="10771" width="10" style="59" bestFit="1" customWidth="1"/>
    <col min="10772" max="10773" width="9.42578125" style="59" customWidth="1"/>
    <col min="10774" max="10774" width="9.5703125" style="59" customWidth="1"/>
    <col min="10775" max="10775" width="9.85546875" style="59" customWidth="1"/>
    <col min="10776" max="10777" width="9.42578125" style="59" customWidth="1"/>
    <col min="10778" max="10778" width="9.85546875" style="59" customWidth="1"/>
    <col min="10779" max="10780" width="9.28515625" style="59" customWidth="1"/>
    <col min="10781" max="10781" width="9.85546875" style="59" customWidth="1"/>
    <col min="10782" max="10782" width="9.28515625" style="59" customWidth="1"/>
    <col min="10783" max="10783" width="10.42578125" style="59" customWidth="1"/>
    <col min="10784" max="10784" width="5.28515625" style="59" bestFit="1" customWidth="1"/>
    <col min="10785" max="10785" width="9.7109375" style="59" bestFit="1" customWidth="1"/>
    <col min="10786" max="10786" width="11" style="59" bestFit="1" customWidth="1"/>
    <col min="10787" max="10787" width="10.85546875" style="59" bestFit="1" customWidth="1"/>
    <col min="10788" max="10788" width="9.140625" style="59"/>
    <col min="10789" max="10789" width="3.85546875" style="59" bestFit="1" customWidth="1"/>
    <col min="10790" max="10790" width="7.28515625" style="59" bestFit="1" customWidth="1"/>
    <col min="10791" max="10793" width="9.140625" style="59"/>
    <col min="10794" max="10794" width="9.28515625" style="59" customWidth="1"/>
    <col min="10795" max="10795" width="9.28515625" style="59" bestFit="1" customWidth="1"/>
    <col min="10796" max="11008" width="9.140625" style="59"/>
    <col min="11009" max="11009" width="7.85546875" style="59" customWidth="1"/>
    <col min="11010" max="11010" width="12.140625" style="59" customWidth="1"/>
    <col min="11011" max="11011" width="6.28515625" style="59" customWidth="1"/>
    <col min="11012" max="11012" width="11.5703125" style="59" customWidth="1"/>
    <col min="11013" max="11013" width="7.85546875" style="59" customWidth="1"/>
    <col min="11014" max="11014" width="12.28515625" style="59" customWidth="1"/>
    <col min="11015" max="11015" width="5.28515625" style="59" customWidth="1"/>
    <col min="11016" max="11016" width="12.140625" style="59" bestFit="1" customWidth="1"/>
    <col min="11017" max="11017" width="5.7109375" style="59" customWidth="1"/>
    <col min="11018" max="11018" width="11.85546875" style="59" bestFit="1" customWidth="1"/>
    <col min="11019" max="11019" width="8" style="59" customWidth="1"/>
    <col min="11020" max="11020" width="12.5703125" style="59" customWidth="1"/>
    <col min="11021" max="11021" width="9" style="59" customWidth="1"/>
    <col min="11022" max="11022" width="11.7109375" style="59" bestFit="1" customWidth="1"/>
    <col min="11023" max="11023" width="9.42578125" style="59" customWidth="1"/>
    <col min="11024" max="11024" width="4.140625" style="59" customWidth="1"/>
    <col min="11025" max="11025" width="3.28515625" style="59" bestFit="1" customWidth="1"/>
    <col min="11026" max="11026" width="8.85546875" style="59" customWidth="1"/>
    <col min="11027" max="11027" width="10" style="59" bestFit="1" customWidth="1"/>
    <col min="11028" max="11029" width="9.42578125" style="59" customWidth="1"/>
    <col min="11030" max="11030" width="9.5703125" style="59" customWidth="1"/>
    <col min="11031" max="11031" width="9.85546875" style="59" customWidth="1"/>
    <col min="11032" max="11033" width="9.42578125" style="59" customWidth="1"/>
    <col min="11034" max="11034" width="9.85546875" style="59" customWidth="1"/>
    <col min="11035" max="11036" width="9.28515625" style="59" customWidth="1"/>
    <col min="11037" max="11037" width="9.85546875" style="59" customWidth="1"/>
    <col min="11038" max="11038" width="9.28515625" style="59" customWidth="1"/>
    <col min="11039" max="11039" width="10.42578125" style="59" customWidth="1"/>
    <col min="11040" max="11040" width="5.28515625" style="59" bestFit="1" customWidth="1"/>
    <col min="11041" max="11041" width="9.7109375" style="59" bestFit="1" customWidth="1"/>
    <col min="11042" max="11042" width="11" style="59" bestFit="1" customWidth="1"/>
    <col min="11043" max="11043" width="10.85546875" style="59" bestFit="1" customWidth="1"/>
    <col min="11044" max="11044" width="9.140625" style="59"/>
    <col min="11045" max="11045" width="3.85546875" style="59" bestFit="1" customWidth="1"/>
    <col min="11046" max="11046" width="7.28515625" style="59" bestFit="1" customWidth="1"/>
    <col min="11047" max="11049" width="9.140625" style="59"/>
    <col min="11050" max="11050" width="9.28515625" style="59" customWidth="1"/>
    <col min="11051" max="11051" width="9.28515625" style="59" bestFit="1" customWidth="1"/>
    <col min="11052" max="11264" width="9.140625" style="59"/>
    <col min="11265" max="11265" width="7.85546875" style="59" customWidth="1"/>
    <col min="11266" max="11266" width="12.140625" style="59" customWidth="1"/>
    <col min="11267" max="11267" width="6.28515625" style="59" customWidth="1"/>
    <col min="11268" max="11268" width="11.5703125" style="59" customWidth="1"/>
    <col min="11269" max="11269" width="7.85546875" style="59" customWidth="1"/>
    <col min="11270" max="11270" width="12.28515625" style="59" customWidth="1"/>
    <col min="11271" max="11271" width="5.28515625" style="59" customWidth="1"/>
    <col min="11272" max="11272" width="12.140625" style="59" bestFit="1" customWidth="1"/>
    <col min="11273" max="11273" width="5.7109375" style="59" customWidth="1"/>
    <col min="11274" max="11274" width="11.85546875" style="59" bestFit="1" customWidth="1"/>
    <col min="11275" max="11275" width="8" style="59" customWidth="1"/>
    <col min="11276" max="11276" width="12.5703125" style="59" customWidth="1"/>
    <col min="11277" max="11277" width="9" style="59" customWidth="1"/>
    <col min="11278" max="11278" width="11.7109375" style="59" bestFit="1" customWidth="1"/>
    <col min="11279" max="11279" width="9.42578125" style="59" customWidth="1"/>
    <col min="11280" max="11280" width="4.140625" style="59" customWidth="1"/>
    <col min="11281" max="11281" width="3.28515625" style="59" bestFit="1" customWidth="1"/>
    <col min="11282" max="11282" width="8.85546875" style="59" customWidth="1"/>
    <col min="11283" max="11283" width="10" style="59" bestFit="1" customWidth="1"/>
    <col min="11284" max="11285" width="9.42578125" style="59" customWidth="1"/>
    <col min="11286" max="11286" width="9.5703125" style="59" customWidth="1"/>
    <col min="11287" max="11287" width="9.85546875" style="59" customWidth="1"/>
    <col min="11288" max="11289" width="9.42578125" style="59" customWidth="1"/>
    <col min="11290" max="11290" width="9.85546875" style="59" customWidth="1"/>
    <col min="11291" max="11292" width="9.28515625" style="59" customWidth="1"/>
    <col min="11293" max="11293" width="9.85546875" style="59" customWidth="1"/>
    <col min="11294" max="11294" width="9.28515625" style="59" customWidth="1"/>
    <col min="11295" max="11295" width="10.42578125" style="59" customWidth="1"/>
    <col min="11296" max="11296" width="5.28515625" style="59" bestFit="1" customWidth="1"/>
    <col min="11297" max="11297" width="9.7109375" style="59" bestFit="1" customWidth="1"/>
    <col min="11298" max="11298" width="11" style="59" bestFit="1" customWidth="1"/>
    <col min="11299" max="11299" width="10.85546875" style="59" bestFit="1" customWidth="1"/>
    <col min="11300" max="11300" width="9.140625" style="59"/>
    <col min="11301" max="11301" width="3.85546875" style="59" bestFit="1" customWidth="1"/>
    <col min="11302" max="11302" width="7.28515625" style="59" bestFit="1" customWidth="1"/>
    <col min="11303" max="11305" width="9.140625" style="59"/>
    <col min="11306" max="11306" width="9.28515625" style="59" customWidth="1"/>
    <col min="11307" max="11307" width="9.28515625" style="59" bestFit="1" customWidth="1"/>
    <col min="11308" max="11520" width="9.140625" style="59"/>
    <col min="11521" max="11521" width="7.85546875" style="59" customWidth="1"/>
    <col min="11522" max="11522" width="12.140625" style="59" customWidth="1"/>
    <col min="11523" max="11523" width="6.28515625" style="59" customWidth="1"/>
    <col min="11524" max="11524" width="11.5703125" style="59" customWidth="1"/>
    <col min="11525" max="11525" width="7.85546875" style="59" customWidth="1"/>
    <col min="11526" max="11526" width="12.28515625" style="59" customWidth="1"/>
    <col min="11527" max="11527" width="5.28515625" style="59" customWidth="1"/>
    <col min="11528" max="11528" width="12.140625" style="59" bestFit="1" customWidth="1"/>
    <col min="11529" max="11529" width="5.7109375" style="59" customWidth="1"/>
    <col min="11530" max="11530" width="11.85546875" style="59" bestFit="1" customWidth="1"/>
    <col min="11531" max="11531" width="8" style="59" customWidth="1"/>
    <col min="11532" max="11532" width="12.5703125" style="59" customWidth="1"/>
    <col min="11533" max="11533" width="9" style="59" customWidth="1"/>
    <col min="11534" max="11534" width="11.7109375" style="59" bestFit="1" customWidth="1"/>
    <col min="11535" max="11535" width="9.42578125" style="59" customWidth="1"/>
    <col min="11536" max="11536" width="4.140625" style="59" customWidth="1"/>
    <col min="11537" max="11537" width="3.28515625" style="59" bestFit="1" customWidth="1"/>
    <col min="11538" max="11538" width="8.85546875" style="59" customWidth="1"/>
    <col min="11539" max="11539" width="10" style="59" bestFit="1" customWidth="1"/>
    <col min="11540" max="11541" width="9.42578125" style="59" customWidth="1"/>
    <col min="11542" max="11542" width="9.5703125" style="59" customWidth="1"/>
    <col min="11543" max="11543" width="9.85546875" style="59" customWidth="1"/>
    <col min="11544" max="11545" width="9.42578125" style="59" customWidth="1"/>
    <col min="11546" max="11546" width="9.85546875" style="59" customWidth="1"/>
    <col min="11547" max="11548" width="9.28515625" style="59" customWidth="1"/>
    <col min="11549" max="11549" width="9.85546875" style="59" customWidth="1"/>
    <col min="11550" max="11550" width="9.28515625" style="59" customWidth="1"/>
    <col min="11551" max="11551" width="10.42578125" style="59" customWidth="1"/>
    <col min="11552" max="11552" width="5.28515625" style="59" bestFit="1" customWidth="1"/>
    <col min="11553" max="11553" width="9.7109375" style="59" bestFit="1" customWidth="1"/>
    <col min="11554" max="11554" width="11" style="59" bestFit="1" customWidth="1"/>
    <col min="11555" max="11555" width="10.85546875" style="59" bestFit="1" customWidth="1"/>
    <col min="11556" max="11556" width="9.140625" style="59"/>
    <col min="11557" max="11557" width="3.85546875" style="59" bestFit="1" customWidth="1"/>
    <col min="11558" max="11558" width="7.28515625" style="59" bestFit="1" customWidth="1"/>
    <col min="11559" max="11561" width="9.140625" style="59"/>
    <col min="11562" max="11562" width="9.28515625" style="59" customWidth="1"/>
    <col min="11563" max="11563" width="9.28515625" style="59" bestFit="1" customWidth="1"/>
    <col min="11564" max="11776" width="9.140625" style="59"/>
    <col min="11777" max="11777" width="7.85546875" style="59" customWidth="1"/>
    <col min="11778" max="11778" width="12.140625" style="59" customWidth="1"/>
    <col min="11779" max="11779" width="6.28515625" style="59" customWidth="1"/>
    <col min="11780" max="11780" width="11.5703125" style="59" customWidth="1"/>
    <col min="11781" max="11781" width="7.85546875" style="59" customWidth="1"/>
    <col min="11782" max="11782" width="12.28515625" style="59" customWidth="1"/>
    <col min="11783" max="11783" width="5.28515625" style="59" customWidth="1"/>
    <col min="11784" max="11784" width="12.140625" style="59" bestFit="1" customWidth="1"/>
    <col min="11785" max="11785" width="5.7109375" style="59" customWidth="1"/>
    <col min="11786" max="11786" width="11.85546875" style="59" bestFit="1" customWidth="1"/>
    <col min="11787" max="11787" width="8" style="59" customWidth="1"/>
    <col min="11788" max="11788" width="12.5703125" style="59" customWidth="1"/>
    <col min="11789" max="11789" width="9" style="59" customWidth="1"/>
    <col min="11790" max="11790" width="11.7109375" style="59" bestFit="1" customWidth="1"/>
    <col min="11791" max="11791" width="9.42578125" style="59" customWidth="1"/>
    <col min="11792" max="11792" width="4.140625" style="59" customWidth="1"/>
    <col min="11793" max="11793" width="3.28515625" style="59" bestFit="1" customWidth="1"/>
    <col min="11794" max="11794" width="8.85546875" style="59" customWidth="1"/>
    <col min="11795" max="11795" width="10" style="59" bestFit="1" customWidth="1"/>
    <col min="11796" max="11797" width="9.42578125" style="59" customWidth="1"/>
    <col min="11798" max="11798" width="9.5703125" style="59" customWidth="1"/>
    <col min="11799" max="11799" width="9.85546875" style="59" customWidth="1"/>
    <col min="11800" max="11801" width="9.42578125" style="59" customWidth="1"/>
    <col min="11802" max="11802" width="9.85546875" style="59" customWidth="1"/>
    <col min="11803" max="11804" width="9.28515625" style="59" customWidth="1"/>
    <col min="11805" max="11805" width="9.85546875" style="59" customWidth="1"/>
    <col min="11806" max="11806" width="9.28515625" style="59" customWidth="1"/>
    <col min="11807" max="11807" width="10.42578125" style="59" customWidth="1"/>
    <col min="11808" max="11808" width="5.28515625" style="59" bestFit="1" customWidth="1"/>
    <col min="11809" max="11809" width="9.7109375" style="59" bestFit="1" customWidth="1"/>
    <col min="11810" max="11810" width="11" style="59" bestFit="1" customWidth="1"/>
    <col min="11811" max="11811" width="10.85546875" style="59" bestFit="1" customWidth="1"/>
    <col min="11812" max="11812" width="9.140625" style="59"/>
    <col min="11813" max="11813" width="3.85546875" style="59" bestFit="1" customWidth="1"/>
    <col min="11814" max="11814" width="7.28515625" style="59" bestFit="1" customWidth="1"/>
    <col min="11815" max="11817" width="9.140625" style="59"/>
    <col min="11818" max="11818" width="9.28515625" style="59" customWidth="1"/>
    <col min="11819" max="11819" width="9.28515625" style="59" bestFit="1" customWidth="1"/>
    <col min="11820" max="12032" width="9.140625" style="59"/>
    <col min="12033" max="12033" width="7.85546875" style="59" customWidth="1"/>
    <col min="12034" max="12034" width="12.140625" style="59" customWidth="1"/>
    <col min="12035" max="12035" width="6.28515625" style="59" customWidth="1"/>
    <col min="12036" max="12036" width="11.5703125" style="59" customWidth="1"/>
    <col min="12037" max="12037" width="7.85546875" style="59" customWidth="1"/>
    <col min="12038" max="12038" width="12.28515625" style="59" customWidth="1"/>
    <col min="12039" max="12039" width="5.28515625" style="59" customWidth="1"/>
    <col min="12040" max="12040" width="12.140625" style="59" bestFit="1" customWidth="1"/>
    <col min="12041" max="12041" width="5.7109375" style="59" customWidth="1"/>
    <col min="12042" max="12042" width="11.85546875" style="59" bestFit="1" customWidth="1"/>
    <col min="12043" max="12043" width="8" style="59" customWidth="1"/>
    <col min="12044" max="12044" width="12.5703125" style="59" customWidth="1"/>
    <col min="12045" max="12045" width="9" style="59" customWidth="1"/>
    <col min="12046" max="12046" width="11.7109375" style="59" bestFit="1" customWidth="1"/>
    <col min="12047" max="12047" width="9.42578125" style="59" customWidth="1"/>
    <col min="12048" max="12048" width="4.140625" style="59" customWidth="1"/>
    <col min="12049" max="12049" width="3.28515625" style="59" bestFit="1" customWidth="1"/>
    <col min="12050" max="12050" width="8.85546875" style="59" customWidth="1"/>
    <col min="12051" max="12051" width="10" style="59" bestFit="1" customWidth="1"/>
    <col min="12052" max="12053" width="9.42578125" style="59" customWidth="1"/>
    <col min="12054" max="12054" width="9.5703125" style="59" customWidth="1"/>
    <col min="12055" max="12055" width="9.85546875" style="59" customWidth="1"/>
    <col min="12056" max="12057" width="9.42578125" style="59" customWidth="1"/>
    <col min="12058" max="12058" width="9.85546875" style="59" customWidth="1"/>
    <col min="12059" max="12060" width="9.28515625" style="59" customWidth="1"/>
    <col min="12061" max="12061" width="9.85546875" style="59" customWidth="1"/>
    <col min="12062" max="12062" width="9.28515625" style="59" customWidth="1"/>
    <col min="12063" max="12063" width="10.42578125" style="59" customWidth="1"/>
    <col min="12064" max="12064" width="5.28515625" style="59" bestFit="1" customWidth="1"/>
    <col min="12065" max="12065" width="9.7109375" style="59" bestFit="1" customWidth="1"/>
    <col min="12066" max="12066" width="11" style="59" bestFit="1" customWidth="1"/>
    <col min="12067" max="12067" width="10.85546875" style="59" bestFit="1" customWidth="1"/>
    <col min="12068" max="12068" width="9.140625" style="59"/>
    <col min="12069" max="12069" width="3.85546875" style="59" bestFit="1" customWidth="1"/>
    <col min="12070" max="12070" width="7.28515625" style="59" bestFit="1" customWidth="1"/>
    <col min="12071" max="12073" width="9.140625" style="59"/>
    <col min="12074" max="12074" width="9.28515625" style="59" customWidth="1"/>
    <col min="12075" max="12075" width="9.28515625" style="59" bestFit="1" customWidth="1"/>
    <col min="12076" max="12288" width="9.140625" style="59"/>
    <col min="12289" max="12289" width="7.85546875" style="59" customWidth="1"/>
    <col min="12290" max="12290" width="12.140625" style="59" customWidth="1"/>
    <col min="12291" max="12291" width="6.28515625" style="59" customWidth="1"/>
    <col min="12292" max="12292" width="11.5703125" style="59" customWidth="1"/>
    <col min="12293" max="12293" width="7.85546875" style="59" customWidth="1"/>
    <col min="12294" max="12294" width="12.28515625" style="59" customWidth="1"/>
    <col min="12295" max="12295" width="5.28515625" style="59" customWidth="1"/>
    <col min="12296" max="12296" width="12.140625" style="59" bestFit="1" customWidth="1"/>
    <col min="12297" max="12297" width="5.7109375" style="59" customWidth="1"/>
    <col min="12298" max="12298" width="11.85546875" style="59" bestFit="1" customWidth="1"/>
    <col min="12299" max="12299" width="8" style="59" customWidth="1"/>
    <col min="12300" max="12300" width="12.5703125" style="59" customWidth="1"/>
    <col min="12301" max="12301" width="9" style="59" customWidth="1"/>
    <col min="12302" max="12302" width="11.7109375" style="59" bestFit="1" customWidth="1"/>
    <col min="12303" max="12303" width="9.42578125" style="59" customWidth="1"/>
    <col min="12304" max="12304" width="4.140625" style="59" customWidth="1"/>
    <col min="12305" max="12305" width="3.28515625" style="59" bestFit="1" customWidth="1"/>
    <col min="12306" max="12306" width="8.85546875" style="59" customWidth="1"/>
    <col min="12307" max="12307" width="10" style="59" bestFit="1" customWidth="1"/>
    <col min="12308" max="12309" width="9.42578125" style="59" customWidth="1"/>
    <col min="12310" max="12310" width="9.5703125" style="59" customWidth="1"/>
    <col min="12311" max="12311" width="9.85546875" style="59" customWidth="1"/>
    <col min="12312" max="12313" width="9.42578125" style="59" customWidth="1"/>
    <col min="12314" max="12314" width="9.85546875" style="59" customWidth="1"/>
    <col min="12315" max="12316" width="9.28515625" style="59" customWidth="1"/>
    <col min="12317" max="12317" width="9.85546875" style="59" customWidth="1"/>
    <col min="12318" max="12318" width="9.28515625" style="59" customWidth="1"/>
    <col min="12319" max="12319" width="10.42578125" style="59" customWidth="1"/>
    <col min="12320" max="12320" width="5.28515625" style="59" bestFit="1" customWidth="1"/>
    <col min="12321" max="12321" width="9.7109375" style="59" bestFit="1" customWidth="1"/>
    <col min="12322" max="12322" width="11" style="59" bestFit="1" customWidth="1"/>
    <col min="12323" max="12323" width="10.85546875" style="59" bestFit="1" customWidth="1"/>
    <col min="12324" max="12324" width="9.140625" style="59"/>
    <col min="12325" max="12325" width="3.85546875" style="59" bestFit="1" customWidth="1"/>
    <col min="12326" max="12326" width="7.28515625" style="59" bestFit="1" customWidth="1"/>
    <col min="12327" max="12329" width="9.140625" style="59"/>
    <col min="12330" max="12330" width="9.28515625" style="59" customWidth="1"/>
    <col min="12331" max="12331" width="9.28515625" style="59" bestFit="1" customWidth="1"/>
    <col min="12332" max="12544" width="9.140625" style="59"/>
    <col min="12545" max="12545" width="7.85546875" style="59" customWidth="1"/>
    <col min="12546" max="12546" width="12.140625" style="59" customWidth="1"/>
    <col min="12547" max="12547" width="6.28515625" style="59" customWidth="1"/>
    <col min="12548" max="12548" width="11.5703125" style="59" customWidth="1"/>
    <col min="12549" max="12549" width="7.85546875" style="59" customWidth="1"/>
    <col min="12550" max="12550" width="12.28515625" style="59" customWidth="1"/>
    <col min="12551" max="12551" width="5.28515625" style="59" customWidth="1"/>
    <col min="12552" max="12552" width="12.140625" style="59" bestFit="1" customWidth="1"/>
    <col min="12553" max="12553" width="5.7109375" style="59" customWidth="1"/>
    <col min="12554" max="12554" width="11.85546875" style="59" bestFit="1" customWidth="1"/>
    <col min="12555" max="12555" width="8" style="59" customWidth="1"/>
    <col min="12556" max="12556" width="12.5703125" style="59" customWidth="1"/>
    <col min="12557" max="12557" width="9" style="59" customWidth="1"/>
    <col min="12558" max="12558" width="11.7109375" style="59" bestFit="1" customWidth="1"/>
    <col min="12559" max="12559" width="9.42578125" style="59" customWidth="1"/>
    <col min="12560" max="12560" width="4.140625" style="59" customWidth="1"/>
    <col min="12561" max="12561" width="3.28515625" style="59" bestFit="1" customWidth="1"/>
    <col min="12562" max="12562" width="8.85546875" style="59" customWidth="1"/>
    <col min="12563" max="12563" width="10" style="59" bestFit="1" customWidth="1"/>
    <col min="12564" max="12565" width="9.42578125" style="59" customWidth="1"/>
    <col min="12566" max="12566" width="9.5703125" style="59" customWidth="1"/>
    <col min="12567" max="12567" width="9.85546875" style="59" customWidth="1"/>
    <col min="12568" max="12569" width="9.42578125" style="59" customWidth="1"/>
    <col min="12570" max="12570" width="9.85546875" style="59" customWidth="1"/>
    <col min="12571" max="12572" width="9.28515625" style="59" customWidth="1"/>
    <col min="12573" max="12573" width="9.85546875" style="59" customWidth="1"/>
    <col min="12574" max="12574" width="9.28515625" style="59" customWidth="1"/>
    <col min="12575" max="12575" width="10.42578125" style="59" customWidth="1"/>
    <col min="12576" max="12576" width="5.28515625" style="59" bestFit="1" customWidth="1"/>
    <col min="12577" max="12577" width="9.7109375" style="59" bestFit="1" customWidth="1"/>
    <col min="12578" max="12578" width="11" style="59" bestFit="1" customWidth="1"/>
    <col min="12579" max="12579" width="10.85546875" style="59" bestFit="1" customWidth="1"/>
    <col min="12580" max="12580" width="9.140625" style="59"/>
    <col min="12581" max="12581" width="3.85546875" style="59" bestFit="1" customWidth="1"/>
    <col min="12582" max="12582" width="7.28515625" style="59" bestFit="1" customWidth="1"/>
    <col min="12583" max="12585" width="9.140625" style="59"/>
    <col min="12586" max="12586" width="9.28515625" style="59" customWidth="1"/>
    <col min="12587" max="12587" width="9.28515625" style="59" bestFit="1" customWidth="1"/>
    <col min="12588" max="12800" width="9.140625" style="59"/>
    <col min="12801" max="12801" width="7.85546875" style="59" customWidth="1"/>
    <col min="12802" max="12802" width="12.140625" style="59" customWidth="1"/>
    <col min="12803" max="12803" width="6.28515625" style="59" customWidth="1"/>
    <col min="12804" max="12804" width="11.5703125" style="59" customWidth="1"/>
    <col min="12805" max="12805" width="7.85546875" style="59" customWidth="1"/>
    <col min="12806" max="12806" width="12.28515625" style="59" customWidth="1"/>
    <col min="12807" max="12807" width="5.28515625" style="59" customWidth="1"/>
    <col min="12808" max="12808" width="12.140625" style="59" bestFit="1" customWidth="1"/>
    <col min="12809" max="12809" width="5.7109375" style="59" customWidth="1"/>
    <col min="12810" max="12810" width="11.85546875" style="59" bestFit="1" customWidth="1"/>
    <col min="12811" max="12811" width="8" style="59" customWidth="1"/>
    <col min="12812" max="12812" width="12.5703125" style="59" customWidth="1"/>
    <col min="12813" max="12813" width="9" style="59" customWidth="1"/>
    <col min="12814" max="12814" width="11.7109375" style="59" bestFit="1" customWidth="1"/>
    <col min="12815" max="12815" width="9.42578125" style="59" customWidth="1"/>
    <col min="12816" max="12816" width="4.140625" style="59" customWidth="1"/>
    <col min="12817" max="12817" width="3.28515625" style="59" bestFit="1" customWidth="1"/>
    <col min="12818" max="12818" width="8.85546875" style="59" customWidth="1"/>
    <col min="12819" max="12819" width="10" style="59" bestFit="1" customWidth="1"/>
    <col min="12820" max="12821" width="9.42578125" style="59" customWidth="1"/>
    <col min="12822" max="12822" width="9.5703125" style="59" customWidth="1"/>
    <col min="12823" max="12823" width="9.85546875" style="59" customWidth="1"/>
    <col min="12824" max="12825" width="9.42578125" style="59" customWidth="1"/>
    <col min="12826" max="12826" width="9.85546875" style="59" customWidth="1"/>
    <col min="12827" max="12828" width="9.28515625" style="59" customWidth="1"/>
    <col min="12829" max="12829" width="9.85546875" style="59" customWidth="1"/>
    <col min="12830" max="12830" width="9.28515625" style="59" customWidth="1"/>
    <col min="12831" max="12831" width="10.42578125" style="59" customWidth="1"/>
    <col min="12832" max="12832" width="5.28515625" style="59" bestFit="1" customWidth="1"/>
    <col min="12833" max="12833" width="9.7109375" style="59" bestFit="1" customWidth="1"/>
    <col min="12834" max="12834" width="11" style="59" bestFit="1" customWidth="1"/>
    <col min="12835" max="12835" width="10.85546875" style="59" bestFit="1" customWidth="1"/>
    <col min="12836" max="12836" width="9.140625" style="59"/>
    <col min="12837" max="12837" width="3.85546875" style="59" bestFit="1" customWidth="1"/>
    <col min="12838" max="12838" width="7.28515625" style="59" bestFit="1" customWidth="1"/>
    <col min="12839" max="12841" width="9.140625" style="59"/>
    <col min="12842" max="12842" width="9.28515625" style="59" customWidth="1"/>
    <col min="12843" max="12843" width="9.28515625" style="59" bestFit="1" customWidth="1"/>
    <col min="12844" max="13056" width="9.140625" style="59"/>
    <col min="13057" max="13057" width="7.85546875" style="59" customWidth="1"/>
    <col min="13058" max="13058" width="12.140625" style="59" customWidth="1"/>
    <col min="13059" max="13059" width="6.28515625" style="59" customWidth="1"/>
    <col min="13060" max="13060" width="11.5703125" style="59" customWidth="1"/>
    <col min="13061" max="13061" width="7.85546875" style="59" customWidth="1"/>
    <col min="13062" max="13062" width="12.28515625" style="59" customWidth="1"/>
    <col min="13063" max="13063" width="5.28515625" style="59" customWidth="1"/>
    <col min="13064" max="13064" width="12.140625" style="59" bestFit="1" customWidth="1"/>
    <col min="13065" max="13065" width="5.7109375" style="59" customWidth="1"/>
    <col min="13066" max="13066" width="11.85546875" style="59" bestFit="1" customWidth="1"/>
    <col min="13067" max="13067" width="8" style="59" customWidth="1"/>
    <col min="13068" max="13068" width="12.5703125" style="59" customWidth="1"/>
    <col min="13069" max="13069" width="9" style="59" customWidth="1"/>
    <col min="13070" max="13070" width="11.7109375" style="59" bestFit="1" customWidth="1"/>
    <col min="13071" max="13071" width="9.42578125" style="59" customWidth="1"/>
    <col min="13072" max="13072" width="4.140625" style="59" customWidth="1"/>
    <col min="13073" max="13073" width="3.28515625" style="59" bestFit="1" customWidth="1"/>
    <col min="13074" max="13074" width="8.85546875" style="59" customWidth="1"/>
    <col min="13075" max="13075" width="10" style="59" bestFit="1" customWidth="1"/>
    <col min="13076" max="13077" width="9.42578125" style="59" customWidth="1"/>
    <col min="13078" max="13078" width="9.5703125" style="59" customWidth="1"/>
    <col min="13079" max="13079" width="9.85546875" style="59" customWidth="1"/>
    <col min="13080" max="13081" width="9.42578125" style="59" customWidth="1"/>
    <col min="13082" max="13082" width="9.85546875" style="59" customWidth="1"/>
    <col min="13083" max="13084" width="9.28515625" style="59" customWidth="1"/>
    <col min="13085" max="13085" width="9.85546875" style="59" customWidth="1"/>
    <col min="13086" max="13086" width="9.28515625" style="59" customWidth="1"/>
    <col min="13087" max="13087" width="10.42578125" style="59" customWidth="1"/>
    <col min="13088" max="13088" width="5.28515625" style="59" bestFit="1" customWidth="1"/>
    <col min="13089" max="13089" width="9.7109375" style="59" bestFit="1" customWidth="1"/>
    <col min="13090" max="13090" width="11" style="59" bestFit="1" customWidth="1"/>
    <col min="13091" max="13091" width="10.85546875" style="59" bestFit="1" customWidth="1"/>
    <col min="13092" max="13092" width="9.140625" style="59"/>
    <col min="13093" max="13093" width="3.85546875" style="59" bestFit="1" customWidth="1"/>
    <col min="13094" max="13094" width="7.28515625" style="59" bestFit="1" customWidth="1"/>
    <col min="13095" max="13097" width="9.140625" style="59"/>
    <col min="13098" max="13098" width="9.28515625" style="59" customWidth="1"/>
    <col min="13099" max="13099" width="9.28515625" style="59" bestFit="1" customWidth="1"/>
    <col min="13100" max="13312" width="9.140625" style="59"/>
    <col min="13313" max="13313" width="7.85546875" style="59" customWidth="1"/>
    <col min="13314" max="13314" width="12.140625" style="59" customWidth="1"/>
    <col min="13315" max="13315" width="6.28515625" style="59" customWidth="1"/>
    <col min="13316" max="13316" width="11.5703125" style="59" customWidth="1"/>
    <col min="13317" max="13317" width="7.85546875" style="59" customWidth="1"/>
    <col min="13318" max="13318" width="12.28515625" style="59" customWidth="1"/>
    <col min="13319" max="13319" width="5.28515625" style="59" customWidth="1"/>
    <col min="13320" max="13320" width="12.140625" style="59" bestFit="1" customWidth="1"/>
    <col min="13321" max="13321" width="5.7109375" style="59" customWidth="1"/>
    <col min="13322" max="13322" width="11.85546875" style="59" bestFit="1" customWidth="1"/>
    <col min="13323" max="13323" width="8" style="59" customWidth="1"/>
    <col min="13324" max="13324" width="12.5703125" style="59" customWidth="1"/>
    <col min="13325" max="13325" width="9" style="59" customWidth="1"/>
    <col min="13326" max="13326" width="11.7109375" style="59" bestFit="1" customWidth="1"/>
    <col min="13327" max="13327" width="9.42578125" style="59" customWidth="1"/>
    <col min="13328" max="13328" width="4.140625" style="59" customWidth="1"/>
    <col min="13329" max="13329" width="3.28515625" style="59" bestFit="1" customWidth="1"/>
    <col min="13330" max="13330" width="8.85546875" style="59" customWidth="1"/>
    <col min="13331" max="13331" width="10" style="59" bestFit="1" customWidth="1"/>
    <col min="13332" max="13333" width="9.42578125" style="59" customWidth="1"/>
    <col min="13334" max="13334" width="9.5703125" style="59" customWidth="1"/>
    <col min="13335" max="13335" width="9.85546875" style="59" customWidth="1"/>
    <col min="13336" max="13337" width="9.42578125" style="59" customWidth="1"/>
    <col min="13338" max="13338" width="9.85546875" style="59" customWidth="1"/>
    <col min="13339" max="13340" width="9.28515625" style="59" customWidth="1"/>
    <col min="13341" max="13341" width="9.85546875" style="59" customWidth="1"/>
    <col min="13342" max="13342" width="9.28515625" style="59" customWidth="1"/>
    <col min="13343" max="13343" width="10.42578125" style="59" customWidth="1"/>
    <col min="13344" max="13344" width="5.28515625" style="59" bestFit="1" customWidth="1"/>
    <col min="13345" max="13345" width="9.7109375" style="59" bestFit="1" customWidth="1"/>
    <col min="13346" max="13346" width="11" style="59" bestFit="1" customWidth="1"/>
    <col min="13347" max="13347" width="10.85546875" style="59" bestFit="1" customWidth="1"/>
    <col min="13348" max="13348" width="9.140625" style="59"/>
    <col min="13349" max="13349" width="3.85546875" style="59" bestFit="1" customWidth="1"/>
    <col min="13350" max="13350" width="7.28515625" style="59" bestFit="1" customWidth="1"/>
    <col min="13351" max="13353" width="9.140625" style="59"/>
    <col min="13354" max="13354" width="9.28515625" style="59" customWidth="1"/>
    <col min="13355" max="13355" width="9.28515625" style="59" bestFit="1" customWidth="1"/>
    <col min="13356" max="13568" width="9.140625" style="59"/>
    <col min="13569" max="13569" width="7.85546875" style="59" customWidth="1"/>
    <col min="13570" max="13570" width="12.140625" style="59" customWidth="1"/>
    <col min="13571" max="13571" width="6.28515625" style="59" customWidth="1"/>
    <col min="13572" max="13572" width="11.5703125" style="59" customWidth="1"/>
    <col min="13573" max="13573" width="7.85546875" style="59" customWidth="1"/>
    <col min="13574" max="13574" width="12.28515625" style="59" customWidth="1"/>
    <col min="13575" max="13575" width="5.28515625" style="59" customWidth="1"/>
    <col min="13576" max="13576" width="12.140625" style="59" bestFit="1" customWidth="1"/>
    <col min="13577" max="13577" width="5.7109375" style="59" customWidth="1"/>
    <col min="13578" max="13578" width="11.85546875" style="59" bestFit="1" customWidth="1"/>
    <col min="13579" max="13579" width="8" style="59" customWidth="1"/>
    <col min="13580" max="13580" width="12.5703125" style="59" customWidth="1"/>
    <col min="13581" max="13581" width="9" style="59" customWidth="1"/>
    <col min="13582" max="13582" width="11.7109375" style="59" bestFit="1" customWidth="1"/>
    <col min="13583" max="13583" width="9.42578125" style="59" customWidth="1"/>
    <col min="13584" max="13584" width="4.140625" style="59" customWidth="1"/>
    <col min="13585" max="13585" width="3.28515625" style="59" bestFit="1" customWidth="1"/>
    <col min="13586" max="13586" width="8.85546875" style="59" customWidth="1"/>
    <col min="13587" max="13587" width="10" style="59" bestFit="1" customWidth="1"/>
    <col min="13588" max="13589" width="9.42578125" style="59" customWidth="1"/>
    <col min="13590" max="13590" width="9.5703125" style="59" customWidth="1"/>
    <col min="13591" max="13591" width="9.85546875" style="59" customWidth="1"/>
    <col min="13592" max="13593" width="9.42578125" style="59" customWidth="1"/>
    <col min="13594" max="13594" width="9.85546875" style="59" customWidth="1"/>
    <col min="13595" max="13596" width="9.28515625" style="59" customWidth="1"/>
    <col min="13597" max="13597" width="9.85546875" style="59" customWidth="1"/>
    <col min="13598" max="13598" width="9.28515625" style="59" customWidth="1"/>
    <col min="13599" max="13599" width="10.42578125" style="59" customWidth="1"/>
    <col min="13600" max="13600" width="5.28515625" style="59" bestFit="1" customWidth="1"/>
    <col min="13601" max="13601" width="9.7109375" style="59" bestFit="1" customWidth="1"/>
    <col min="13602" max="13602" width="11" style="59" bestFit="1" customWidth="1"/>
    <col min="13603" max="13603" width="10.85546875" style="59" bestFit="1" customWidth="1"/>
    <col min="13604" max="13604" width="9.140625" style="59"/>
    <col min="13605" max="13605" width="3.85546875" style="59" bestFit="1" customWidth="1"/>
    <col min="13606" max="13606" width="7.28515625" style="59" bestFit="1" customWidth="1"/>
    <col min="13607" max="13609" width="9.140625" style="59"/>
    <col min="13610" max="13610" width="9.28515625" style="59" customWidth="1"/>
    <col min="13611" max="13611" width="9.28515625" style="59" bestFit="1" customWidth="1"/>
    <col min="13612" max="13824" width="9.140625" style="59"/>
    <col min="13825" max="13825" width="7.85546875" style="59" customWidth="1"/>
    <col min="13826" max="13826" width="12.140625" style="59" customWidth="1"/>
    <col min="13827" max="13827" width="6.28515625" style="59" customWidth="1"/>
    <col min="13828" max="13828" width="11.5703125" style="59" customWidth="1"/>
    <col min="13829" max="13829" width="7.85546875" style="59" customWidth="1"/>
    <col min="13830" max="13830" width="12.28515625" style="59" customWidth="1"/>
    <col min="13831" max="13831" width="5.28515625" style="59" customWidth="1"/>
    <col min="13832" max="13832" width="12.140625" style="59" bestFit="1" customWidth="1"/>
    <col min="13833" max="13833" width="5.7109375" style="59" customWidth="1"/>
    <col min="13834" max="13834" width="11.85546875" style="59" bestFit="1" customWidth="1"/>
    <col min="13835" max="13835" width="8" style="59" customWidth="1"/>
    <col min="13836" max="13836" width="12.5703125" style="59" customWidth="1"/>
    <col min="13837" max="13837" width="9" style="59" customWidth="1"/>
    <col min="13838" max="13838" width="11.7109375" style="59" bestFit="1" customWidth="1"/>
    <col min="13839" max="13839" width="9.42578125" style="59" customWidth="1"/>
    <col min="13840" max="13840" width="4.140625" style="59" customWidth="1"/>
    <col min="13841" max="13841" width="3.28515625" style="59" bestFit="1" customWidth="1"/>
    <col min="13842" max="13842" width="8.85546875" style="59" customWidth="1"/>
    <col min="13843" max="13843" width="10" style="59" bestFit="1" customWidth="1"/>
    <col min="13844" max="13845" width="9.42578125" style="59" customWidth="1"/>
    <col min="13846" max="13846" width="9.5703125" style="59" customWidth="1"/>
    <col min="13847" max="13847" width="9.85546875" style="59" customWidth="1"/>
    <col min="13848" max="13849" width="9.42578125" style="59" customWidth="1"/>
    <col min="13850" max="13850" width="9.85546875" style="59" customWidth="1"/>
    <col min="13851" max="13852" width="9.28515625" style="59" customWidth="1"/>
    <col min="13853" max="13853" width="9.85546875" style="59" customWidth="1"/>
    <col min="13854" max="13854" width="9.28515625" style="59" customWidth="1"/>
    <col min="13855" max="13855" width="10.42578125" style="59" customWidth="1"/>
    <col min="13856" max="13856" width="5.28515625" style="59" bestFit="1" customWidth="1"/>
    <col min="13857" max="13857" width="9.7109375" style="59" bestFit="1" customWidth="1"/>
    <col min="13858" max="13858" width="11" style="59" bestFit="1" customWidth="1"/>
    <col min="13859" max="13859" width="10.85546875" style="59" bestFit="1" customWidth="1"/>
    <col min="13860" max="13860" width="9.140625" style="59"/>
    <col min="13861" max="13861" width="3.85546875" style="59" bestFit="1" customWidth="1"/>
    <col min="13862" max="13862" width="7.28515625" style="59" bestFit="1" customWidth="1"/>
    <col min="13863" max="13865" width="9.140625" style="59"/>
    <col min="13866" max="13866" width="9.28515625" style="59" customWidth="1"/>
    <col min="13867" max="13867" width="9.28515625" style="59" bestFit="1" customWidth="1"/>
    <col min="13868" max="14080" width="9.140625" style="59"/>
    <col min="14081" max="14081" width="7.85546875" style="59" customWidth="1"/>
    <col min="14082" max="14082" width="12.140625" style="59" customWidth="1"/>
    <col min="14083" max="14083" width="6.28515625" style="59" customWidth="1"/>
    <col min="14084" max="14084" width="11.5703125" style="59" customWidth="1"/>
    <col min="14085" max="14085" width="7.85546875" style="59" customWidth="1"/>
    <col min="14086" max="14086" width="12.28515625" style="59" customWidth="1"/>
    <col min="14087" max="14087" width="5.28515625" style="59" customWidth="1"/>
    <col min="14088" max="14088" width="12.140625" style="59" bestFit="1" customWidth="1"/>
    <col min="14089" max="14089" width="5.7109375" style="59" customWidth="1"/>
    <col min="14090" max="14090" width="11.85546875" style="59" bestFit="1" customWidth="1"/>
    <col min="14091" max="14091" width="8" style="59" customWidth="1"/>
    <col min="14092" max="14092" width="12.5703125" style="59" customWidth="1"/>
    <col min="14093" max="14093" width="9" style="59" customWidth="1"/>
    <col min="14094" max="14094" width="11.7109375" style="59" bestFit="1" customWidth="1"/>
    <col min="14095" max="14095" width="9.42578125" style="59" customWidth="1"/>
    <col min="14096" max="14096" width="4.140625" style="59" customWidth="1"/>
    <col min="14097" max="14097" width="3.28515625" style="59" bestFit="1" customWidth="1"/>
    <col min="14098" max="14098" width="8.85546875" style="59" customWidth="1"/>
    <col min="14099" max="14099" width="10" style="59" bestFit="1" customWidth="1"/>
    <col min="14100" max="14101" width="9.42578125" style="59" customWidth="1"/>
    <col min="14102" max="14102" width="9.5703125" style="59" customWidth="1"/>
    <col min="14103" max="14103" width="9.85546875" style="59" customWidth="1"/>
    <col min="14104" max="14105" width="9.42578125" style="59" customWidth="1"/>
    <col min="14106" max="14106" width="9.85546875" style="59" customWidth="1"/>
    <col min="14107" max="14108" width="9.28515625" style="59" customWidth="1"/>
    <col min="14109" max="14109" width="9.85546875" style="59" customWidth="1"/>
    <col min="14110" max="14110" width="9.28515625" style="59" customWidth="1"/>
    <col min="14111" max="14111" width="10.42578125" style="59" customWidth="1"/>
    <col min="14112" max="14112" width="5.28515625" style="59" bestFit="1" customWidth="1"/>
    <col min="14113" max="14113" width="9.7109375" style="59" bestFit="1" customWidth="1"/>
    <col min="14114" max="14114" width="11" style="59" bestFit="1" customWidth="1"/>
    <col min="14115" max="14115" width="10.85546875" style="59" bestFit="1" customWidth="1"/>
    <col min="14116" max="14116" width="9.140625" style="59"/>
    <col min="14117" max="14117" width="3.85546875" style="59" bestFit="1" customWidth="1"/>
    <col min="14118" max="14118" width="7.28515625" style="59" bestFit="1" customWidth="1"/>
    <col min="14119" max="14121" width="9.140625" style="59"/>
    <col min="14122" max="14122" width="9.28515625" style="59" customWidth="1"/>
    <col min="14123" max="14123" width="9.28515625" style="59" bestFit="1" customWidth="1"/>
    <col min="14124" max="14336" width="9.140625" style="59"/>
    <col min="14337" max="14337" width="7.85546875" style="59" customWidth="1"/>
    <col min="14338" max="14338" width="12.140625" style="59" customWidth="1"/>
    <col min="14339" max="14339" width="6.28515625" style="59" customWidth="1"/>
    <col min="14340" max="14340" width="11.5703125" style="59" customWidth="1"/>
    <col min="14341" max="14341" width="7.85546875" style="59" customWidth="1"/>
    <col min="14342" max="14342" width="12.28515625" style="59" customWidth="1"/>
    <col min="14343" max="14343" width="5.28515625" style="59" customWidth="1"/>
    <col min="14344" max="14344" width="12.140625" style="59" bestFit="1" customWidth="1"/>
    <col min="14345" max="14345" width="5.7109375" style="59" customWidth="1"/>
    <col min="14346" max="14346" width="11.85546875" style="59" bestFit="1" customWidth="1"/>
    <col min="14347" max="14347" width="8" style="59" customWidth="1"/>
    <col min="14348" max="14348" width="12.5703125" style="59" customWidth="1"/>
    <col min="14349" max="14349" width="9" style="59" customWidth="1"/>
    <col min="14350" max="14350" width="11.7109375" style="59" bestFit="1" customWidth="1"/>
    <col min="14351" max="14351" width="9.42578125" style="59" customWidth="1"/>
    <col min="14352" max="14352" width="4.140625" style="59" customWidth="1"/>
    <col min="14353" max="14353" width="3.28515625" style="59" bestFit="1" customWidth="1"/>
    <col min="14354" max="14354" width="8.85546875" style="59" customWidth="1"/>
    <col min="14355" max="14355" width="10" style="59" bestFit="1" customWidth="1"/>
    <col min="14356" max="14357" width="9.42578125" style="59" customWidth="1"/>
    <col min="14358" max="14358" width="9.5703125" style="59" customWidth="1"/>
    <col min="14359" max="14359" width="9.85546875" style="59" customWidth="1"/>
    <col min="14360" max="14361" width="9.42578125" style="59" customWidth="1"/>
    <col min="14362" max="14362" width="9.85546875" style="59" customWidth="1"/>
    <col min="14363" max="14364" width="9.28515625" style="59" customWidth="1"/>
    <col min="14365" max="14365" width="9.85546875" style="59" customWidth="1"/>
    <col min="14366" max="14366" width="9.28515625" style="59" customWidth="1"/>
    <col min="14367" max="14367" width="10.42578125" style="59" customWidth="1"/>
    <col min="14368" max="14368" width="5.28515625" style="59" bestFit="1" customWidth="1"/>
    <col min="14369" max="14369" width="9.7109375" style="59" bestFit="1" customWidth="1"/>
    <col min="14370" max="14370" width="11" style="59" bestFit="1" customWidth="1"/>
    <col min="14371" max="14371" width="10.85546875" style="59" bestFit="1" customWidth="1"/>
    <col min="14372" max="14372" width="9.140625" style="59"/>
    <col min="14373" max="14373" width="3.85546875" style="59" bestFit="1" customWidth="1"/>
    <col min="14374" max="14374" width="7.28515625" style="59" bestFit="1" customWidth="1"/>
    <col min="14375" max="14377" width="9.140625" style="59"/>
    <col min="14378" max="14378" width="9.28515625" style="59" customWidth="1"/>
    <col min="14379" max="14379" width="9.28515625" style="59" bestFit="1" customWidth="1"/>
    <col min="14380" max="14592" width="9.140625" style="59"/>
    <col min="14593" max="14593" width="7.85546875" style="59" customWidth="1"/>
    <col min="14594" max="14594" width="12.140625" style="59" customWidth="1"/>
    <col min="14595" max="14595" width="6.28515625" style="59" customWidth="1"/>
    <col min="14596" max="14596" width="11.5703125" style="59" customWidth="1"/>
    <col min="14597" max="14597" width="7.85546875" style="59" customWidth="1"/>
    <col min="14598" max="14598" width="12.28515625" style="59" customWidth="1"/>
    <col min="14599" max="14599" width="5.28515625" style="59" customWidth="1"/>
    <col min="14600" max="14600" width="12.140625" style="59" bestFit="1" customWidth="1"/>
    <col min="14601" max="14601" width="5.7109375" style="59" customWidth="1"/>
    <col min="14602" max="14602" width="11.85546875" style="59" bestFit="1" customWidth="1"/>
    <col min="14603" max="14603" width="8" style="59" customWidth="1"/>
    <col min="14604" max="14604" width="12.5703125" style="59" customWidth="1"/>
    <col min="14605" max="14605" width="9" style="59" customWidth="1"/>
    <col min="14606" max="14606" width="11.7109375" style="59" bestFit="1" customWidth="1"/>
    <col min="14607" max="14607" width="9.42578125" style="59" customWidth="1"/>
    <col min="14608" max="14608" width="4.140625" style="59" customWidth="1"/>
    <col min="14609" max="14609" width="3.28515625" style="59" bestFit="1" customWidth="1"/>
    <col min="14610" max="14610" width="8.85546875" style="59" customWidth="1"/>
    <col min="14611" max="14611" width="10" style="59" bestFit="1" customWidth="1"/>
    <col min="14612" max="14613" width="9.42578125" style="59" customWidth="1"/>
    <col min="14614" max="14614" width="9.5703125" style="59" customWidth="1"/>
    <col min="14615" max="14615" width="9.85546875" style="59" customWidth="1"/>
    <col min="14616" max="14617" width="9.42578125" style="59" customWidth="1"/>
    <col min="14618" max="14618" width="9.85546875" style="59" customWidth="1"/>
    <col min="14619" max="14620" width="9.28515625" style="59" customWidth="1"/>
    <col min="14621" max="14621" width="9.85546875" style="59" customWidth="1"/>
    <col min="14622" max="14622" width="9.28515625" style="59" customWidth="1"/>
    <col min="14623" max="14623" width="10.42578125" style="59" customWidth="1"/>
    <col min="14624" max="14624" width="5.28515625" style="59" bestFit="1" customWidth="1"/>
    <col min="14625" max="14625" width="9.7109375" style="59" bestFit="1" customWidth="1"/>
    <col min="14626" max="14626" width="11" style="59" bestFit="1" customWidth="1"/>
    <col min="14627" max="14627" width="10.85546875" style="59" bestFit="1" customWidth="1"/>
    <col min="14628" max="14628" width="9.140625" style="59"/>
    <col min="14629" max="14629" width="3.85546875" style="59" bestFit="1" customWidth="1"/>
    <col min="14630" max="14630" width="7.28515625" style="59" bestFit="1" customWidth="1"/>
    <col min="14631" max="14633" width="9.140625" style="59"/>
    <col min="14634" max="14634" width="9.28515625" style="59" customWidth="1"/>
    <col min="14635" max="14635" width="9.28515625" style="59" bestFit="1" customWidth="1"/>
    <col min="14636" max="14848" width="9.140625" style="59"/>
    <col min="14849" max="14849" width="7.85546875" style="59" customWidth="1"/>
    <col min="14850" max="14850" width="12.140625" style="59" customWidth="1"/>
    <col min="14851" max="14851" width="6.28515625" style="59" customWidth="1"/>
    <col min="14852" max="14852" width="11.5703125" style="59" customWidth="1"/>
    <col min="14853" max="14853" width="7.85546875" style="59" customWidth="1"/>
    <col min="14854" max="14854" width="12.28515625" style="59" customWidth="1"/>
    <col min="14855" max="14855" width="5.28515625" style="59" customWidth="1"/>
    <col min="14856" max="14856" width="12.140625" style="59" bestFit="1" customWidth="1"/>
    <col min="14857" max="14857" width="5.7109375" style="59" customWidth="1"/>
    <col min="14858" max="14858" width="11.85546875" style="59" bestFit="1" customWidth="1"/>
    <col min="14859" max="14859" width="8" style="59" customWidth="1"/>
    <col min="14860" max="14860" width="12.5703125" style="59" customWidth="1"/>
    <col min="14861" max="14861" width="9" style="59" customWidth="1"/>
    <col min="14862" max="14862" width="11.7109375" style="59" bestFit="1" customWidth="1"/>
    <col min="14863" max="14863" width="9.42578125" style="59" customWidth="1"/>
    <col min="14864" max="14864" width="4.140625" style="59" customWidth="1"/>
    <col min="14865" max="14865" width="3.28515625" style="59" bestFit="1" customWidth="1"/>
    <col min="14866" max="14866" width="8.85546875" style="59" customWidth="1"/>
    <col min="14867" max="14867" width="10" style="59" bestFit="1" customWidth="1"/>
    <col min="14868" max="14869" width="9.42578125" style="59" customWidth="1"/>
    <col min="14870" max="14870" width="9.5703125" style="59" customWidth="1"/>
    <col min="14871" max="14871" width="9.85546875" style="59" customWidth="1"/>
    <col min="14872" max="14873" width="9.42578125" style="59" customWidth="1"/>
    <col min="14874" max="14874" width="9.85546875" style="59" customWidth="1"/>
    <col min="14875" max="14876" width="9.28515625" style="59" customWidth="1"/>
    <col min="14877" max="14877" width="9.85546875" style="59" customWidth="1"/>
    <col min="14878" max="14878" width="9.28515625" style="59" customWidth="1"/>
    <col min="14879" max="14879" width="10.42578125" style="59" customWidth="1"/>
    <col min="14880" max="14880" width="5.28515625" style="59" bestFit="1" customWidth="1"/>
    <col min="14881" max="14881" width="9.7109375" style="59" bestFit="1" customWidth="1"/>
    <col min="14882" max="14882" width="11" style="59" bestFit="1" customWidth="1"/>
    <col min="14883" max="14883" width="10.85546875" style="59" bestFit="1" customWidth="1"/>
    <col min="14884" max="14884" width="9.140625" style="59"/>
    <col min="14885" max="14885" width="3.85546875" style="59" bestFit="1" customWidth="1"/>
    <col min="14886" max="14886" width="7.28515625" style="59" bestFit="1" customWidth="1"/>
    <col min="14887" max="14889" width="9.140625" style="59"/>
    <col min="14890" max="14890" width="9.28515625" style="59" customWidth="1"/>
    <col min="14891" max="14891" width="9.28515625" style="59" bestFit="1" customWidth="1"/>
    <col min="14892" max="15104" width="9.140625" style="59"/>
    <col min="15105" max="15105" width="7.85546875" style="59" customWidth="1"/>
    <col min="15106" max="15106" width="12.140625" style="59" customWidth="1"/>
    <col min="15107" max="15107" width="6.28515625" style="59" customWidth="1"/>
    <col min="15108" max="15108" width="11.5703125" style="59" customWidth="1"/>
    <col min="15109" max="15109" width="7.85546875" style="59" customWidth="1"/>
    <col min="15110" max="15110" width="12.28515625" style="59" customWidth="1"/>
    <col min="15111" max="15111" width="5.28515625" style="59" customWidth="1"/>
    <col min="15112" max="15112" width="12.140625" style="59" bestFit="1" customWidth="1"/>
    <col min="15113" max="15113" width="5.7109375" style="59" customWidth="1"/>
    <col min="15114" max="15114" width="11.85546875" style="59" bestFit="1" customWidth="1"/>
    <col min="15115" max="15115" width="8" style="59" customWidth="1"/>
    <col min="15116" max="15116" width="12.5703125" style="59" customWidth="1"/>
    <col min="15117" max="15117" width="9" style="59" customWidth="1"/>
    <col min="15118" max="15118" width="11.7109375" style="59" bestFit="1" customWidth="1"/>
    <col min="15119" max="15119" width="9.42578125" style="59" customWidth="1"/>
    <col min="15120" max="15120" width="4.140625" style="59" customWidth="1"/>
    <col min="15121" max="15121" width="3.28515625" style="59" bestFit="1" customWidth="1"/>
    <col min="15122" max="15122" width="8.85546875" style="59" customWidth="1"/>
    <col min="15123" max="15123" width="10" style="59" bestFit="1" customWidth="1"/>
    <col min="15124" max="15125" width="9.42578125" style="59" customWidth="1"/>
    <col min="15126" max="15126" width="9.5703125" style="59" customWidth="1"/>
    <col min="15127" max="15127" width="9.85546875" style="59" customWidth="1"/>
    <col min="15128" max="15129" width="9.42578125" style="59" customWidth="1"/>
    <col min="15130" max="15130" width="9.85546875" style="59" customWidth="1"/>
    <col min="15131" max="15132" width="9.28515625" style="59" customWidth="1"/>
    <col min="15133" max="15133" width="9.85546875" style="59" customWidth="1"/>
    <col min="15134" max="15134" width="9.28515625" style="59" customWidth="1"/>
    <col min="15135" max="15135" width="10.42578125" style="59" customWidth="1"/>
    <col min="15136" max="15136" width="5.28515625" style="59" bestFit="1" customWidth="1"/>
    <col min="15137" max="15137" width="9.7109375" style="59" bestFit="1" customWidth="1"/>
    <col min="15138" max="15138" width="11" style="59" bestFit="1" customWidth="1"/>
    <col min="15139" max="15139" width="10.85546875" style="59" bestFit="1" customWidth="1"/>
    <col min="15140" max="15140" width="9.140625" style="59"/>
    <col min="15141" max="15141" width="3.85546875" style="59" bestFit="1" customWidth="1"/>
    <col min="15142" max="15142" width="7.28515625" style="59" bestFit="1" customWidth="1"/>
    <col min="15143" max="15145" width="9.140625" style="59"/>
    <col min="15146" max="15146" width="9.28515625" style="59" customWidth="1"/>
    <col min="15147" max="15147" width="9.28515625" style="59" bestFit="1" customWidth="1"/>
    <col min="15148" max="15360" width="9.140625" style="59"/>
    <col min="15361" max="15361" width="7.85546875" style="59" customWidth="1"/>
    <col min="15362" max="15362" width="12.140625" style="59" customWidth="1"/>
    <col min="15363" max="15363" width="6.28515625" style="59" customWidth="1"/>
    <col min="15364" max="15364" width="11.5703125" style="59" customWidth="1"/>
    <col min="15365" max="15365" width="7.85546875" style="59" customWidth="1"/>
    <col min="15366" max="15366" width="12.28515625" style="59" customWidth="1"/>
    <col min="15367" max="15367" width="5.28515625" style="59" customWidth="1"/>
    <col min="15368" max="15368" width="12.140625" style="59" bestFit="1" customWidth="1"/>
    <col min="15369" max="15369" width="5.7109375" style="59" customWidth="1"/>
    <col min="15370" max="15370" width="11.85546875" style="59" bestFit="1" customWidth="1"/>
    <col min="15371" max="15371" width="8" style="59" customWidth="1"/>
    <col min="15372" max="15372" width="12.5703125" style="59" customWidth="1"/>
    <col min="15373" max="15373" width="9" style="59" customWidth="1"/>
    <col min="15374" max="15374" width="11.7109375" style="59" bestFit="1" customWidth="1"/>
    <col min="15375" max="15375" width="9.42578125" style="59" customWidth="1"/>
    <col min="15376" max="15376" width="4.140625" style="59" customWidth="1"/>
    <col min="15377" max="15377" width="3.28515625" style="59" bestFit="1" customWidth="1"/>
    <col min="15378" max="15378" width="8.85546875" style="59" customWidth="1"/>
    <col min="15379" max="15379" width="10" style="59" bestFit="1" customWidth="1"/>
    <col min="15380" max="15381" width="9.42578125" style="59" customWidth="1"/>
    <col min="15382" max="15382" width="9.5703125" style="59" customWidth="1"/>
    <col min="15383" max="15383" width="9.85546875" style="59" customWidth="1"/>
    <col min="15384" max="15385" width="9.42578125" style="59" customWidth="1"/>
    <col min="15386" max="15386" width="9.85546875" style="59" customWidth="1"/>
    <col min="15387" max="15388" width="9.28515625" style="59" customWidth="1"/>
    <col min="15389" max="15389" width="9.85546875" style="59" customWidth="1"/>
    <col min="15390" max="15390" width="9.28515625" style="59" customWidth="1"/>
    <col min="15391" max="15391" width="10.42578125" style="59" customWidth="1"/>
    <col min="15392" max="15392" width="5.28515625" style="59" bestFit="1" customWidth="1"/>
    <col min="15393" max="15393" width="9.7109375" style="59" bestFit="1" customWidth="1"/>
    <col min="15394" max="15394" width="11" style="59" bestFit="1" customWidth="1"/>
    <col min="15395" max="15395" width="10.85546875" style="59" bestFit="1" customWidth="1"/>
    <col min="15396" max="15396" width="9.140625" style="59"/>
    <col min="15397" max="15397" width="3.85546875" style="59" bestFit="1" customWidth="1"/>
    <col min="15398" max="15398" width="7.28515625" style="59" bestFit="1" customWidth="1"/>
    <col min="15399" max="15401" width="9.140625" style="59"/>
    <col min="15402" max="15402" width="9.28515625" style="59" customWidth="1"/>
    <col min="15403" max="15403" width="9.28515625" style="59" bestFit="1" customWidth="1"/>
    <col min="15404" max="15616" width="9.140625" style="59"/>
    <col min="15617" max="15617" width="7.85546875" style="59" customWidth="1"/>
    <col min="15618" max="15618" width="12.140625" style="59" customWidth="1"/>
    <col min="15619" max="15619" width="6.28515625" style="59" customWidth="1"/>
    <col min="15620" max="15620" width="11.5703125" style="59" customWidth="1"/>
    <col min="15621" max="15621" width="7.85546875" style="59" customWidth="1"/>
    <col min="15622" max="15622" width="12.28515625" style="59" customWidth="1"/>
    <col min="15623" max="15623" width="5.28515625" style="59" customWidth="1"/>
    <col min="15624" max="15624" width="12.140625" style="59" bestFit="1" customWidth="1"/>
    <col min="15625" max="15625" width="5.7109375" style="59" customWidth="1"/>
    <col min="15626" max="15626" width="11.85546875" style="59" bestFit="1" customWidth="1"/>
    <col min="15627" max="15627" width="8" style="59" customWidth="1"/>
    <col min="15628" max="15628" width="12.5703125" style="59" customWidth="1"/>
    <col min="15629" max="15629" width="9" style="59" customWidth="1"/>
    <col min="15630" max="15630" width="11.7109375" style="59" bestFit="1" customWidth="1"/>
    <col min="15631" max="15631" width="9.42578125" style="59" customWidth="1"/>
    <col min="15632" max="15632" width="4.140625" style="59" customWidth="1"/>
    <col min="15633" max="15633" width="3.28515625" style="59" bestFit="1" customWidth="1"/>
    <col min="15634" max="15634" width="8.85546875" style="59" customWidth="1"/>
    <col min="15635" max="15635" width="10" style="59" bestFit="1" customWidth="1"/>
    <col min="15636" max="15637" width="9.42578125" style="59" customWidth="1"/>
    <col min="15638" max="15638" width="9.5703125" style="59" customWidth="1"/>
    <col min="15639" max="15639" width="9.85546875" style="59" customWidth="1"/>
    <col min="15640" max="15641" width="9.42578125" style="59" customWidth="1"/>
    <col min="15642" max="15642" width="9.85546875" style="59" customWidth="1"/>
    <col min="15643" max="15644" width="9.28515625" style="59" customWidth="1"/>
    <col min="15645" max="15645" width="9.85546875" style="59" customWidth="1"/>
    <col min="15646" max="15646" width="9.28515625" style="59" customWidth="1"/>
    <col min="15647" max="15647" width="10.42578125" style="59" customWidth="1"/>
    <col min="15648" max="15648" width="5.28515625" style="59" bestFit="1" customWidth="1"/>
    <col min="15649" max="15649" width="9.7109375" style="59" bestFit="1" customWidth="1"/>
    <col min="15650" max="15650" width="11" style="59" bestFit="1" customWidth="1"/>
    <col min="15651" max="15651" width="10.85546875" style="59" bestFit="1" customWidth="1"/>
    <col min="15652" max="15652" width="9.140625" style="59"/>
    <col min="15653" max="15653" width="3.85546875" style="59" bestFit="1" customWidth="1"/>
    <col min="15654" max="15654" width="7.28515625" style="59" bestFit="1" customWidth="1"/>
    <col min="15655" max="15657" width="9.140625" style="59"/>
    <col min="15658" max="15658" width="9.28515625" style="59" customWidth="1"/>
    <col min="15659" max="15659" width="9.28515625" style="59" bestFit="1" customWidth="1"/>
    <col min="15660" max="15872" width="9.140625" style="59"/>
    <col min="15873" max="15873" width="7.85546875" style="59" customWidth="1"/>
    <col min="15874" max="15874" width="12.140625" style="59" customWidth="1"/>
    <col min="15875" max="15875" width="6.28515625" style="59" customWidth="1"/>
    <col min="15876" max="15876" width="11.5703125" style="59" customWidth="1"/>
    <col min="15877" max="15877" width="7.85546875" style="59" customWidth="1"/>
    <col min="15878" max="15878" width="12.28515625" style="59" customWidth="1"/>
    <col min="15879" max="15879" width="5.28515625" style="59" customWidth="1"/>
    <col min="15880" max="15880" width="12.140625" style="59" bestFit="1" customWidth="1"/>
    <col min="15881" max="15881" width="5.7109375" style="59" customWidth="1"/>
    <col min="15882" max="15882" width="11.85546875" style="59" bestFit="1" customWidth="1"/>
    <col min="15883" max="15883" width="8" style="59" customWidth="1"/>
    <col min="15884" max="15884" width="12.5703125" style="59" customWidth="1"/>
    <col min="15885" max="15885" width="9" style="59" customWidth="1"/>
    <col min="15886" max="15886" width="11.7109375" style="59" bestFit="1" customWidth="1"/>
    <col min="15887" max="15887" width="9.42578125" style="59" customWidth="1"/>
    <col min="15888" max="15888" width="4.140625" style="59" customWidth="1"/>
    <col min="15889" max="15889" width="3.28515625" style="59" bestFit="1" customWidth="1"/>
    <col min="15890" max="15890" width="8.85546875" style="59" customWidth="1"/>
    <col min="15891" max="15891" width="10" style="59" bestFit="1" customWidth="1"/>
    <col min="15892" max="15893" width="9.42578125" style="59" customWidth="1"/>
    <col min="15894" max="15894" width="9.5703125" style="59" customWidth="1"/>
    <col min="15895" max="15895" width="9.85546875" style="59" customWidth="1"/>
    <col min="15896" max="15897" width="9.42578125" style="59" customWidth="1"/>
    <col min="15898" max="15898" width="9.85546875" style="59" customWidth="1"/>
    <col min="15899" max="15900" width="9.28515625" style="59" customWidth="1"/>
    <col min="15901" max="15901" width="9.85546875" style="59" customWidth="1"/>
    <col min="15902" max="15902" width="9.28515625" style="59" customWidth="1"/>
    <col min="15903" max="15903" width="10.42578125" style="59" customWidth="1"/>
    <col min="15904" max="15904" width="5.28515625" style="59" bestFit="1" customWidth="1"/>
    <col min="15905" max="15905" width="9.7109375" style="59" bestFit="1" customWidth="1"/>
    <col min="15906" max="15906" width="11" style="59" bestFit="1" customWidth="1"/>
    <col min="15907" max="15907" width="10.85546875" style="59" bestFit="1" customWidth="1"/>
    <col min="15908" max="15908" width="9.140625" style="59"/>
    <col min="15909" max="15909" width="3.85546875" style="59" bestFit="1" customWidth="1"/>
    <col min="15910" max="15910" width="7.28515625" style="59" bestFit="1" customWidth="1"/>
    <col min="15911" max="15913" width="9.140625" style="59"/>
    <col min="15914" max="15914" width="9.28515625" style="59" customWidth="1"/>
    <col min="15915" max="15915" width="9.28515625" style="59" bestFit="1" customWidth="1"/>
    <col min="15916" max="16128" width="9.140625" style="59"/>
    <col min="16129" max="16129" width="7.85546875" style="59" customWidth="1"/>
    <col min="16130" max="16130" width="12.140625" style="59" customWidth="1"/>
    <col min="16131" max="16131" width="6.28515625" style="59" customWidth="1"/>
    <col min="16132" max="16132" width="11.5703125" style="59" customWidth="1"/>
    <col min="16133" max="16133" width="7.85546875" style="59" customWidth="1"/>
    <col min="16134" max="16134" width="12.28515625" style="59" customWidth="1"/>
    <col min="16135" max="16135" width="5.28515625" style="59" customWidth="1"/>
    <col min="16136" max="16136" width="12.140625" style="59" bestFit="1" customWidth="1"/>
    <col min="16137" max="16137" width="5.7109375" style="59" customWidth="1"/>
    <col min="16138" max="16138" width="11.85546875" style="59" bestFit="1" customWidth="1"/>
    <col min="16139" max="16139" width="8" style="59" customWidth="1"/>
    <col min="16140" max="16140" width="12.5703125" style="59" customWidth="1"/>
    <col min="16141" max="16141" width="9" style="59" customWidth="1"/>
    <col min="16142" max="16142" width="11.7109375" style="59" bestFit="1" customWidth="1"/>
    <col min="16143" max="16143" width="9.42578125" style="59" customWidth="1"/>
    <col min="16144" max="16144" width="4.140625" style="59" customWidth="1"/>
    <col min="16145" max="16145" width="3.28515625" style="59" bestFit="1" customWidth="1"/>
    <col min="16146" max="16146" width="8.85546875" style="59" customWidth="1"/>
    <col min="16147" max="16147" width="10" style="59" bestFit="1" customWidth="1"/>
    <col min="16148" max="16149" width="9.42578125" style="59" customWidth="1"/>
    <col min="16150" max="16150" width="9.5703125" style="59" customWidth="1"/>
    <col min="16151" max="16151" width="9.85546875" style="59" customWidth="1"/>
    <col min="16152" max="16153" width="9.42578125" style="59" customWidth="1"/>
    <col min="16154" max="16154" width="9.85546875" style="59" customWidth="1"/>
    <col min="16155" max="16156" width="9.28515625" style="59" customWidth="1"/>
    <col min="16157" max="16157" width="9.85546875" style="59" customWidth="1"/>
    <col min="16158" max="16158" width="9.28515625" style="59" customWidth="1"/>
    <col min="16159" max="16159" width="10.42578125" style="59" customWidth="1"/>
    <col min="16160" max="16160" width="5.28515625" style="59" bestFit="1" customWidth="1"/>
    <col min="16161" max="16161" width="9.7109375" style="59" bestFit="1" customWidth="1"/>
    <col min="16162" max="16162" width="11" style="59" bestFit="1" customWidth="1"/>
    <col min="16163" max="16163" width="10.85546875" style="59" bestFit="1" customWidth="1"/>
    <col min="16164" max="16164" width="9.140625" style="59"/>
    <col min="16165" max="16165" width="3.85546875" style="59" bestFit="1" customWidth="1"/>
    <col min="16166" max="16166" width="7.28515625" style="59" bestFit="1" customWidth="1"/>
    <col min="16167" max="16169" width="9.140625" style="59"/>
    <col min="16170" max="16170" width="9.28515625" style="59" customWidth="1"/>
    <col min="16171" max="16171" width="9.28515625" style="59" bestFit="1" customWidth="1"/>
    <col min="16172" max="16384" width="9.140625" style="59"/>
  </cols>
  <sheetData>
    <row r="1" spans="1:33" x14ac:dyDescent="0.15">
      <c r="A1" s="204"/>
      <c r="B1" s="204"/>
      <c r="C1" s="204"/>
      <c r="D1" s="204"/>
      <c r="E1" s="205" t="s">
        <v>263</v>
      </c>
      <c r="F1" s="204"/>
      <c r="G1" s="204"/>
      <c r="H1" s="204"/>
      <c r="I1" s="204"/>
      <c r="J1" s="204"/>
      <c r="K1" s="204"/>
      <c r="L1" s="204"/>
      <c r="M1" s="204"/>
      <c r="N1" s="204"/>
      <c r="O1" s="204"/>
      <c r="U1" s="107" t="s">
        <v>264</v>
      </c>
    </row>
    <row r="2" spans="1:33" x14ac:dyDescent="0.1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U2" s="107" t="s">
        <v>265</v>
      </c>
    </row>
    <row r="3" spans="1:33" x14ac:dyDescent="0.15">
      <c r="A3" s="206" t="s">
        <v>266</v>
      </c>
      <c r="B3" s="697" t="s">
        <v>267</v>
      </c>
      <c r="C3" s="697"/>
      <c r="D3" s="697"/>
      <c r="E3" s="697"/>
      <c r="F3" s="697"/>
      <c r="G3" s="697"/>
      <c r="H3" s="697"/>
      <c r="I3" s="697"/>
      <c r="J3" s="697"/>
      <c r="K3" s="697"/>
      <c r="L3" s="697" t="s">
        <v>268</v>
      </c>
      <c r="M3" s="697"/>
      <c r="N3" s="698" t="s">
        <v>269</v>
      </c>
      <c r="O3" s="699"/>
      <c r="P3" s="207"/>
      <c r="Q3" s="95" t="s">
        <v>130</v>
      </c>
      <c r="R3" s="208" t="s">
        <v>131</v>
      </c>
      <c r="S3" s="95" t="s">
        <v>270</v>
      </c>
      <c r="T3" s="95" t="s">
        <v>271</v>
      </c>
      <c r="U3" s="95" t="s">
        <v>272</v>
      </c>
      <c r="V3" s="95" t="s">
        <v>273</v>
      </c>
      <c r="W3" s="95" t="s">
        <v>274</v>
      </c>
      <c r="X3" s="95" t="s">
        <v>275</v>
      </c>
      <c r="Y3" s="95" t="s">
        <v>276</v>
      </c>
      <c r="Z3" s="95" t="s">
        <v>277</v>
      </c>
      <c r="AA3" s="95" t="s">
        <v>278</v>
      </c>
      <c r="AB3" s="95" t="s">
        <v>279</v>
      </c>
      <c r="AC3" s="95" t="s">
        <v>280</v>
      </c>
      <c r="AD3" s="95" t="s">
        <v>281</v>
      </c>
      <c r="AE3" s="95" t="s">
        <v>282</v>
      </c>
    </row>
    <row r="4" spans="1:33" s="87" customFormat="1" x14ac:dyDescent="0.15">
      <c r="A4" s="209" t="s">
        <v>283</v>
      </c>
      <c r="B4" s="209">
        <v>2016</v>
      </c>
      <c r="C4" s="210" t="s">
        <v>284</v>
      </c>
      <c r="D4" s="209">
        <v>2017</v>
      </c>
      <c r="E4" s="209"/>
      <c r="F4" s="209">
        <v>2018</v>
      </c>
      <c r="G4" s="210" t="s">
        <v>284</v>
      </c>
      <c r="H4" s="209">
        <v>2019</v>
      </c>
      <c r="I4" s="210" t="s">
        <v>284</v>
      </c>
      <c r="J4" s="209">
        <v>2020</v>
      </c>
      <c r="K4" s="209" t="s">
        <v>284</v>
      </c>
      <c r="L4" s="209">
        <v>2021</v>
      </c>
      <c r="M4" s="209" t="s">
        <v>284</v>
      </c>
      <c r="N4" s="209">
        <v>2022</v>
      </c>
      <c r="O4" s="209">
        <v>2023</v>
      </c>
      <c r="P4" s="63"/>
      <c r="Q4" s="95">
        <v>1</v>
      </c>
      <c r="R4" s="102" t="s">
        <v>134</v>
      </c>
      <c r="S4" s="45">
        <f>4189000/12</f>
        <v>349083.33333333331</v>
      </c>
      <c r="T4" s="45">
        <f t="shared" ref="T4:AD4" si="0">4189000/12</f>
        <v>349083.33333333331</v>
      </c>
      <c r="U4" s="45">
        <f t="shared" si="0"/>
        <v>349083.33333333331</v>
      </c>
      <c r="V4" s="45">
        <f t="shared" si="0"/>
        <v>349083.33333333331</v>
      </c>
      <c r="W4" s="45">
        <f t="shared" si="0"/>
        <v>349083.33333333331</v>
      </c>
      <c r="X4" s="45">
        <f t="shared" si="0"/>
        <v>349083.33333333331</v>
      </c>
      <c r="Y4" s="45">
        <f t="shared" si="0"/>
        <v>349083.33333333331</v>
      </c>
      <c r="Z4" s="45">
        <f t="shared" si="0"/>
        <v>349083.33333333331</v>
      </c>
      <c r="AA4" s="45">
        <f t="shared" si="0"/>
        <v>349083.33333333331</v>
      </c>
      <c r="AB4" s="45">
        <f t="shared" si="0"/>
        <v>349083.33333333331</v>
      </c>
      <c r="AC4" s="45">
        <f t="shared" si="0"/>
        <v>349083.33333333331</v>
      </c>
      <c r="AD4" s="45">
        <f t="shared" si="0"/>
        <v>349083.33333333331</v>
      </c>
      <c r="AE4" s="45">
        <f>SUM(S4:AD4)</f>
        <v>4189000.0000000005</v>
      </c>
      <c r="AF4" s="211">
        <f>AE4/$AE$20</f>
        <v>2.9840898586058283E-2</v>
      </c>
      <c r="AG4" s="212"/>
    </row>
    <row r="5" spans="1:33" x14ac:dyDescent="0.15">
      <c r="A5" s="206" t="s">
        <v>118</v>
      </c>
      <c r="B5" s="45">
        <f>14399728.14-6630054.7</f>
        <v>7769673.4400000004</v>
      </c>
      <c r="C5" s="213">
        <f>B5/B17</f>
        <v>8.4389930254241394E-2</v>
      </c>
      <c r="D5" s="45">
        <v>8128227.1699999999</v>
      </c>
      <c r="E5" s="213">
        <f>D5/D17</f>
        <v>7.7766631965007368E-2</v>
      </c>
      <c r="F5" s="45">
        <v>7522241.2699999996</v>
      </c>
      <c r="G5" s="213">
        <f>F5/F17</f>
        <v>7.9831482089003813E-2</v>
      </c>
      <c r="H5" s="45">
        <v>10690469.82</v>
      </c>
      <c r="I5" s="213">
        <f>H5/H17</f>
        <v>9.2128811723208082E-2</v>
      </c>
      <c r="J5" s="45">
        <v>10229896.279999999</v>
      </c>
      <c r="K5" s="213">
        <f>J5/J17</f>
        <v>8.258854573464873E-2</v>
      </c>
      <c r="L5" s="45">
        <v>11654886.960000001</v>
      </c>
      <c r="M5" s="213">
        <f>L5/L17</f>
        <v>8.3025137216384368E-2</v>
      </c>
      <c r="N5" s="214">
        <f>((F5+H5+J5+L5)/3.15)-354050.16</f>
        <v>12375313.119365079</v>
      </c>
      <c r="O5" s="214">
        <f>(H5+J5+L5+N5)/3.15</f>
        <v>14270021.009322248</v>
      </c>
      <c r="P5" s="215"/>
      <c r="Q5" s="95">
        <v>2</v>
      </c>
      <c r="R5" s="102" t="s">
        <v>135</v>
      </c>
      <c r="S5" s="216">
        <f>2321581.45*M5</f>
        <v>192749.6184452626</v>
      </c>
      <c r="T5" s="216">
        <f>2321581.45*M6</f>
        <v>196936.61091852901</v>
      </c>
      <c r="U5" s="216">
        <f>2321581.45*M7</f>
        <v>184177.54439341681</v>
      </c>
      <c r="V5" s="216">
        <f>2321581.45*M8</f>
        <v>191029.56501157704</v>
      </c>
      <c r="W5" s="216">
        <f>2321581.45*M9</f>
        <v>188976.50552174228</v>
      </c>
      <c r="X5" s="216">
        <f>2321581.45*M10</f>
        <v>171768.80709248682</v>
      </c>
      <c r="Y5" s="216">
        <f>2321581.45*M11</f>
        <v>200982.46253396393</v>
      </c>
      <c r="Z5" s="216">
        <f>2321581.45*M12</f>
        <v>175552.84605757133</v>
      </c>
      <c r="AA5" s="216">
        <f>2321581.45*M13</f>
        <v>173706.7347232232</v>
      </c>
      <c r="AB5" s="216">
        <f>2321581.45*M14</f>
        <v>188600.42831457994</v>
      </c>
      <c r="AC5" s="216">
        <f>2321581.45*M15</f>
        <v>176054.68560077678</v>
      </c>
      <c r="AD5" s="216">
        <f>2321581.45*M16</f>
        <v>281045.64138687</v>
      </c>
      <c r="AE5" s="45">
        <f>SUM(S5:AD5)</f>
        <v>2321581.4499999993</v>
      </c>
      <c r="AF5" s="211">
        <f t="shared" ref="AF5:AF19" si="1">AE5/$AE$20</f>
        <v>1.6538094201175486E-2</v>
      </c>
    </row>
    <row r="6" spans="1:33" x14ac:dyDescent="0.15">
      <c r="A6" s="206" t="s">
        <v>119</v>
      </c>
      <c r="B6" s="45">
        <v>6630054.7000000002</v>
      </c>
      <c r="C6" s="213">
        <f>B6/B17</f>
        <v>7.2012016725738384E-2</v>
      </c>
      <c r="D6" s="45">
        <v>8406126.3200000003</v>
      </c>
      <c r="E6" s="213">
        <f>D6/D17</f>
        <v>8.0425425877805753E-2</v>
      </c>
      <c r="F6" s="45">
        <f>7197732.78</f>
        <v>7197732.7800000003</v>
      </c>
      <c r="G6" s="213">
        <f>F6/F17</f>
        <v>7.6387562547299906E-2</v>
      </c>
      <c r="H6" s="45">
        <f>8384491.75</f>
        <v>8384491.75</v>
      </c>
      <c r="I6" s="213">
        <f>H6/H17</f>
        <v>7.2256250177650416E-2</v>
      </c>
      <c r="J6" s="45">
        <f>10875208.14</f>
        <v>10875208.140000001</v>
      </c>
      <c r="K6" s="213">
        <f>J6/J17</f>
        <v>8.7798311953580663E-2</v>
      </c>
      <c r="L6" s="45">
        <v>11908059.57</v>
      </c>
      <c r="M6" s="213">
        <f>L6/L17</f>
        <v>8.4828645972567104E-2</v>
      </c>
      <c r="N6" s="214">
        <f t="shared" ref="N6:N16" si="2">(F6+H6+J6+L6)/3.15</f>
        <v>12179521.346031748</v>
      </c>
      <c r="O6" s="214">
        <f>(H6+J6+L6+N6)/3.15</f>
        <v>13761041.525724364</v>
      </c>
      <c r="P6" s="215"/>
      <c r="Q6" s="95">
        <v>3</v>
      </c>
      <c r="R6" s="102" t="s">
        <v>136</v>
      </c>
      <c r="S6" s="216">
        <f>1262392.3*M5</f>
        <v>104810.29392840706</v>
      </c>
      <c r="T6" s="216">
        <f>1262392.3*M6</f>
        <v>107087.02949519473</v>
      </c>
      <c r="U6" s="216">
        <f>1262392.3*M7</f>
        <v>100149.10908043203</v>
      </c>
      <c r="V6" s="216">
        <f>1262392.3*M8</f>
        <v>103874.99087872375</v>
      </c>
      <c r="W6" s="216">
        <f>1262392.3*M9</f>
        <v>102758.61114050292</v>
      </c>
      <c r="X6" s="216">
        <f>1262392.3*M10</f>
        <v>93401.685068486724</v>
      </c>
      <c r="Y6" s="216">
        <f>1262392.3*M11</f>
        <v>109287.01775159108</v>
      </c>
      <c r="Z6" s="216">
        <f>1262392.3*M12</f>
        <v>95459.309043912013</v>
      </c>
      <c r="AA6" s="216">
        <f>1262392.3*M13</f>
        <v>94455.460252208504</v>
      </c>
      <c r="AB6" s="216">
        <f>1262392.3*M14</f>
        <v>102554.11391275017</v>
      </c>
      <c r="AC6" s="216">
        <f>1262392.3*M15</f>
        <v>95732.191296299963</v>
      </c>
      <c r="AD6" s="216">
        <f>1262392.3*M16</f>
        <v>152822.48815149086</v>
      </c>
      <c r="AE6" s="45">
        <f t="shared" ref="AE6:AE18" si="3">SUM(S6:AD6)</f>
        <v>1262392.2999999998</v>
      </c>
      <c r="AF6" s="211">
        <f t="shared" si="1"/>
        <v>8.9928194318741606E-3</v>
      </c>
    </row>
    <row r="7" spans="1:33" x14ac:dyDescent="0.15">
      <c r="A7" s="206" t="s">
        <v>120</v>
      </c>
      <c r="B7" s="45">
        <v>6582277.29</v>
      </c>
      <c r="C7" s="213">
        <f>B7/B17</f>
        <v>7.1493084710285718E-2</v>
      </c>
      <c r="D7" s="45">
        <f>8078817.9</f>
        <v>8078817.9000000004</v>
      </c>
      <c r="E7" s="213">
        <f>D7/D17</f>
        <v>7.7293909877473782E-2</v>
      </c>
      <c r="F7" s="45">
        <v>7899052.6200000001</v>
      </c>
      <c r="G7" s="213">
        <f>F7/F17</f>
        <v>8.3830477529156511E-2</v>
      </c>
      <c r="H7" s="45">
        <v>8599525.3800000008</v>
      </c>
      <c r="I7" s="213">
        <f>H7/H17</f>
        <v>7.4109376667504542E-2</v>
      </c>
      <c r="J7" s="45">
        <v>9752914.3900000006</v>
      </c>
      <c r="K7" s="213">
        <f>J7/J17</f>
        <v>7.8737750031677628E-2</v>
      </c>
      <c r="L7" s="214">
        <f>((D7+F7+H7+J7)/3.15)+238052.79</f>
        <v>11136563.993174603</v>
      </c>
      <c r="M7" s="213">
        <f>L7/L17</f>
        <v>7.9332794631614925E-2</v>
      </c>
      <c r="N7" s="214">
        <f t="shared" si="2"/>
        <v>11869224.24862686</v>
      </c>
      <c r="O7" s="214">
        <f t="shared" ref="O7:O16" si="4">(H7+J7+L7+N7)/3.15</f>
        <v>13129596.194222689</v>
      </c>
      <c r="P7" s="215"/>
      <c r="Q7" s="95">
        <v>4</v>
      </c>
      <c r="R7" s="102" t="s">
        <v>137</v>
      </c>
      <c r="S7" s="216">
        <f>1831204.8*M5</f>
        <v>152036.0297913017</v>
      </c>
      <c r="T7" s="216">
        <f>1831204.8*M6</f>
        <v>155338.62368246555</v>
      </c>
      <c r="U7" s="216">
        <f>1831204.8*M7</f>
        <v>145274.5943268275</v>
      </c>
      <c r="V7" s="216">
        <f>1831204.8*M8</f>
        <v>150679.29509477771</v>
      </c>
      <c r="W7" s="216">
        <f>1831204.8*M9</f>
        <v>149059.89363355783</v>
      </c>
      <c r="X7" s="216">
        <f>1831204.8*M10</f>
        <v>135486.89581321212</v>
      </c>
      <c r="Y7" s="216">
        <f>1831204.8*M11</f>
        <v>158529.88923047041</v>
      </c>
      <c r="Z7" s="216">
        <f>1831204.8*M12</f>
        <v>138471.65015652828</v>
      </c>
      <c r="AA7" s="216">
        <f>1831204.8*M13</f>
        <v>137015.48417243469</v>
      </c>
      <c r="AB7" s="216">
        <f>1831204.8*M14</f>
        <v>148763.25343300562</v>
      </c>
      <c r="AC7" s="216">
        <f>1831204.8*M15</f>
        <v>138867.48851074482</v>
      </c>
      <c r="AD7" s="216">
        <f>1831204.8*M16</f>
        <v>221681.70215467346</v>
      </c>
      <c r="AE7" s="45">
        <f t="shared" si="3"/>
        <v>1831204.7999999998</v>
      </c>
      <c r="AF7" s="211">
        <f t="shared" si="1"/>
        <v>1.3044830920769428E-2</v>
      </c>
    </row>
    <row r="8" spans="1:33" x14ac:dyDescent="0.15">
      <c r="A8" s="206" t="s">
        <v>121</v>
      </c>
      <c r="B8" s="45">
        <v>7609123.75</v>
      </c>
      <c r="C8" s="213">
        <f>B8/B17</f>
        <v>8.2646127603323266E-2</v>
      </c>
      <c r="D8" s="45">
        <v>8695190.5800000001</v>
      </c>
      <c r="E8" s="213">
        <f>D8/D17</f>
        <v>8.3191041731238799E-2</v>
      </c>
      <c r="F8" s="45">
        <v>7799663.9400000004</v>
      </c>
      <c r="G8" s="213">
        <f>F8/F17</f>
        <v>8.2775692745941265E-2</v>
      </c>
      <c r="H8" s="45">
        <f>10080023.23</f>
        <v>10080023.23</v>
      </c>
      <c r="I8" s="213">
        <f>H8/H17</f>
        <v>8.6868077639101718E-2</v>
      </c>
      <c r="J8" s="45">
        <f>9810398.72</f>
        <v>9810398.7200000007</v>
      </c>
      <c r="K8" s="213">
        <f>J8/J17</f>
        <v>7.9201835598851203E-2</v>
      </c>
      <c r="L8" s="214">
        <f>((D8+F8+H8+J8)/3.15)</f>
        <v>11550881.419047618</v>
      </c>
      <c r="M8" s="213">
        <f>L8/L17</f>
        <v>8.228423991395048E-2</v>
      </c>
      <c r="N8" s="214">
        <f t="shared" si="2"/>
        <v>12457449.939380197</v>
      </c>
      <c r="O8" s="214">
        <f t="shared" si="4"/>
        <v>13936112.161405656</v>
      </c>
      <c r="P8" s="215"/>
      <c r="Q8" s="95">
        <v>5</v>
      </c>
      <c r="R8" s="102" t="s">
        <v>138</v>
      </c>
      <c r="S8" s="216">
        <f>7750365.63*M5</f>
        <v>643475.16990789922</v>
      </c>
      <c r="T8" s="216">
        <f>7750365.63*M6</f>
        <v>657453.02218522201</v>
      </c>
      <c r="U8" s="216">
        <f>7750365.63*M7</f>
        <v>614858.16484471678</v>
      </c>
      <c r="V8" s="216">
        <f>7750365.63*M8</f>
        <v>637732.94491975592</v>
      </c>
      <c r="W8" s="216">
        <f>7750365.63*M9</f>
        <v>630879.01278381445</v>
      </c>
      <c r="X8" s="216">
        <f>7750365.63*M10</f>
        <v>573432.84630212304</v>
      </c>
      <c r="Y8" s="216">
        <f>7750365.63*M11</f>
        <v>670959.68993721786</v>
      </c>
      <c r="Z8" s="216">
        <f>7750365.63*M12</f>
        <v>586065.47891450534</v>
      </c>
      <c r="AA8" s="216">
        <f>7750365.63*M13</f>
        <v>579902.42233301641</v>
      </c>
      <c r="AB8" s="216">
        <f>7750365.63*M14</f>
        <v>629623.51694040245</v>
      </c>
      <c r="AC8" s="216">
        <f>7750365.63*M15</f>
        <v>587740.81963857694</v>
      </c>
      <c r="AD8" s="216">
        <f>7750365.63*M16</f>
        <v>938242.54129274783</v>
      </c>
      <c r="AE8" s="45">
        <f t="shared" si="3"/>
        <v>7750365.629999998</v>
      </c>
      <c r="AF8" s="211">
        <f t="shared" si="1"/>
        <v>5.5210760269682892E-2</v>
      </c>
    </row>
    <row r="9" spans="1:33" x14ac:dyDescent="0.15">
      <c r="A9" s="206" t="s">
        <v>285</v>
      </c>
      <c r="B9" s="45">
        <v>7587298.8799999999</v>
      </c>
      <c r="C9" s="213">
        <f>B9/B17</f>
        <v>8.2409077839091752E-2</v>
      </c>
      <c r="D9" s="45">
        <f>8219532.42</f>
        <v>8219532.4199999999</v>
      </c>
      <c r="E9" s="213">
        <f>D9/D17</f>
        <v>7.8640192905753442E-2</v>
      </c>
      <c r="F9" s="45">
        <f>7664973.99</f>
        <v>7664973.9900000002</v>
      </c>
      <c r="G9" s="213">
        <f>F9/F17</f>
        <v>8.1346265272792179E-2</v>
      </c>
      <c r="H9" s="45">
        <f>9454030.45</f>
        <v>9454030.4499999993</v>
      </c>
      <c r="I9" s="213">
        <f>H9/H17</f>
        <v>8.1473368899471446E-2</v>
      </c>
      <c r="J9" s="45">
        <f>10655694.71</f>
        <v>10655694.710000001</v>
      </c>
      <c r="K9" s="213">
        <f>J9/J17</f>
        <v>8.6026124391095957E-2</v>
      </c>
      <c r="L9" s="214">
        <f t="shared" ref="L9:L16" si="5">((D9+F9+H9+J9)/3.15)</f>
        <v>11426740.180952381</v>
      </c>
      <c r="M9" s="213">
        <f>L9/L17</f>
        <v>8.139990329511905E-2</v>
      </c>
      <c r="N9" s="214">
        <f t="shared" si="2"/>
        <v>12444901.374905517</v>
      </c>
      <c r="O9" s="214">
        <f>((H9+J9+L9+N9)/3.15)-5409.33</f>
        <v>13956929.309954889</v>
      </c>
      <c r="P9" s="215"/>
      <c r="Q9" s="95">
        <v>6</v>
      </c>
      <c r="R9" s="102" t="s">
        <v>139</v>
      </c>
      <c r="S9" s="216">
        <f>3547551.94*M5</f>
        <v>294535.98660075053</v>
      </c>
      <c r="T9" s="216">
        <f>3547551.94*M6</f>
        <v>300934.0275875536</v>
      </c>
      <c r="U9" s="216">
        <f>3547551.94*M7</f>
        <v>281437.20950100711</v>
      </c>
      <c r="V9" s="216">
        <f>3547551.94*M8</f>
        <v>291907.61493816046</v>
      </c>
      <c r="W9" s="216">
        <f>3547551.94*M9</f>
        <v>288770.38485041197</v>
      </c>
      <c r="X9" s="216">
        <f>3547551.94*M10</f>
        <v>262475.72094980226</v>
      </c>
      <c r="Y9" s="216">
        <f>3547551.94*M11</f>
        <v>307116.39467499236</v>
      </c>
      <c r="Z9" s="216">
        <f>3547551.94*M12</f>
        <v>268258.01851753186</v>
      </c>
      <c r="AA9" s="216">
        <f>3547551.94*M13</f>
        <v>265437.02085422666</v>
      </c>
      <c r="AB9" s="216">
        <f>3547551.94*M14</f>
        <v>288195.7104508304</v>
      </c>
      <c r="AC9" s="216">
        <f>3547551.94*M15</f>
        <v>269024.86727274879</v>
      </c>
      <c r="AD9" s="216">
        <f>3547551.94*M16</f>
        <v>429458.98380198324</v>
      </c>
      <c r="AE9" s="45">
        <f t="shared" si="3"/>
        <v>3547551.939999999</v>
      </c>
      <c r="AF9" s="211">
        <f t="shared" si="1"/>
        <v>2.5271458025856834E-2</v>
      </c>
    </row>
    <row r="10" spans="1:33" x14ac:dyDescent="0.15">
      <c r="A10" s="206" t="s">
        <v>286</v>
      </c>
      <c r="B10" s="45">
        <v>6475322.6299999999</v>
      </c>
      <c r="C10" s="213">
        <f>B10/B17</f>
        <v>7.033140187155805E-2</v>
      </c>
      <c r="D10" s="45">
        <v>7486671.6799999997</v>
      </c>
      <c r="E10" s="213">
        <f>D10/D17</f>
        <v>7.1628564138839571E-2</v>
      </c>
      <c r="F10" s="45">
        <f>7453635.72+55.15</f>
        <v>7453690.8700000001</v>
      </c>
      <c r="G10" s="213">
        <f>F10/F17</f>
        <v>7.9103975507738039E-2</v>
      </c>
      <c r="H10" s="45">
        <f>8906802.9</f>
        <v>8906802.9000000004</v>
      </c>
      <c r="I10" s="213">
        <f>H10/H17</f>
        <v>7.6757446702171578E-2</v>
      </c>
      <c r="J10" s="45">
        <f>8869527.04</f>
        <v>8869527.0399999991</v>
      </c>
      <c r="K10" s="213">
        <f>J10/J17</f>
        <v>7.1605940034784363E-2</v>
      </c>
      <c r="L10" s="214">
        <f t="shared" si="5"/>
        <v>10386251.584126985</v>
      </c>
      <c r="M10" s="213">
        <f>L10/L17</f>
        <v>7.3987844403428885E-2</v>
      </c>
      <c r="N10" s="214">
        <f t="shared" si="2"/>
        <v>11306753.140992694</v>
      </c>
      <c r="O10" s="214">
        <f t="shared" si="4"/>
        <v>12529947.512736406</v>
      </c>
      <c r="P10" s="215"/>
      <c r="Q10" s="95">
        <v>7</v>
      </c>
      <c r="R10" s="102" t="s">
        <v>140</v>
      </c>
      <c r="S10" s="216">
        <f>1229036.08*M5</f>
        <v>102040.88918588716</v>
      </c>
      <c r="T10" s="216">
        <f>1229036.08*M6</f>
        <v>104257.46651783166</v>
      </c>
      <c r="U10" s="216">
        <f>1229036.08*M7</f>
        <v>97502.866929485055</v>
      </c>
      <c r="V10" s="216">
        <f>1229036.08*M8</f>
        <v>101130.29966962124</v>
      </c>
      <c r="W10" s="216">
        <f>1229036.08*M9</f>
        <v>100043.41805821221</v>
      </c>
      <c r="X10" s="216">
        <f>1229036.08*M10</f>
        <v>90933.730253240181</v>
      </c>
      <c r="Y10" s="216">
        <f>1229036.08*M11</f>
        <v>106399.32443528522</v>
      </c>
      <c r="Z10" s="216">
        <f>1229036.08*M12</f>
        <v>92936.985584305439</v>
      </c>
      <c r="AA10" s="216">
        <f>1229036.08*M13</f>
        <v>91959.661511695027</v>
      </c>
      <c r="AB10" s="216">
        <f>1229036.08*M14</f>
        <v>99844.324265285773</v>
      </c>
      <c r="AC10" s="216">
        <f>1229036.08*M15</f>
        <v>93202.657462830393</v>
      </c>
      <c r="AD10" s="216">
        <f>1229036.08*M16</f>
        <v>148784.45612632047</v>
      </c>
      <c r="AE10" s="45">
        <f t="shared" si="3"/>
        <v>1229036.0799999996</v>
      </c>
      <c r="AF10" s="211">
        <f t="shared" si="1"/>
        <v>8.7552019627325384E-3</v>
      </c>
    </row>
    <row r="11" spans="1:33" x14ac:dyDescent="0.15">
      <c r="A11" s="206" t="s">
        <v>287</v>
      </c>
      <c r="B11" s="45">
        <v>6763469.2400000002</v>
      </c>
      <c r="C11" s="213">
        <f>B11/B17</f>
        <v>7.3461092264426889E-2</v>
      </c>
      <c r="D11" s="45">
        <v>9406077.1500000004</v>
      </c>
      <c r="E11" s="213">
        <f>D11/D17</f>
        <v>8.999243311730859E-2</v>
      </c>
      <c r="F11" s="45">
        <v>8077958.0199999996</v>
      </c>
      <c r="G11" s="213">
        <f>F11/F17</f>
        <v>8.57291514380467E-2</v>
      </c>
      <c r="H11" s="45">
        <v>9979327.3900000006</v>
      </c>
      <c r="I11" s="213">
        <f>H11/H17</f>
        <v>8.6000296499369702E-2</v>
      </c>
      <c r="J11" s="45">
        <f>10817635.8</f>
        <v>10817635.800000001</v>
      </c>
      <c r="K11" s="213">
        <f>J11/J17</f>
        <v>8.7333515859368382E-2</v>
      </c>
      <c r="L11" s="214">
        <f t="shared" si="5"/>
        <v>12152697.892063493</v>
      </c>
      <c r="M11" s="213">
        <f>L11/L17</f>
        <v>8.6571359593678662E-2</v>
      </c>
      <c r="N11" s="214">
        <f t="shared" si="2"/>
        <v>13024640.984782061</v>
      </c>
      <c r="O11" s="214">
        <f t="shared" si="4"/>
        <v>14595016.52915732</v>
      </c>
      <c r="P11" s="215"/>
      <c r="Q11" s="95">
        <v>8</v>
      </c>
      <c r="R11" s="102" t="s">
        <v>141</v>
      </c>
      <c r="S11" s="216">
        <f>12475764.3*M5</f>
        <v>1035802.0428867695</v>
      </c>
      <c r="T11" s="216">
        <f>12475764.3*M6</f>
        <v>1058302.1930418916</v>
      </c>
      <c r="U11" s="216">
        <f>12475764.3*M7</f>
        <v>989737.24708433321</v>
      </c>
      <c r="V11" s="216">
        <f>12475764.3*M8</f>
        <v>1026558.7827710985</v>
      </c>
      <c r="W11" s="216">
        <f>12475764.3*M9</f>
        <v>1015526.0075526987</v>
      </c>
      <c r="X11" s="216">
        <f>12475764.3*M10</f>
        <v>923054.90784225299</v>
      </c>
      <c r="Y11" s="216">
        <f>12475764.3*M11</f>
        <v>1080043.8774212787</v>
      </c>
      <c r="Z11" s="216">
        <f>12475764.3*M12</f>
        <v>943389.65777334408</v>
      </c>
      <c r="AA11" s="216">
        <f>12475764.3*M13</f>
        <v>933468.98500139138</v>
      </c>
      <c r="AB11" s="216">
        <f>12475764.3*M14</f>
        <v>1013505.0357728115</v>
      </c>
      <c r="AC11" s="216">
        <f>12475764.3*M15</f>
        <v>946086.45389800763</v>
      </c>
      <c r="AD11" s="216">
        <f>12475764.3*M16</f>
        <v>1510289.1089541204</v>
      </c>
      <c r="AE11" s="45">
        <f t="shared" si="3"/>
        <v>12475764.299999997</v>
      </c>
      <c r="AF11" s="211">
        <f t="shared" si="1"/>
        <v>8.8872766115986226E-2</v>
      </c>
    </row>
    <row r="12" spans="1:33" x14ac:dyDescent="0.15">
      <c r="A12" s="206" t="s">
        <v>288</v>
      </c>
      <c r="B12" s="45">
        <v>6706244.7400000002</v>
      </c>
      <c r="C12" s="213">
        <f>B12/B17</f>
        <v>7.2839551140320924E-2</v>
      </c>
      <c r="D12" s="45">
        <f>7641217.97</f>
        <v>7641217.9699999997</v>
      </c>
      <c r="E12" s="213">
        <f>D12/D17</f>
        <v>7.3107182317763739E-2</v>
      </c>
      <c r="F12" s="45">
        <v>7400073.3700000001</v>
      </c>
      <c r="G12" s="213">
        <f>F12/F17</f>
        <v>7.8534947695777527E-2</v>
      </c>
      <c r="H12" s="45">
        <v>8879675.7799999993</v>
      </c>
      <c r="I12" s="213">
        <f>H12/H17</f>
        <v>7.6523669387128096E-2</v>
      </c>
      <c r="J12" s="45">
        <f>9516468.8</f>
        <v>9516468.8000000007</v>
      </c>
      <c r="K12" s="213">
        <f>J12/J17</f>
        <v>7.6828864849562084E-2</v>
      </c>
      <c r="L12" s="214">
        <f t="shared" si="5"/>
        <v>10615059.022222223</v>
      </c>
      <c r="M12" s="213">
        <f>L12/L17</f>
        <v>7.5617784617279443E-2</v>
      </c>
      <c r="N12" s="214">
        <f t="shared" si="2"/>
        <v>11559135.546737215</v>
      </c>
      <c r="O12" s="214">
        <f t="shared" si="4"/>
        <v>12879472.745701408</v>
      </c>
      <c r="P12" s="215"/>
      <c r="Q12" s="95">
        <v>9</v>
      </c>
      <c r="R12" s="102" t="s">
        <v>142</v>
      </c>
      <c r="S12" s="216">
        <f>38964505.89*M5</f>
        <v>3235033.4480858669</v>
      </c>
      <c r="T12" s="216">
        <f>38964505.89*M6</f>
        <v>3305306.2756388159</v>
      </c>
      <c r="U12" s="216">
        <f>38964505.89*M7</f>
        <v>3091163.14369372</v>
      </c>
      <c r="V12" s="216">
        <f>38964505.89*M8</f>
        <v>3206164.7507812968</v>
      </c>
      <c r="W12" s="216">
        <f>38964505.89*M9</f>
        <v>3171707.0113880965</v>
      </c>
      <c r="X12" s="216">
        <f>38964505.89*M10</f>
        <v>2882899.7990458081</v>
      </c>
      <c r="Y12" s="216">
        <f>38964505.89*M11</f>
        <v>3373210.2507932005</v>
      </c>
      <c r="Z12" s="216">
        <f>38964505.89*M12</f>
        <v>2946409.6141087362</v>
      </c>
      <c r="AA12" s="216">
        <f>38964505.89*M13</f>
        <v>2915425.2108000335</v>
      </c>
      <c r="AB12" s="216">
        <f>38964505.89*M14</f>
        <v>3165395.0801166045</v>
      </c>
      <c r="AC12" s="216">
        <f>38964505.89*M15</f>
        <v>2954832.2907445543</v>
      </c>
      <c r="AD12" s="216">
        <f>38964505.89*M16</f>
        <v>4716959.0148032596</v>
      </c>
      <c r="AE12" s="45">
        <f t="shared" si="3"/>
        <v>38964505.889999993</v>
      </c>
      <c r="AF12" s="211">
        <f t="shared" si="1"/>
        <v>0.27756883951285755</v>
      </c>
    </row>
    <row r="13" spans="1:33" x14ac:dyDescent="0.15">
      <c r="A13" s="206" t="s">
        <v>289</v>
      </c>
      <c r="B13" s="45">
        <v>7994407.7000000002</v>
      </c>
      <c r="C13" s="213">
        <f>B13/B17</f>
        <v>8.6830870491124562E-2</v>
      </c>
      <c r="D13" s="45">
        <v>7402995.8799999999</v>
      </c>
      <c r="E13" s="213">
        <f>D13/D17</f>
        <v>7.0827997790621031E-2</v>
      </c>
      <c r="F13" s="45">
        <f>6729771.56</f>
        <v>6729771.5599999996</v>
      </c>
      <c r="G13" s="213">
        <f>F13/F17</f>
        <v>7.1421218553287272E-2</v>
      </c>
      <c r="H13" s="45">
        <f>8643003.18</f>
        <v>8643003.1799999997</v>
      </c>
      <c r="I13" s="213">
        <f>H13/H17</f>
        <v>7.4484061608183716E-2</v>
      </c>
      <c r="J13" s="45">
        <f>10310037.68</f>
        <v>10310037.68</v>
      </c>
      <c r="K13" s="213">
        <f>J13/J17</f>
        <v>8.3235547571028926E-2</v>
      </c>
      <c r="L13" s="214">
        <f t="shared" si="5"/>
        <v>10503431.206349205</v>
      </c>
      <c r="M13" s="213">
        <f>L13/L17</f>
        <v>7.4822589025779471E-2</v>
      </c>
      <c r="N13" s="214">
        <f t="shared" si="2"/>
        <v>11487696.389317207</v>
      </c>
      <c r="O13" s="214">
        <f>(H13+J13+L13+N13)/3.15</f>
        <v>12998148.716084573</v>
      </c>
      <c r="P13" s="215"/>
      <c r="Q13" s="95">
        <v>10</v>
      </c>
      <c r="R13" s="102" t="s">
        <v>290</v>
      </c>
      <c r="S13" s="216">
        <f>27215844.71*M5</f>
        <v>2259599.2415075586</v>
      </c>
      <c r="T13" s="216">
        <f>27215844.71*M6</f>
        <v>2308683.2557489532</v>
      </c>
      <c r="U13" s="216">
        <f>27215844.71*M7</f>
        <v>2159109.0191043536</v>
      </c>
      <c r="V13" s="216">
        <f>27215844.71*M8</f>
        <v>2239435.09557846</v>
      </c>
      <c r="W13" s="216">
        <f>27215844.71*M9</f>
        <v>2215367.1274889773</v>
      </c>
      <c r="X13" s="216">
        <f>27215844.71*M10</f>
        <v>2013641.6837113632</v>
      </c>
      <c r="Y13" s="216">
        <f>27215844.71*M11</f>
        <v>2356112.6790351272</v>
      </c>
      <c r="Z13" s="216">
        <f>27215844.71*M12</f>
        <v>2058001.8834581042</v>
      </c>
      <c r="AA13" s="216">
        <f>27215844.71*M13</f>
        <v>2036359.9637257643</v>
      </c>
      <c r="AB13" s="216">
        <f>27215844.71*M14</f>
        <v>2210958.3832387594</v>
      </c>
      <c r="AC13" s="216">
        <f>27215844.71*M15</f>
        <v>2063884.9366144845</v>
      </c>
      <c r="AD13" s="216">
        <f>27215844.71*M16</f>
        <v>3294691.4407880898</v>
      </c>
      <c r="AE13" s="45">
        <f t="shared" si="3"/>
        <v>27215844.709999997</v>
      </c>
      <c r="AF13" s="211">
        <f t="shared" si="1"/>
        <v>0.19387568916806414</v>
      </c>
    </row>
    <row r="14" spans="1:33" x14ac:dyDescent="0.15">
      <c r="A14" s="206" t="s">
        <v>291</v>
      </c>
      <c r="B14" s="45">
        <v>8256815.9400000004</v>
      </c>
      <c r="C14" s="213">
        <f>B14/B17</f>
        <v>8.9681004829812838E-2</v>
      </c>
      <c r="D14" s="45">
        <v>9451675.9000000004</v>
      </c>
      <c r="E14" s="213">
        <f>D14/D17</f>
        <v>9.0428698139822031E-2</v>
      </c>
      <c r="F14" s="45">
        <f>7115297.7</f>
        <v>7115297.7000000002</v>
      </c>
      <c r="G14" s="213">
        <f>F14/F17</f>
        <v>7.5512701667900653E-2</v>
      </c>
      <c r="H14" s="45">
        <f>10001253.91</f>
        <v>10001253.91</v>
      </c>
      <c r="I14" s="213">
        <f>H14/H17</f>
        <v>8.6189255849785332E-2</v>
      </c>
      <c r="J14" s="45">
        <v>9354372.8800000008</v>
      </c>
      <c r="K14" s="213">
        <f>J14/J17</f>
        <v>7.5520223399453468E-2</v>
      </c>
      <c r="L14" s="214">
        <f t="shared" si="5"/>
        <v>11404000.123809524</v>
      </c>
      <c r="M14" s="213">
        <f>L14/L17</f>
        <v>8.1237911473913585E-2</v>
      </c>
      <c r="N14" s="214">
        <f t="shared" si="2"/>
        <v>12023785.591685563</v>
      </c>
      <c r="O14" s="214">
        <f t="shared" si="4"/>
        <v>13582035.716030186</v>
      </c>
      <c r="P14" s="215"/>
      <c r="Q14" s="95">
        <v>11</v>
      </c>
      <c r="R14" s="102" t="s">
        <v>144</v>
      </c>
      <c r="S14" s="216">
        <f>4170062.01*M5</f>
        <v>346219.97058108158</v>
      </c>
      <c r="T14" s="216">
        <f>4170062.01*M6</f>
        <v>353740.71392994159</v>
      </c>
      <c r="U14" s="216">
        <f>4170062.01*M7</f>
        <v>330822.6730404293</v>
      </c>
      <c r="V14" s="216">
        <f>4170062.01*M8</f>
        <v>343130.38288689055</v>
      </c>
      <c r="W14" s="216">
        <f>4170062.01*M9</f>
        <v>339442.64434864977</v>
      </c>
      <c r="X14" s="216">
        <f>4170062.01*M10</f>
        <v>308533.89914852986</v>
      </c>
      <c r="Y14" s="216">
        <f>4170062.01*M11</f>
        <v>361007.93779564841</v>
      </c>
      <c r="Z14" s="216">
        <f>4170062.01*M12</f>
        <v>315330.8509128794</v>
      </c>
      <c r="AA14" s="216">
        <f>4170062.01*M13</f>
        <v>312014.83598624589</v>
      </c>
      <c r="AB14" s="216">
        <f>4170062.01*M14</f>
        <v>338767.12840911013</v>
      </c>
      <c r="AC14" s="216">
        <f>4170062.01*M15</f>
        <v>316232.2631869294</v>
      </c>
      <c r="AD14" s="216">
        <f>4170062.01*M16</f>
        <v>504818.70977366314</v>
      </c>
      <c r="AE14" s="45">
        <f t="shared" si="3"/>
        <v>4170062.0099999984</v>
      </c>
      <c r="AF14" s="211">
        <f t="shared" si="1"/>
        <v>2.9705991295770902E-2</v>
      </c>
    </row>
    <row r="15" spans="1:33" x14ac:dyDescent="0.15">
      <c r="A15" s="206" t="s">
        <v>292</v>
      </c>
      <c r="B15" s="45">
        <v>7544593.7400000002</v>
      </c>
      <c r="C15" s="213">
        <f>B15/B17</f>
        <v>8.1945238037595847E-2</v>
      </c>
      <c r="D15" s="45">
        <v>8798730.4900000002</v>
      </c>
      <c r="E15" s="213">
        <f>D15/D17</f>
        <v>8.4181657508364025E-2</v>
      </c>
      <c r="F15" s="45">
        <v>8267235.1900000004</v>
      </c>
      <c r="G15" s="213">
        <f>F15/F17</f>
        <v>8.7737898095372718E-2</v>
      </c>
      <c r="H15" s="45">
        <v>7399552.2000000002</v>
      </c>
      <c r="I15" s="213">
        <f>H15/H17</f>
        <v>6.3768193816373372E-2</v>
      </c>
      <c r="J15" s="45">
        <f>9067503.09</f>
        <v>9067503.0899999999</v>
      </c>
      <c r="K15" s="213">
        <f>J15/J17</f>
        <v>7.3204250869250628E-2</v>
      </c>
      <c r="L15" s="214">
        <f t="shared" si="5"/>
        <v>10645403.482539682</v>
      </c>
      <c r="M15" s="213">
        <f>L15/L17</f>
        <v>7.58339474157914E-2</v>
      </c>
      <c r="N15" s="214">
        <f t="shared" si="2"/>
        <v>11231648.876996724</v>
      </c>
      <c r="O15" s="214">
        <f t="shared" si="4"/>
        <v>12172732.587154416</v>
      </c>
      <c r="P15" s="215"/>
      <c r="Q15" s="95">
        <v>12</v>
      </c>
      <c r="R15" s="102" t="s">
        <v>145</v>
      </c>
      <c r="S15" s="216">
        <f>1810655.75*M5</f>
        <v>150329.94209538534</v>
      </c>
      <c r="T15" s="216">
        <f>1810655.75*M6</f>
        <v>153595.47559494298</v>
      </c>
      <c r="U15" s="216">
        <f>1810655.75*M7</f>
        <v>143644.3807633027</v>
      </c>
      <c r="V15" s="216">
        <f>1810655.75*M8</f>
        <v>148988.43213457393</v>
      </c>
      <c r="W15" s="216">
        <f>1810655.75*M9</f>
        <v>147387.20295075126</v>
      </c>
      <c r="X15" s="216">
        <f>1810655.75*M10</f>
        <v>133966.51589917383</v>
      </c>
      <c r="Y15" s="216">
        <f>1810655.75*M11</f>
        <v>156750.93003361192</v>
      </c>
      <c r="Z15" s="216">
        <f>1810655.75*M12</f>
        <v>136917.77651953857</v>
      </c>
      <c r="AA15" s="216">
        <f>1810655.75*M13</f>
        <v>135477.95104941449</v>
      </c>
      <c r="AB15" s="216">
        <f>1810655.75*M14</f>
        <v>147093.89152823261</v>
      </c>
      <c r="AC15" s="216">
        <f>1810655.75*M15</f>
        <v>137309.17293360035</v>
      </c>
      <c r="AD15" s="216">
        <f>1810655.75*M16</f>
        <v>219194.07849747167</v>
      </c>
      <c r="AE15" s="45">
        <f t="shared" si="3"/>
        <v>1810655.7499999995</v>
      </c>
      <c r="AF15" s="211">
        <f t="shared" si="1"/>
        <v>1.2898447030320668E-2</v>
      </c>
    </row>
    <row r="16" spans="1:33" x14ac:dyDescent="0.15">
      <c r="A16" s="206" t="s">
        <v>293</v>
      </c>
      <c r="B16" s="45">
        <f>12149444.83</f>
        <v>12149444.83</v>
      </c>
      <c r="C16" s="213">
        <f>B16/B17</f>
        <v>0.13196060423248027</v>
      </c>
      <c r="D16" s="45">
        <v>12805492.609999999</v>
      </c>
      <c r="E16" s="213">
        <f>D16/D17</f>
        <v>0.12251626463000193</v>
      </c>
      <c r="F16" s="45">
        <v>11098810.23</v>
      </c>
      <c r="G16" s="213">
        <f>F16/F17</f>
        <v>0.11778862685768351</v>
      </c>
      <c r="H16" s="45">
        <f>15020134.53</f>
        <v>15020134.529999999</v>
      </c>
      <c r="I16" s="213">
        <f>H16/H17</f>
        <v>0.12944119103005206</v>
      </c>
      <c r="J16" s="45">
        <v>14606142.369999999</v>
      </c>
      <c r="K16" s="213">
        <f>J16/J17</f>
        <v>0.11791908970669795</v>
      </c>
      <c r="L16" s="214">
        <f t="shared" si="5"/>
        <v>16993834.838095237</v>
      </c>
      <c r="M16" s="213">
        <f>L16/L17</f>
        <v>0.12105784244049243</v>
      </c>
      <c r="N16" s="214">
        <f t="shared" si="2"/>
        <v>18323467.291458804</v>
      </c>
      <c r="O16" s="214">
        <f t="shared" si="4"/>
        <v>20617009.215731442</v>
      </c>
      <c r="P16" s="215"/>
      <c r="Q16" s="95">
        <v>13</v>
      </c>
      <c r="R16" s="102" t="s">
        <v>146</v>
      </c>
      <c r="S16" s="216">
        <f>3009924.34*M5</f>
        <v>249899.38133943515</v>
      </c>
      <c r="T16" s="216">
        <f>3009924.34*M6</f>
        <v>255327.80624207269</v>
      </c>
      <c r="U16" s="216">
        <f>3009924.34*M7</f>
        <v>238785.70952191908</v>
      </c>
      <c r="V16" s="216">
        <f>3009924.34*M8</f>
        <v>247669.33651539905</v>
      </c>
      <c r="W16" s="216">
        <f>3009924.34*M9</f>
        <v>245007.55020162501</v>
      </c>
      <c r="X16" s="216">
        <f>3009924.34*M10</f>
        <v>222697.81373401335</v>
      </c>
      <c r="Y16" s="216">
        <f>3009924.34*M11</f>
        <v>260573.24238790589</v>
      </c>
      <c r="Z16" s="216">
        <f>3009924.34*M12</f>
        <v>227603.81045642696</v>
      </c>
      <c r="AA16" s="216">
        <f>3009924.34*M13</f>
        <v>225210.33189051051</v>
      </c>
      <c r="AB16" s="216">
        <f>3009924.34*M14</f>
        <v>244519.96707609776</v>
      </c>
      <c r="AC16" s="216">
        <f>3009924.34*M15</f>
        <v>228254.44412507061</v>
      </c>
      <c r="AD16" s="216">
        <f>3009924.34*M16</f>
        <v>364374.94650952314</v>
      </c>
      <c r="AE16" s="45">
        <f>SUM(S16:AD16)</f>
        <v>3009924.3399999994</v>
      </c>
      <c r="AF16" s="211">
        <f t="shared" si="1"/>
        <v>2.1441596319324036E-2</v>
      </c>
    </row>
    <row r="17" spans="1:32" x14ac:dyDescent="0.15">
      <c r="A17" s="102" t="s">
        <v>257</v>
      </c>
      <c r="B17" s="214">
        <f>SUM(B5:B16)</f>
        <v>92068726.88000001</v>
      </c>
      <c r="C17" s="213">
        <f>B17/B17</f>
        <v>1</v>
      </c>
      <c r="D17" s="214">
        <f>SUM(D5:D16)</f>
        <v>104520756.06999999</v>
      </c>
      <c r="E17" s="213">
        <f>D17/D17</f>
        <v>1</v>
      </c>
      <c r="F17" s="170">
        <f>SUM(F5:F16)</f>
        <v>94226501.539999992</v>
      </c>
      <c r="G17" s="213">
        <f>F17/F17</f>
        <v>1</v>
      </c>
      <c r="H17" s="45">
        <f>SUM(H5:H16)</f>
        <v>116038290.52</v>
      </c>
      <c r="I17" s="213">
        <f>H17/H17</f>
        <v>1</v>
      </c>
      <c r="J17" s="45">
        <f>SUM(J5:J16)</f>
        <v>123865799.90000001</v>
      </c>
      <c r="K17" s="213">
        <f>J17/J17</f>
        <v>1</v>
      </c>
      <c r="L17" s="214">
        <f>SUM(L5:L16)</f>
        <v>140377810.27238098</v>
      </c>
      <c r="M17" s="213">
        <f>L17/L17</f>
        <v>1</v>
      </c>
      <c r="N17" s="214">
        <f>SUM(N5:N16)</f>
        <v>150283537.85027969</v>
      </c>
      <c r="O17" s="214">
        <f>SUM(O5:O16)</f>
        <v>168428063.22322562</v>
      </c>
      <c r="P17" s="218"/>
      <c r="Q17" s="95">
        <v>14</v>
      </c>
      <c r="R17" s="102" t="s">
        <v>294</v>
      </c>
      <c r="S17" s="216">
        <f>372483.18*M5</f>
        <v>30925.467130295197</v>
      </c>
      <c r="T17" s="216">
        <f>372483.18*M6</f>
        <v>31597.243806955987</v>
      </c>
      <c r="U17" s="216">
        <f>372483.18*M7</f>
        <v>29550.131622670855</v>
      </c>
      <c r="V17" s="216">
        <f>372483.18*M8</f>
        <v>30649.495347031199</v>
      </c>
      <c r="W17" s="216">
        <f>372483.18*M9</f>
        <v>30320.094831058421</v>
      </c>
      <c r="X17" s="216">
        <f>372483.18*M10</f>
        <v>27559.227564734392</v>
      </c>
      <c r="Y17" s="216">
        <f>372483.18*M11</f>
        <v>32246.375318376937</v>
      </c>
      <c r="Z17" s="216">
        <f>372483.18*M12</f>
        <v>28166.352878799331</v>
      </c>
      <c r="AA17" s="216">
        <f>372483.18*M13</f>
        <v>27870.15589615544</v>
      </c>
      <c r="AB17" s="216">
        <f>372483.18*M14</f>
        <v>30259.75560236182</v>
      </c>
      <c r="AC17" s="216">
        <f>372483.18*M15</f>
        <v>28246.869885386761</v>
      </c>
      <c r="AD17" s="216">
        <f>372483.18*M16</f>
        <v>45092.01011617358</v>
      </c>
      <c r="AE17" s="45">
        <f t="shared" si="3"/>
        <v>372483.17999999993</v>
      </c>
      <c r="AF17" s="211">
        <f t="shared" si="1"/>
        <v>2.6534334684632345E-3</v>
      </c>
    </row>
    <row r="18" spans="1:32" x14ac:dyDescent="0.15">
      <c r="A18" s="700" t="s">
        <v>295</v>
      </c>
      <c r="B18" s="701"/>
      <c r="C18" s="219"/>
      <c r="D18" s="219">
        <f>(D17-B17)/B17</f>
        <v>0.1352471095449124</v>
      </c>
      <c r="E18" s="220"/>
      <c r="F18" s="219">
        <f>(F17-D17)/D17</f>
        <v>-9.849005036957155E-2</v>
      </c>
      <c r="G18" s="95"/>
      <c r="H18" s="219">
        <f>(H17-F17)/F17</f>
        <v>0.23148253011113551</v>
      </c>
      <c r="I18" s="95"/>
      <c r="J18" s="219">
        <f>(J17-H17)/H17</f>
        <v>6.7456262453736204E-2</v>
      </c>
      <c r="K18" s="221"/>
      <c r="L18" s="219">
        <f>(L17-J17)/J17</f>
        <v>0.13330564518786894</v>
      </c>
      <c r="M18" s="95"/>
      <c r="N18" s="219">
        <f>(N17-L17)/L17</f>
        <v>7.0564767741270573E-2</v>
      </c>
      <c r="O18" s="219">
        <f>(O17-N17)/N17</f>
        <v>0.12073528233692807</v>
      </c>
      <c r="Q18" s="95">
        <v>15</v>
      </c>
      <c r="R18" s="102" t="s">
        <v>147</v>
      </c>
      <c r="S18" s="216">
        <f>25810700.56*M5</f>
        <v>2142936.9556450089</v>
      </c>
      <c r="T18" s="216">
        <f>25810700.56*M6</f>
        <v>2189486.7801081794</v>
      </c>
      <c r="U18" s="216">
        <f>25810700.56*M7</f>
        <v>2047635.0068245882</v>
      </c>
      <c r="V18" s="216">
        <f>25810700.56*M8</f>
        <v>2123813.8772261757</v>
      </c>
      <c r="W18" s="216">
        <f>25810700.56*M9</f>
        <v>2100988.5295632752</v>
      </c>
      <c r="X18" s="216">
        <f>25810700.56*M10</f>
        <v>1909678.0969767747</v>
      </c>
      <c r="Y18" s="216">
        <f>25810700.56*M11</f>
        <v>2234467.4395445231</v>
      </c>
      <c r="Z18" s="216">
        <f>25810700.56*M12</f>
        <v>1951747.9957671738</v>
      </c>
      <c r="AA18" s="216">
        <f>25810700.56*M13</f>
        <v>1931223.440468336</v>
      </c>
      <c r="AB18" s="216">
        <f>25810700.56*M14</f>
        <v>2096807.4071729716</v>
      </c>
      <c r="AC18" s="216">
        <f>25810700.56*M15</f>
        <v>1957327.3090317775</v>
      </c>
      <c r="AD18" s="216">
        <f>25810700.56*M16</f>
        <v>3124587.7216712097</v>
      </c>
      <c r="AE18" s="45">
        <f t="shared" si="3"/>
        <v>25810700.559999995</v>
      </c>
      <c r="AF18" s="211">
        <f t="shared" si="1"/>
        <v>0.18386595794845489</v>
      </c>
    </row>
    <row r="19" spans="1:32" x14ac:dyDescent="0.15">
      <c r="A19" s="222"/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61">
        <f>140377810.27-L17</f>
        <v>-2.3809671401977539E-3</v>
      </c>
      <c r="M19" s="222"/>
      <c r="N19" s="223"/>
      <c r="O19" s="223"/>
      <c r="P19" s="207"/>
      <c r="Q19" s="95">
        <v>16</v>
      </c>
      <c r="R19" s="102" t="s">
        <v>148</v>
      </c>
      <c r="S19" s="216">
        <f>4416737.33*M5</f>
        <v>366700.22287197714</v>
      </c>
      <c r="T19" s="216">
        <f>4416737.33*M6</f>
        <v>374665.84732039127</v>
      </c>
      <c r="U19" s="216">
        <f>4416737.33*M7</f>
        <v>350392.11554267723</v>
      </c>
      <c r="V19" s="216">
        <f>4416737.33*M8</f>
        <v>363427.87409862108</v>
      </c>
      <c r="W19" s="216">
        <f>4416737.33*M9</f>
        <v>359521.99154194235</v>
      </c>
      <c r="X19" s="216">
        <f>4416737.33*M10</f>
        <v>326784.87434285594</v>
      </c>
      <c r="Y19" s="216">
        <f>4416737.33*M11</f>
        <v>382362.9556262542</v>
      </c>
      <c r="Z19" s="216">
        <f>4416737.33*M12</f>
        <v>333983.89213103789</v>
      </c>
      <c r="AA19" s="216">
        <f>4416737.33*M13</f>
        <v>330471.72207740851</v>
      </c>
      <c r="AB19" s="216">
        <f>4416737.33*M14</f>
        <v>358806.51621806948</v>
      </c>
      <c r="AC19" s="216">
        <f>4416737.33*M15</f>
        <v>334938.62643258291</v>
      </c>
      <c r="AD19" s="216">
        <f>4416737.33*M16</f>
        <v>534680.69179618126</v>
      </c>
      <c r="AE19" s="45">
        <f>SUM(S19:AD19)</f>
        <v>4416737.3299999982</v>
      </c>
      <c r="AF19" s="211">
        <f t="shared" si="1"/>
        <v>3.1463215742608686E-2</v>
      </c>
    </row>
    <row r="20" spans="1:32" x14ac:dyDescent="0.15">
      <c r="A20" s="206" t="s">
        <v>266</v>
      </c>
      <c r="B20" s="697" t="s">
        <v>296</v>
      </c>
      <c r="C20" s="697"/>
      <c r="D20" s="697"/>
      <c r="E20" s="697"/>
      <c r="F20" s="697"/>
      <c r="G20" s="697"/>
      <c r="H20" s="697"/>
      <c r="I20" s="697"/>
      <c r="J20" s="697"/>
      <c r="K20" s="697"/>
      <c r="L20" s="697" t="s">
        <v>268</v>
      </c>
      <c r="M20" s="697"/>
      <c r="N20" s="697" t="s">
        <v>269</v>
      </c>
      <c r="O20" s="697"/>
      <c r="P20" s="63"/>
      <c r="Q20" s="224" t="s">
        <v>297</v>
      </c>
      <c r="R20" s="102" t="s">
        <v>282</v>
      </c>
      <c r="S20" s="45">
        <f t="shared" ref="S20:AD20" si="6">SUM(S4:S19)</f>
        <v>11656177.993336219</v>
      </c>
      <c r="T20" s="45">
        <f t="shared" si="6"/>
        <v>11901795.705152275</v>
      </c>
      <c r="U20" s="45">
        <f t="shared" si="6"/>
        <v>11153322.249607213</v>
      </c>
      <c r="V20" s="45">
        <f t="shared" si="6"/>
        <v>11555276.071185496</v>
      </c>
      <c r="W20" s="45">
        <f t="shared" si="6"/>
        <v>11434839.319188649</v>
      </c>
      <c r="X20" s="45">
        <f t="shared" si="6"/>
        <v>10425399.837078189</v>
      </c>
      <c r="Y20" s="45">
        <f t="shared" si="6"/>
        <v>12139133.799852779</v>
      </c>
      <c r="Z20" s="45">
        <f t="shared" si="6"/>
        <v>10647379.455613729</v>
      </c>
      <c r="AA20" s="45">
        <f t="shared" si="6"/>
        <v>10539082.714075398</v>
      </c>
      <c r="AB20" s="45">
        <f t="shared" si="6"/>
        <v>11412777.845785208</v>
      </c>
      <c r="AC20" s="45">
        <f>SUM(AC4:AC19)</f>
        <v>10676818.409967704</v>
      </c>
      <c r="AD20" s="45">
        <f t="shared" si="6"/>
        <v>16835806.869157109</v>
      </c>
      <c r="AE20" s="45">
        <f>SUM(AE4:AE19)</f>
        <v>140377810.26999998</v>
      </c>
      <c r="AF20" s="129">
        <f>SUM(AF4:AF19)</f>
        <v>1</v>
      </c>
    </row>
    <row r="21" spans="1:32" x14ac:dyDescent="0.15">
      <c r="A21" s="209" t="s">
        <v>283</v>
      </c>
      <c r="B21" s="209">
        <f>B4</f>
        <v>2016</v>
      </c>
      <c r="C21" s="210" t="s">
        <v>284</v>
      </c>
      <c r="D21" s="209">
        <f>D4</f>
        <v>2017</v>
      </c>
      <c r="E21" s="209"/>
      <c r="F21" s="209">
        <f>F4</f>
        <v>2018</v>
      </c>
      <c r="G21" s="210" t="s">
        <v>284</v>
      </c>
      <c r="H21" s="209">
        <f>H4</f>
        <v>2019</v>
      </c>
      <c r="I21" s="210" t="s">
        <v>284</v>
      </c>
      <c r="J21" s="209">
        <f>J4</f>
        <v>2020</v>
      </c>
      <c r="K21" s="210" t="s">
        <v>284</v>
      </c>
      <c r="L21" s="209">
        <f>L4</f>
        <v>2021</v>
      </c>
      <c r="M21" s="209" t="s">
        <v>284</v>
      </c>
      <c r="N21" s="209">
        <f>N4</f>
        <v>2022</v>
      </c>
      <c r="O21" s="209">
        <f>O4</f>
        <v>2023</v>
      </c>
      <c r="P21" s="215"/>
      <c r="Q21" s="338"/>
      <c r="R21" s="339" t="s">
        <v>298</v>
      </c>
      <c r="S21" s="219">
        <f>S20/$AE$20</f>
        <v>8.3034334065454865E-2</v>
      </c>
      <c r="T21" s="219">
        <f t="shared" ref="T21:AC21" si="7">T20/$AE$20</f>
        <v>8.47840244997453E-2</v>
      </c>
      <c r="U21" s="219">
        <f t="shared" si="7"/>
        <v>7.9452174301302511E-2</v>
      </c>
      <c r="V21" s="219">
        <f t="shared" si="7"/>
        <v>8.2315545804285586E-2</v>
      </c>
      <c r="W21" s="219">
        <f t="shared" si="7"/>
        <v>8.1457598584812649E-2</v>
      </c>
      <c r="X21" s="219">
        <f t="shared" si="7"/>
        <v>7.4266722190823295E-2</v>
      </c>
      <c r="Y21" s="219">
        <f t="shared" si="7"/>
        <v>8.6474733980424698E-2</v>
      </c>
      <c r="Z21" s="219">
        <f t="shared" si="7"/>
        <v>7.5848023524051011E-2</v>
      </c>
      <c r="AA21" s="219">
        <f t="shared" si="7"/>
        <v>7.5076557283553072E-2</v>
      </c>
      <c r="AB21" s="219">
        <f>AB20/$AE$20</f>
        <v>8.1300440745115554E-2</v>
      </c>
      <c r="AC21" s="219">
        <f t="shared" si="7"/>
        <v>7.6057735830414488E-2</v>
      </c>
      <c r="AD21" s="219">
        <f>AD20/$AE$20</f>
        <v>0.11993210919001687</v>
      </c>
      <c r="AE21" s="219">
        <f>AE20/$AE$20</f>
        <v>1</v>
      </c>
      <c r="AF21" s="61"/>
    </row>
    <row r="22" spans="1:32" x14ac:dyDescent="0.15">
      <c r="A22" s="206" t="s">
        <v>118</v>
      </c>
      <c r="B22" s="45">
        <v>5345719.25</v>
      </c>
      <c r="C22" s="213">
        <f>B22/B34</f>
        <v>5.8274466170036884E-2</v>
      </c>
      <c r="D22" s="45">
        <v>5981651.0099999998</v>
      </c>
      <c r="E22" s="213">
        <f>D22/D34</f>
        <v>6.2053543707761512E-2</v>
      </c>
      <c r="F22" s="45">
        <v>7670864.2400000002</v>
      </c>
      <c r="G22" s="213">
        <f>F22/F34</f>
        <v>7.2802734232698077E-2</v>
      </c>
      <c r="H22" s="45">
        <v>7979821.7400000002</v>
      </c>
      <c r="I22" s="213">
        <f>H22/H34</f>
        <v>6.8577942666855726E-2</v>
      </c>
      <c r="J22" s="45">
        <f>7671797.23</f>
        <v>7671797.2300000004</v>
      </c>
      <c r="K22" s="213">
        <f>J22/J34</f>
        <v>6.2068218910190799E-2</v>
      </c>
      <c r="L22" s="45">
        <v>9502229.8300000001</v>
      </c>
      <c r="M22" s="213">
        <f>L22/L34</f>
        <v>7.2049163938977437E-2</v>
      </c>
      <c r="N22" s="214">
        <f>(F22+H22+J22+L22)/3.2</f>
        <v>10257722.824999999</v>
      </c>
      <c r="O22" s="214">
        <f>(H22+J22+L22+N22)/3.3</f>
        <v>10730779.280303031</v>
      </c>
      <c r="P22" s="215"/>
      <c r="Q22" s="225" t="s">
        <v>299</v>
      </c>
      <c r="R22" s="226"/>
      <c r="S22" s="219" t="s">
        <v>300</v>
      </c>
      <c r="T22" s="227">
        <f>S20+T20</f>
        <v>23557973.698488496</v>
      </c>
      <c r="U22" s="219" t="s">
        <v>301</v>
      </c>
      <c r="V22" s="228">
        <f>U20+V20</f>
        <v>22708598.320792709</v>
      </c>
      <c r="W22" s="219" t="s">
        <v>302</v>
      </c>
      <c r="X22" s="228">
        <f>W20+X20</f>
        <v>21860239.156266838</v>
      </c>
      <c r="Y22" s="219" t="s">
        <v>303</v>
      </c>
      <c r="Z22" s="228">
        <f>Y20+Z20</f>
        <v>22786513.255466506</v>
      </c>
      <c r="AA22" s="219" t="s">
        <v>304</v>
      </c>
      <c r="AB22" s="228">
        <f>AA20+AB20</f>
        <v>21951860.559860606</v>
      </c>
      <c r="AC22" s="219" t="s">
        <v>305</v>
      </c>
      <c r="AD22" s="228">
        <f>AC20+AD20</f>
        <v>27512625.279124811</v>
      </c>
      <c r="AE22" s="45">
        <f>SUM(S22:AD22)</f>
        <v>140377810.26999998</v>
      </c>
      <c r="AF22" s="119">
        <f>140377810.27-AE20</f>
        <v>0</v>
      </c>
    </row>
    <row r="23" spans="1:32" x14ac:dyDescent="0.15">
      <c r="A23" s="206" t="s">
        <v>119</v>
      </c>
      <c r="B23" s="45">
        <v>5798452.0499999998</v>
      </c>
      <c r="C23" s="213">
        <f>B23/B34</f>
        <v>6.3209772534595046E-2</v>
      </c>
      <c r="D23" s="45">
        <v>6665778.9299999997</v>
      </c>
      <c r="E23" s="213">
        <f>D23/D34</f>
        <v>6.9150674870119305E-2</v>
      </c>
      <c r="F23" s="45">
        <f>7361356.62+32710.31</f>
        <v>7394066.9299999997</v>
      </c>
      <c r="G23" s="213">
        <f>F23/F34</f>
        <v>7.0175702862337666E-2</v>
      </c>
      <c r="H23" s="45">
        <v>7902084.6200000001</v>
      </c>
      <c r="I23" s="213">
        <f>H23/H34</f>
        <v>6.7909876144551864E-2</v>
      </c>
      <c r="J23" s="45">
        <f>8682002.48</f>
        <v>8682002.4800000004</v>
      </c>
      <c r="K23" s="213">
        <f>J23/J34</f>
        <v>7.024122436398901E-2</v>
      </c>
      <c r="L23" s="45">
        <v>9870035.4800000004</v>
      </c>
      <c r="M23" s="213">
        <f>L23/L34</f>
        <v>7.4837992461190966E-2</v>
      </c>
      <c r="N23" s="214">
        <f t="shared" ref="N23:N33" si="8">(F23+H23+J23+L23)/3</f>
        <v>11282729.836666668</v>
      </c>
      <c r="O23" s="214">
        <f t="shared" ref="O23:O33" si="9">(H23+J23+L23+N23)/3.3</f>
        <v>11435409.823232325</v>
      </c>
      <c r="P23" s="215"/>
      <c r="Q23" s="95" t="s">
        <v>130</v>
      </c>
      <c r="R23" s="208" t="s">
        <v>131</v>
      </c>
      <c r="S23" s="95" t="s">
        <v>270</v>
      </c>
      <c r="T23" s="95" t="s">
        <v>271</v>
      </c>
      <c r="U23" s="95" t="s">
        <v>272</v>
      </c>
      <c r="V23" s="95" t="s">
        <v>273</v>
      </c>
      <c r="W23" s="95" t="s">
        <v>274</v>
      </c>
      <c r="X23" s="95" t="s">
        <v>275</v>
      </c>
      <c r="Y23" s="95" t="s">
        <v>276</v>
      </c>
      <c r="Z23" s="95" t="s">
        <v>277</v>
      </c>
      <c r="AA23" s="95" t="s">
        <v>278</v>
      </c>
      <c r="AB23" s="95" t="s">
        <v>279</v>
      </c>
      <c r="AC23" s="95" t="s">
        <v>280</v>
      </c>
      <c r="AD23" s="95" t="s">
        <v>281</v>
      </c>
      <c r="AE23" s="95" t="s">
        <v>282</v>
      </c>
    </row>
    <row r="24" spans="1:32" x14ac:dyDescent="0.15">
      <c r="A24" s="206" t="s">
        <v>120</v>
      </c>
      <c r="B24" s="45">
        <v>5890259.2999999998</v>
      </c>
      <c r="C24" s="213">
        <f>B24/B34</f>
        <v>6.4210576773292977E-2</v>
      </c>
      <c r="D24" s="45">
        <v>7484694.0499999998</v>
      </c>
      <c r="E24" s="213">
        <f>D24/D34</f>
        <v>7.7646086104728729E-2</v>
      </c>
      <c r="F24" s="45">
        <v>8190765.7999999998</v>
      </c>
      <c r="G24" s="213">
        <f>F24/F34</f>
        <v>7.7737022458328961E-2</v>
      </c>
      <c r="H24" s="45">
        <f>9215305.68</f>
        <v>9215305.6799999997</v>
      </c>
      <c r="I24" s="213">
        <f>H24/H34</f>
        <v>7.9195591727665562E-2</v>
      </c>
      <c r="J24" s="45">
        <v>9514390.5500000007</v>
      </c>
      <c r="K24" s="213">
        <f>J24/J34</f>
        <v>7.6975610505603864E-2</v>
      </c>
      <c r="L24" s="45">
        <f>((D24+F24+H24+J24)/3.4)+226036</f>
        <v>10345199.552941177</v>
      </c>
      <c r="M24" s="213">
        <f>L24/L34</f>
        <v>7.8440849348651781E-2</v>
      </c>
      <c r="N24" s="214">
        <f t="shared" si="8"/>
        <v>12421887.194313725</v>
      </c>
      <c r="O24" s="214">
        <f t="shared" si="9"/>
        <v>12574782.720380275</v>
      </c>
      <c r="P24" s="215"/>
      <c r="Q24" s="95">
        <v>1</v>
      </c>
      <c r="R24" s="102" t="s">
        <v>134</v>
      </c>
      <c r="S24" s="97">
        <v>272500.59999999998</v>
      </c>
      <c r="T24" s="97">
        <v>288816.56</v>
      </c>
      <c r="U24" s="97">
        <v>271577.03000000003</v>
      </c>
      <c r="V24" s="97">
        <f>261884.04</f>
        <v>261884.04</v>
      </c>
      <c r="W24" s="97">
        <v>286697.43</v>
      </c>
      <c r="X24" s="97">
        <v>287331.03000000003</v>
      </c>
      <c r="Y24" s="97">
        <f>282884.08</f>
        <v>282884.08</v>
      </c>
      <c r="Z24" s="97">
        <f>261210.5</f>
        <v>261210.5</v>
      </c>
      <c r="AA24" s="97">
        <f>265584</f>
        <v>265584</v>
      </c>
      <c r="AB24" s="97">
        <v>287264.74</v>
      </c>
      <c r="AC24" s="97">
        <f>274161.97</f>
        <v>274161.96999999997</v>
      </c>
      <c r="AD24" s="97">
        <v>476624.46</v>
      </c>
      <c r="AE24" s="45">
        <f>SUM(S24:AD24)</f>
        <v>3516536.4399999995</v>
      </c>
      <c r="AF24" s="219">
        <f>AE24/$AE$40</f>
        <v>2.5257913633580428E-2</v>
      </c>
    </row>
    <row r="25" spans="1:32" x14ac:dyDescent="0.15">
      <c r="A25" s="206" t="s">
        <v>121</v>
      </c>
      <c r="B25" s="45">
        <v>7183262.2999999998</v>
      </c>
      <c r="C25" s="213">
        <f>B25/B34</f>
        <v>7.8305791291200216E-2</v>
      </c>
      <c r="D25" s="45">
        <f>7391916.3-2329.01</f>
        <v>7389587.29</v>
      </c>
      <c r="E25" s="213">
        <f>D25/D34</f>
        <v>7.6659450227995488E-2</v>
      </c>
      <c r="F25" s="45">
        <v>7513399.3099999996</v>
      </c>
      <c r="G25" s="213">
        <f>F25/F34</f>
        <v>7.1308264106374933E-2</v>
      </c>
      <c r="H25" s="45">
        <v>9663995.9100000001</v>
      </c>
      <c r="I25" s="213">
        <f>H25/H34</f>
        <v>8.3051599276540752E-2</v>
      </c>
      <c r="J25" s="45">
        <f>10634576.05</f>
        <v>10634576.050000001</v>
      </c>
      <c r="K25" s="213">
        <f>J25/J34</f>
        <v>8.6038404626665579E-2</v>
      </c>
      <c r="L25" s="45">
        <f t="shared" ref="L25:L33" si="10">((D25+F25+H25+J25)/3.4)</f>
        <v>10353399.576470589</v>
      </c>
      <c r="M25" s="213">
        <f>L25/L34</f>
        <v>7.8503024738022897E-2</v>
      </c>
      <c r="N25" s="214">
        <f t="shared" si="8"/>
        <v>12721790.282156862</v>
      </c>
      <c r="O25" s="214">
        <f t="shared" si="9"/>
        <v>13143564.187462866</v>
      </c>
      <c r="P25" s="215"/>
      <c r="Q25" s="95">
        <v>2</v>
      </c>
      <c r="R25" s="102" t="s">
        <v>135</v>
      </c>
      <c r="S25" s="97">
        <v>181653.21</v>
      </c>
      <c r="T25" s="97">
        <v>174100.48000000001</v>
      </c>
      <c r="U25" s="97">
        <v>170867.34</v>
      </c>
      <c r="V25" s="97">
        <f>161288.32</f>
        <v>161288.32000000001</v>
      </c>
      <c r="W25" s="97">
        <v>166287.82</v>
      </c>
      <c r="X25" s="97">
        <v>178182.14</v>
      </c>
      <c r="Y25" s="97">
        <f>165804.47</f>
        <v>165804.47</v>
      </c>
      <c r="Z25" s="97">
        <f>172862.23</f>
        <v>172862.23</v>
      </c>
      <c r="AA25" s="97">
        <f>170260.85</f>
        <v>170260.85</v>
      </c>
      <c r="AB25" s="97">
        <v>181889.07</v>
      </c>
      <c r="AC25" s="97">
        <f>172209.35</f>
        <v>172209.35</v>
      </c>
      <c r="AD25" s="97">
        <f>337391.19</f>
        <v>337391.19</v>
      </c>
      <c r="AE25" s="45">
        <f t="shared" ref="AE25:AE39" si="11">SUM(S25:AD25)</f>
        <v>2232796.4700000007</v>
      </c>
      <c r="AF25" s="219">
        <f t="shared" ref="AF25:AF40" si="12">AE25/$AE$40</f>
        <v>1.6037308687926827E-2</v>
      </c>
    </row>
    <row r="26" spans="1:32" x14ac:dyDescent="0.15">
      <c r="A26" s="206" t="s">
        <v>285</v>
      </c>
      <c r="B26" s="45">
        <v>6519507.1299999999</v>
      </c>
      <c r="C26" s="213">
        <f>B26/B34</f>
        <v>7.1070099256054134E-2</v>
      </c>
      <c r="D26" s="45">
        <v>8056881.3700000001</v>
      </c>
      <c r="E26" s="213">
        <f>D26/D34</f>
        <v>8.3581947426508998E-2</v>
      </c>
      <c r="F26" s="45">
        <v>8332242.9400000004</v>
      </c>
      <c r="G26" s="213">
        <f>F26/F34</f>
        <v>7.9079755467435411E-2</v>
      </c>
      <c r="H26" s="45">
        <f>9721771.29</f>
        <v>9721771.2899999991</v>
      </c>
      <c r="I26" s="213">
        <f>H26/H34</f>
        <v>8.3548116219686872E-2</v>
      </c>
      <c r="J26" s="45">
        <f>8693274.76</f>
        <v>8693274.7599999998</v>
      </c>
      <c r="K26" s="213">
        <f>J26/J34</f>
        <v>7.0332422074470852E-2</v>
      </c>
      <c r="L26" s="45">
        <f t="shared" si="10"/>
        <v>10236520.694117647</v>
      </c>
      <c r="M26" s="213">
        <f>L26/L34</f>
        <v>7.761680898589858E-2</v>
      </c>
      <c r="N26" s="214">
        <f t="shared" si="8"/>
        <v>12327936.561372548</v>
      </c>
      <c r="O26" s="214">
        <f t="shared" si="9"/>
        <v>12418031.304693999</v>
      </c>
      <c r="P26" s="215"/>
      <c r="Q26" s="95">
        <v>3</v>
      </c>
      <c r="R26" s="102" t="s">
        <v>136</v>
      </c>
      <c r="S26" s="97">
        <v>57093.17</v>
      </c>
      <c r="T26" s="97">
        <v>52779.72</v>
      </c>
      <c r="U26" s="97">
        <v>60075</v>
      </c>
      <c r="V26" s="97">
        <f>55713.19</f>
        <v>55713.19</v>
      </c>
      <c r="W26" s="97">
        <v>52815.68</v>
      </c>
      <c r="X26" s="97">
        <v>61577.78</v>
      </c>
      <c r="Y26" s="97">
        <f>54583.25</f>
        <v>54583.25</v>
      </c>
      <c r="Z26" s="97">
        <f>55389.09</f>
        <v>55389.09</v>
      </c>
      <c r="AA26" s="97">
        <f>57158.13</f>
        <v>57158.13</v>
      </c>
      <c r="AB26" s="97">
        <v>59895.360000000001</v>
      </c>
      <c r="AC26" s="97">
        <f>52463.82</f>
        <v>52463.82</v>
      </c>
      <c r="AD26" s="97">
        <f>155201.85</f>
        <v>155201.85</v>
      </c>
      <c r="AE26" s="45">
        <f t="shared" si="11"/>
        <v>774746.03999999992</v>
      </c>
      <c r="AF26" s="219">
        <f t="shared" si="12"/>
        <v>5.5646994991123844E-3</v>
      </c>
    </row>
    <row r="27" spans="1:32" x14ac:dyDescent="0.15">
      <c r="A27" s="206" t="s">
        <v>286</v>
      </c>
      <c r="B27" s="45">
        <v>9389677.8399999999</v>
      </c>
      <c r="C27" s="213">
        <f>B27/B34</f>
        <v>0.10235824929164115</v>
      </c>
      <c r="D27" s="45">
        <v>8550639.5099999998</v>
      </c>
      <c r="E27" s="213">
        <f>D27/D34</f>
        <v>8.8704185796873739E-2</v>
      </c>
      <c r="F27" s="45">
        <v>9391234.2699999996</v>
      </c>
      <c r="G27" s="213">
        <f>F27/F34</f>
        <v>8.9130443622062613E-2</v>
      </c>
      <c r="H27" s="45">
        <v>9467660.9700000007</v>
      </c>
      <c r="I27" s="213">
        <f>H27/H34</f>
        <v>8.1364312680735101E-2</v>
      </c>
      <c r="J27" s="45">
        <f>10697988.26</f>
        <v>10697988.26</v>
      </c>
      <c r="K27" s="213">
        <f>J27/J34</f>
        <v>8.6551437337758094E-2</v>
      </c>
      <c r="L27" s="45">
        <f t="shared" si="10"/>
        <v>11208095.002941176</v>
      </c>
      <c r="M27" s="213">
        <f>L27/L34</f>
        <v>8.4983618451432749E-2</v>
      </c>
      <c r="N27" s="214">
        <f t="shared" si="8"/>
        <v>13588326.167647058</v>
      </c>
      <c r="O27" s="214">
        <f t="shared" si="9"/>
        <v>13624869.818360072</v>
      </c>
      <c r="P27" s="215"/>
      <c r="Q27" s="95">
        <v>4</v>
      </c>
      <c r="R27" s="102" t="s">
        <v>137</v>
      </c>
      <c r="S27" s="97">
        <v>124867.31</v>
      </c>
      <c r="T27" s="97">
        <v>125453.03</v>
      </c>
      <c r="U27" s="97">
        <f>138017.54</f>
        <v>138017.54</v>
      </c>
      <c r="V27" s="97">
        <f>128644.09</f>
        <v>128644.09</v>
      </c>
      <c r="W27" s="97">
        <v>132426.13</v>
      </c>
      <c r="X27" s="97">
        <v>135125.87</v>
      </c>
      <c r="Y27" s="97">
        <f>137106.43</f>
        <v>137106.43</v>
      </c>
      <c r="Z27" s="97">
        <f>132915.97</f>
        <v>132915.97</v>
      </c>
      <c r="AA27" s="97">
        <f>146111.38</f>
        <v>146111.38</v>
      </c>
      <c r="AB27" s="97">
        <v>138426.46</v>
      </c>
      <c r="AC27" s="97">
        <f>138464.49</f>
        <v>138464.49</v>
      </c>
      <c r="AD27" s="97">
        <f>389371.19</f>
        <v>389371.19</v>
      </c>
      <c r="AE27" s="45">
        <f t="shared" si="11"/>
        <v>1866929.89</v>
      </c>
      <c r="AF27" s="219">
        <f t="shared" si="12"/>
        <v>1.3409431332828677E-2</v>
      </c>
    </row>
    <row r="28" spans="1:32" x14ac:dyDescent="0.15">
      <c r="A28" s="206" t="s">
        <v>287</v>
      </c>
      <c r="B28" s="45">
        <v>7703386.96</v>
      </c>
      <c r="C28" s="213">
        <f>B28/B34</f>
        <v>8.3975746162730722E-2</v>
      </c>
      <c r="D28" s="45">
        <v>8123962.6100000003</v>
      </c>
      <c r="E28" s="213">
        <f>D28/D34</f>
        <v>8.427784704541888E-2</v>
      </c>
      <c r="F28" s="45">
        <f>8712975.37</f>
        <v>8712975.3699999992</v>
      </c>
      <c r="G28" s="213">
        <f>F28/F34</f>
        <v>8.2693215574123374E-2</v>
      </c>
      <c r="H28" s="45">
        <v>8718239.5999999996</v>
      </c>
      <c r="I28" s="213">
        <f>H28/H34</f>
        <v>7.4923846036278885E-2</v>
      </c>
      <c r="J28" s="45">
        <v>9134531.9900000002</v>
      </c>
      <c r="K28" s="213">
        <f>J28/J34</f>
        <v>7.3902387432815492E-2</v>
      </c>
      <c r="L28" s="45">
        <f t="shared" si="10"/>
        <v>10202855.755882353</v>
      </c>
      <c r="M28" s="213">
        <f>L28/L34</f>
        <v>7.7361549883845235E-2</v>
      </c>
      <c r="N28" s="214">
        <f t="shared" si="8"/>
        <v>12256200.905294118</v>
      </c>
      <c r="O28" s="214">
        <f t="shared" si="9"/>
        <v>12215705.530659536</v>
      </c>
      <c r="P28" s="215"/>
      <c r="Q28" s="95">
        <v>5</v>
      </c>
      <c r="R28" s="102" t="s">
        <v>138</v>
      </c>
      <c r="S28" s="97">
        <v>641306.12</v>
      </c>
      <c r="T28" s="97">
        <v>675401.63</v>
      </c>
      <c r="U28" s="97">
        <v>760919.67</v>
      </c>
      <c r="V28" s="97">
        <f>602770.84</f>
        <v>602770.84</v>
      </c>
      <c r="W28" s="97">
        <v>674830.82</v>
      </c>
      <c r="X28" s="97">
        <v>643394.65</v>
      </c>
      <c r="Y28" s="97">
        <f>648673.3</f>
        <v>648673.30000000005</v>
      </c>
      <c r="Z28" s="97">
        <f>687994.84</f>
        <v>687994.84</v>
      </c>
      <c r="AA28" s="97">
        <f>655357.97</f>
        <v>655357.97</v>
      </c>
      <c r="AB28" s="97">
        <v>671354.8</v>
      </c>
      <c r="AC28" s="97">
        <f>675595.45</f>
        <v>675595.45</v>
      </c>
      <c r="AD28" s="97">
        <f>1212455</f>
        <v>1212455</v>
      </c>
      <c r="AE28" s="45">
        <f t="shared" si="11"/>
        <v>8550055.0899999999</v>
      </c>
      <c r="AF28" s="219">
        <f t="shared" si="12"/>
        <v>6.1411720512577643E-2</v>
      </c>
    </row>
    <row r="29" spans="1:32" x14ac:dyDescent="0.15">
      <c r="A29" s="206" t="s">
        <v>288</v>
      </c>
      <c r="B29" s="45">
        <v>8109803.2000000002</v>
      </c>
      <c r="C29" s="213">
        <f>B29/B34</f>
        <v>8.8406148943204768E-2</v>
      </c>
      <c r="D29" s="45">
        <v>8191361.8700000001</v>
      </c>
      <c r="E29" s="213">
        <f>D29/D34</f>
        <v>8.4977045798286396E-2</v>
      </c>
      <c r="F29" s="45">
        <f>8881833.91</f>
        <v>8881833.9100000001</v>
      </c>
      <c r="G29" s="213">
        <f>F29/F34</f>
        <v>8.429582031668123E-2</v>
      </c>
      <c r="H29" s="45">
        <v>9251295.0899999999</v>
      </c>
      <c r="I29" s="213">
        <f>H29/H34</f>
        <v>7.9504881806568256E-2</v>
      </c>
      <c r="J29" s="45">
        <f>9036456.79</f>
        <v>9036456.7899999991</v>
      </c>
      <c r="K29" s="213">
        <f>J29/J34</f>
        <v>7.3108915864060181E-2</v>
      </c>
      <c r="L29" s="45">
        <f t="shared" si="10"/>
        <v>10400278.723529411</v>
      </c>
      <c r="M29" s="213">
        <f>L29/L34</f>
        <v>7.8858478501211929E-2</v>
      </c>
      <c r="N29" s="214">
        <f t="shared" si="8"/>
        <v>12523288.171176471</v>
      </c>
      <c r="O29" s="214">
        <f t="shared" si="9"/>
        <v>12488278.41657754</v>
      </c>
      <c r="P29" s="215"/>
      <c r="Q29" s="95">
        <v>6</v>
      </c>
      <c r="R29" s="102" t="s">
        <v>139</v>
      </c>
      <c r="S29" s="97">
        <v>259694.11</v>
      </c>
      <c r="T29" s="97">
        <v>254528.62</v>
      </c>
      <c r="U29" s="97">
        <f>265796.65</f>
        <v>265796.65000000002</v>
      </c>
      <c r="V29" s="97">
        <f>229132.76</f>
        <v>229132.76</v>
      </c>
      <c r="W29" s="97">
        <v>279843.40000000002</v>
      </c>
      <c r="X29" s="97">
        <v>252792.81</v>
      </c>
      <c r="Y29" s="97">
        <f>252672.83</f>
        <v>252672.83</v>
      </c>
      <c r="Z29" s="97">
        <f>248042.36</f>
        <v>248042.36</v>
      </c>
      <c r="AA29" s="97">
        <f>249527.57</f>
        <v>249527.57</v>
      </c>
      <c r="AB29" s="97">
        <v>226386.4</v>
      </c>
      <c r="AC29" s="97">
        <f>388743.27</f>
        <v>388743.27</v>
      </c>
      <c r="AD29" s="97">
        <f>518442.27</f>
        <v>518442.27</v>
      </c>
      <c r="AE29" s="45">
        <f t="shared" si="11"/>
        <v>3425603.05</v>
      </c>
      <c r="AF29" s="219">
        <f t="shared" si="12"/>
        <v>2.460477445808288E-2</v>
      </c>
    </row>
    <row r="30" spans="1:32" x14ac:dyDescent="0.15">
      <c r="A30" s="206" t="s">
        <v>289</v>
      </c>
      <c r="B30" s="45">
        <v>7384516.1600000001</v>
      </c>
      <c r="C30" s="213">
        <f>B30/B34</f>
        <v>8.0499689007800163E-2</v>
      </c>
      <c r="D30" s="45">
        <f>7555140.76</f>
        <v>7555140.7599999998</v>
      </c>
      <c r="E30" s="213">
        <f>D30/D34</f>
        <v>7.8376899050977986E-2</v>
      </c>
      <c r="F30" s="45">
        <v>8405663.2300000004</v>
      </c>
      <c r="G30" s="213">
        <f>F30/F34</f>
        <v>7.9776573673692397E-2</v>
      </c>
      <c r="H30" s="45">
        <f>9019781.08</f>
        <v>9019781.0800000001</v>
      </c>
      <c r="I30" s="213">
        <f>H30/H34</f>
        <v>7.7515269128283798E-2</v>
      </c>
      <c r="J30" s="45">
        <f>10105595.49</f>
        <v>10105595.49</v>
      </c>
      <c r="K30" s="213">
        <f>J30/J34</f>
        <v>8.1758718887719711E-2</v>
      </c>
      <c r="L30" s="45">
        <f t="shared" si="10"/>
        <v>10319464.870588236</v>
      </c>
      <c r="M30" s="213">
        <f>L30/L34</f>
        <v>7.82457201651931E-2</v>
      </c>
      <c r="N30" s="214">
        <f t="shared" si="8"/>
        <v>12616834.890196079</v>
      </c>
      <c r="O30" s="214">
        <f t="shared" si="9"/>
        <v>12745962.524480095</v>
      </c>
      <c r="P30" s="215"/>
      <c r="Q30" s="95">
        <v>7</v>
      </c>
      <c r="R30" s="102" t="s">
        <v>140</v>
      </c>
      <c r="S30" s="97">
        <v>58851.92</v>
      </c>
      <c r="T30" s="97">
        <v>50153.599999999999</v>
      </c>
      <c r="U30" s="97">
        <f>55556.25</f>
        <v>55556.25</v>
      </c>
      <c r="V30" s="97">
        <f>58785.61</f>
        <v>58785.61</v>
      </c>
      <c r="W30" s="97">
        <v>62776.26</v>
      </c>
      <c r="X30" s="97">
        <v>58566.02</v>
      </c>
      <c r="Y30" s="97">
        <f>65259.27</f>
        <v>65259.27</v>
      </c>
      <c r="Z30" s="97">
        <f>84715.2</f>
        <v>84715.199999999997</v>
      </c>
      <c r="AA30" s="97">
        <f>88705.76</f>
        <v>88705.76</v>
      </c>
      <c r="AB30" s="97">
        <v>138334.23000000001</v>
      </c>
      <c r="AC30" s="97">
        <f>119116.63</f>
        <v>119116.63</v>
      </c>
      <c r="AD30" s="97">
        <f>298372.67</f>
        <v>298372.67</v>
      </c>
      <c r="AE30" s="45">
        <f t="shared" si="11"/>
        <v>1139193.42</v>
      </c>
      <c r="AF30" s="219">
        <f t="shared" si="12"/>
        <v>8.1823832925510976E-3</v>
      </c>
    </row>
    <row r="31" spans="1:32" x14ac:dyDescent="0.15">
      <c r="A31" s="206" t="s">
        <v>291</v>
      </c>
      <c r="B31" s="45">
        <v>7353919.7400000002</v>
      </c>
      <c r="C31" s="213">
        <f>B31/B34</f>
        <v>8.0166152965439857E-2</v>
      </c>
      <c r="D31" s="45">
        <v>7682619.8700000001</v>
      </c>
      <c r="E31" s="213">
        <f>D31/D34</f>
        <v>7.9699365124472898E-2</v>
      </c>
      <c r="F31" s="45">
        <v>8594186.0700000003</v>
      </c>
      <c r="G31" s="213">
        <f>F31/F34</f>
        <v>8.1565808600539885E-2</v>
      </c>
      <c r="H31" s="45">
        <f>9257306.49</f>
        <v>9257306.4900000002</v>
      </c>
      <c r="I31" s="213">
        <f>H31/H34</f>
        <v>7.9556543291997323E-2</v>
      </c>
      <c r="J31" s="45">
        <v>9996580.7100000009</v>
      </c>
      <c r="K31" s="213">
        <f>J31/J34</f>
        <v>8.0876741298032268E-2</v>
      </c>
      <c r="L31" s="45">
        <f t="shared" si="10"/>
        <v>10450203.864705883</v>
      </c>
      <c r="M31" s="213">
        <f>L31/L34</f>
        <v>7.9237028035968882E-2</v>
      </c>
      <c r="N31" s="214">
        <f t="shared" si="8"/>
        <v>12766092.378235295</v>
      </c>
      <c r="O31" s="214">
        <f t="shared" si="9"/>
        <v>12869752.558467025</v>
      </c>
      <c r="P31" s="215"/>
      <c r="Q31" s="95">
        <v>8</v>
      </c>
      <c r="R31" s="102" t="s">
        <v>141</v>
      </c>
      <c r="S31" s="97">
        <v>740885.48</v>
      </c>
      <c r="T31" s="97">
        <v>589309.21</v>
      </c>
      <c r="U31" s="97">
        <v>913485.51</v>
      </c>
      <c r="V31" s="97">
        <f>783014.71</f>
        <v>783014.71</v>
      </c>
      <c r="W31" s="97">
        <v>1038389.12</v>
      </c>
      <c r="X31" s="97">
        <v>974893.93</v>
      </c>
      <c r="Y31" s="97">
        <f>922550.47</f>
        <v>922550.47</v>
      </c>
      <c r="Z31" s="97">
        <f>1548599.94</f>
        <v>1548599.94</v>
      </c>
      <c r="AA31" s="97">
        <f>786229.3</f>
        <v>786229.3</v>
      </c>
      <c r="AB31" s="97">
        <v>965076.32</v>
      </c>
      <c r="AC31" s="97">
        <f>1289385.18</f>
        <v>1289385.18</v>
      </c>
      <c r="AD31" s="97">
        <f>1683892.92</f>
        <v>1683892.92</v>
      </c>
      <c r="AE31" s="45">
        <f t="shared" si="11"/>
        <v>12235712.089999998</v>
      </c>
      <c r="AF31" s="219">
        <f t="shared" si="12"/>
        <v>8.7884361356021054E-2</v>
      </c>
    </row>
    <row r="32" spans="1:32" x14ac:dyDescent="0.15">
      <c r="A32" s="206" t="s">
        <v>292</v>
      </c>
      <c r="B32" s="45">
        <v>7912382.3799999999</v>
      </c>
      <c r="C32" s="213">
        <f>B32/B34</f>
        <v>8.6254035755376782E-2</v>
      </c>
      <c r="D32" s="45">
        <v>8077679.6399999997</v>
      </c>
      <c r="E32" s="213">
        <f>D32/D34</f>
        <v>8.3797708318331873E-2</v>
      </c>
      <c r="F32" s="45">
        <v>8884947.5199999996</v>
      </c>
      <c r="G32" s="213">
        <f>F32/F34</f>
        <v>8.4325371005396624E-2</v>
      </c>
      <c r="H32" s="45">
        <v>9510627.3300000001</v>
      </c>
      <c r="I32" s="213">
        <f>H32/H34</f>
        <v>8.1733562103678159E-2</v>
      </c>
      <c r="J32" s="45">
        <f>10537885.72</f>
        <v>10537885.720000001</v>
      </c>
      <c r="K32" s="213">
        <f>J32/J34</f>
        <v>8.5256137266226148E-2</v>
      </c>
      <c r="L32" s="45">
        <f t="shared" si="10"/>
        <v>10885629.473529411</v>
      </c>
      <c r="M32" s="213">
        <f>L32/L34</f>
        <v>8.2538574266129414E-2</v>
      </c>
      <c r="N32" s="214">
        <f t="shared" si="8"/>
        <v>13273030.014509805</v>
      </c>
      <c r="O32" s="214">
        <f t="shared" si="9"/>
        <v>13396112.890314914</v>
      </c>
      <c r="P32" s="215"/>
      <c r="Q32" s="95">
        <v>9</v>
      </c>
      <c r="R32" s="102" t="s">
        <v>142</v>
      </c>
      <c r="S32" s="97">
        <v>2501144.19</v>
      </c>
      <c r="T32" s="97">
        <v>2645212.89</v>
      </c>
      <c r="U32" s="97">
        <f>2707776.74</f>
        <v>2707776.74</v>
      </c>
      <c r="V32" s="97">
        <f>2760789.37</f>
        <v>2760789.37</v>
      </c>
      <c r="W32" s="97">
        <v>2538135.12</v>
      </c>
      <c r="X32" s="97">
        <v>2596091.34</v>
      </c>
      <c r="Y32" s="97">
        <f>2486286.67</f>
        <v>2486286.67</v>
      </c>
      <c r="Z32" s="97">
        <f>2904138.86</f>
        <v>2904138.86</v>
      </c>
      <c r="AA32" s="97">
        <f>2749841.94</f>
        <v>2749841.94</v>
      </c>
      <c r="AB32" s="97">
        <v>3292207.92</v>
      </c>
      <c r="AC32" s="97">
        <f>3093413.87</f>
        <v>3093413.87</v>
      </c>
      <c r="AD32" s="97">
        <v>6370992.7699999996</v>
      </c>
      <c r="AE32" s="45">
        <f t="shared" si="11"/>
        <v>36646031.68</v>
      </c>
      <c r="AF32" s="219">
        <f t="shared" si="12"/>
        <v>0.26321419356225761</v>
      </c>
    </row>
    <row r="33" spans="1:33" x14ac:dyDescent="0.15">
      <c r="A33" s="206" t="s">
        <v>293</v>
      </c>
      <c r="B33" s="45">
        <v>13142588.08</v>
      </c>
      <c r="C33" s="213">
        <f>B33/B34</f>
        <v>0.14326927184862728</v>
      </c>
      <c r="D33" s="45">
        <v>12634997.68</v>
      </c>
      <c r="E33" s="213">
        <f>D33/D34</f>
        <v>0.13107524652852412</v>
      </c>
      <c r="F33" s="45">
        <v>13392877.380000001</v>
      </c>
      <c r="G33" s="213">
        <f>F33/F34</f>
        <v>0.12710928808032895</v>
      </c>
      <c r="H33" s="45">
        <f>15787827.89+865628.68</f>
        <v>16653456.57</v>
      </c>
      <c r="I33" s="213">
        <f>H33/H34</f>
        <v>0.14311845891715769</v>
      </c>
      <c r="J33" s="45">
        <v>18897584.34</v>
      </c>
      <c r="K33" s="213">
        <f>J33/J34</f>
        <v>0.15288978143246798</v>
      </c>
      <c r="L33" s="45">
        <f t="shared" si="10"/>
        <v>18111445.873529412</v>
      </c>
      <c r="M33" s="213">
        <f>L33/L34</f>
        <v>0.13732719122347697</v>
      </c>
      <c r="N33" s="214">
        <f t="shared" si="8"/>
        <v>22351788.054509807</v>
      </c>
      <c r="O33" s="214">
        <f t="shared" si="9"/>
        <v>23034628.738799766</v>
      </c>
      <c r="P33" s="215"/>
      <c r="Q33" s="95">
        <v>10</v>
      </c>
      <c r="R33" s="102" t="s">
        <v>143</v>
      </c>
      <c r="S33" s="97">
        <v>1923273.17</v>
      </c>
      <c r="T33" s="97">
        <v>1859487.61</v>
      </c>
      <c r="U33" s="97">
        <f>3319884.02</f>
        <v>3319884.02</v>
      </c>
      <c r="V33" s="97">
        <f>1694768.04</f>
        <v>1694768.04</v>
      </c>
      <c r="W33" s="97">
        <v>2841243.25</v>
      </c>
      <c r="X33" s="97">
        <v>2332380.98</v>
      </c>
      <c r="Y33" s="97">
        <f>2773153.98</f>
        <v>2773153.98</v>
      </c>
      <c r="Z33" s="97">
        <f>2320018.91</f>
        <v>2320018.91</v>
      </c>
      <c r="AA33" s="97">
        <f>2441388.21</f>
        <v>2441388.21</v>
      </c>
      <c r="AB33" s="97">
        <v>2299921.27</v>
      </c>
      <c r="AC33" s="97">
        <f>2295102.87</f>
        <v>2295102.87</v>
      </c>
      <c r="AD33" s="97">
        <f>3672098.02</f>
        <v>3672098.02</v>
      </c>
      <c r="AE33" s="45">
        <f t="shared" si="11"/>
        <v>29772720.330000002</v>
      </c>
      <c r="AF33" s="219">
        <f t="shared" si="12"/>
        <v>0.21384587123228682</v>
      </c>
    </row>
    <row r="34" spans="1:33" x14ac:dyDescent="0.15">
      <c r="A34" s="229" t="s">
        <v>257</v>
      </c>
      <c r="B34" s="214">
        <f>SUM(B22:B33)</f>
        <v>91733474.390000001</v>
      </c>
      <c r="C34" s="213">
        <f>B34/B34</f>
        <v>1</v>
      </c>
      <c r="D34" s="214">
        <f>SUM(D22:D33)</f>
        <v>96394994.590000004</v>
      </c>
      <c r="E34" s="213">
        <f>D34/D34</f>
        <v>1</v>
      </c>
      <c r="F34" s="217">
        <f>SUM(F22:F33)</f>
        <v>105365056.96999998</v>
      </c>
      <c r="G34" s="213">
        <f>F34/F34</f>
        <v>1</v>
      </c>
      <c r="H34" s="214">
        <f>SUM(H22:H33)</f>
        <v>116361346.37</v>
      </c>
      <c r="I34" s="213">
        <f>H34/H34</f>
        <v>1</v>
      </c>
      <c r="J34" s="214">
        <f>SUM(J22:J33)</f>
        <v>123602664.37</v>
      </c>
      <c r="K34" s="213">
        <f>J34/J34</f>
        <v>1</v>
      </c>
      <c r="L34" s="214">
        <f>SUM(L22:L33)</f>
        <v>131885358.6982353</v>
      </c>
      <c r="M34" s="213">
        <f>L34/L34</f>
        <v>1</v>
      </c>
      <c r="N34" s="214">
        <f>SUM(N22:N33)</f>
        <v>158387627.28107846</v>
      </c>
      <c r="O34" s="214">
        <f>SUM(O22:O33)</f>
        <v>160677877.79373145</v>
      </c>
      <c r="P34" s="215"/>
      <c r="Q34" s="95">
        <v>11</v>
      </c>
      <c r="R34" s="102" t="s">
        <v>144</v>
      </c>
      <c r="S34" s="97">
        <v>223988.11</v>
      </c>
      <c r="T34" s="97">
        <v>238926.62</v>
      </c>
      <c r="U34" s="97">
        <f>444544.53</f>
        <v>444544.53</v>
      </c>
      <c r="V34" s="97">
        <f>350230.29</f>
        <v>350230.29</v>
      </c>
      <c r="W34" s="97">
        <v>301969.11</v>
      </c>
      <c r="X34" s="97">
        <v>250021.63</v>
      </c>
      <c r="Y34" s="97">
        <f>324346.38</f>
        <v>324346.38</v>
      </c>
      <c r="Z34" s="97">
        <f>519836.68</f>
        <v>519836.68</v>
      </c>
      <c r="AA34" s="97">
        <f>280877.52</f>
        <v>280877.52</v>
      </c>
      <c r="AB34" s="97">
        <v>280169.05</v>
      </c>
      <c r="AC34" s="97">
        <f>290273.97</f>
        <v>290273.96999999997</v>
      </c>
      <c r="AD34" s="97">
        <v>699983.49</v>
      </c>
      <c r="AE34" s="45">
        <f t="shared" si="11"/>
        <v>4205167.38</v>
      </c>
      <c r="AF34" s="219">
        <f t="shared" si="12"/>
        <v>3.0204081860385812E-2</v>
      </c>
    </row>
    <row r="35" spans="1:33" x14ac:dyDescent="0.15">
      <c r="A35" s="693" t="s">
        <v>295</v>
      </c>
      <c r="B35" s="694"/>
      <c r="C35" s="230"/>
      <c r="D35" s="219">
        <v>6.0015320688915311E-2</v>
      </c>
      <c r="E35" s="222"/>
      <c r="F35" s="219">
        <v>0.20274498470762234</v>
      </c>
      <c r="G35" s="222"/>
      <c r="H35" s="219">
        <v>0.15953984091624773</v>
      </c>
      <c r="I35" s="222"/>
      <c r="J35" s="219">
        <v>6.1875221132593451E-2</v>
      </c>
      <c r="K35" s="222"/>
      <c r="L35" s="219">
        <v>0.11385731154850591</v>
      </c>
      <c r="M35" s="222"/>
      <c r="N35" s="219">
        <v>8.5121633034852109E-2</v>
      </c>
      <c r="O35" s="219">
        <v>6.910798377128255E-2</v>
      </c>
      <c r="P35" s="215"/>
      <c r="Q35" s="95">
        <v>12</v>
      </c>
      <c r="R35" s="102" t="s">
        <v>145</v>
      </c>
      <c r="S35" s="97">
        <v>86173.57</v>
      </c>
      <c r="T35" s="97">
        <v>87289.61</v>
      </c>
      <c r="U35" s="97">
        <f>110850.94</f>
        <v>110850.94</v>
      </c>
      <c r="V35" s="97">
        <f>170732.58</f>
        <v>170732.58</v>
      </c>
      <c r="W35" s="97">
        <v>123830.35</v>
      </c>
      <c r="X35" s="97">
        <v>100646.67</v>
      </c>
      <c r="Y35" s="97">
        <f>152027.1</f>
        <v>152027.1</v>
      </c>
      <c r="Z35" s="97">
        <f>129842.8</f>
        <v>129842.8</v>
      </c>
      <c r="AA35" s="97">
        <f>156982.51</f>
        <v>156982.51</v>
      </c>
      <c r="AB35" s="97">
        <v>166303.81</v>
      </c>
      <c r="AC35" s="97">
        <f>160536.3</f>
        <v>160536.29999999999</v>
      </c>
      <c r="AD35" s="97">
        <v>273626.63</v>
      </c>
      <c r="AE35" s="45">
        <f t="shared" si="11"/>
        <v>1718842.87</v>
      </c>
      <c r="AF35" s="219">
        <f t="shared" si="12"/>
        <v>1.2345779860639101E-2</v>
      </c>
    </row>
    <row r="36" spans="1:33" x14ac:dyDescent="0.15">
      <c r="A36" s="206" t="s">
        <v>306</v>
      </c>
      <c r="B36" s="231">
        <f>B17-B34</f>
        <v>335252.49000000954</v>
      </c>
      <c r="C36" s="213"/>
      <c r="D36" s="231">
        <f>D17-D34</f>
        <v>8125761.4799999893</v>
      </c>
      <c r="E36" s="231"/>
      <c r="F36" s="231">
        <f>F17-F34</f>
        <v>-11138555.429999992</v>
      </c>
      <c r="G36" s="231"/>
      <c r="H36" s="231">
        <f>H17-H34</f>
        <v>-323055.85000000894</v>
      </c>
      <c r="I36" s="231"/>
      <c r="J36" s="231">
        <f>J17-J34</f>
        <v>263135.53000000119</v>
      </c>
      <c r="K36" s="231"/>
      <c r="L36" s="231">
        <f>L17-L34</f>
        <v>8492451.5741456747</v>
      </c>
      <c r="M36" s="231"/>
      <c r="N36" s="231">
        <f>N17-N34</f>
        <v>-8104089.430798769</v>
      </c>
      <c r="O36" s="231">
        <f>O17-O34</f>
        <v>7750185.4294941723</v>
      </c>
      <c r="P36" s="215"/>
      <c r="Q36" s="95">
        <v>13</v>
      </c>
      <c r="R36" s="102" t="s">
        <v>146</v>
      </c>
      <c r="S36" s="97">
        <v>231987.94</v>
      </c>
      <c r="T36" s="97">
        <v>219845.87</v>
      </c>
      <c r="U36" s="97">
        <f>232249.03</f>
        <v>232249.03</v>
      </c>
      <c r="V36" s="97">
        <f>197988.6</f>
        <v>197988.6</v>
      </c>
      <c r="W36" s="97">
        <v>276580.63</v>
      </c>
      <c r="X36" s="97">
        <v>164311.51</v>
      </c>
      <c r="Y36" s="97">
        <f>289137.43</f>
        <v>289137.43</v>
      </c>
      <c r="Z36" s="97">
        <f>282248.93</f>
        <v>282248.93</v>
      </c>
      <c r="AA36" s="97">
        <f>245971.82</f>
        <v>245971.82</v>
      </c>
      <c r="AB36" s="97">
        <v>265685.15999999997</v>
      </c>
      <c r="AC36" s="97">
        <f>286105.39</f>
        <v>286105.39</v>
      </c>
      <c r="AD36" s="97">
        <f>525604.09</f>
        <v>525604.09</v>
      </c>
      <c r="AE36" s="45">
        <f t="shared" si="11"/>
        <v>3217716.4</v>
      </c>
      <c r="AF36" s="219">
        <f t="shared" si="12"/>
        <v>2.3111605500256194E-2</v>
      </c>
    </row>
    <row r="37" spans="1:33" x14ac:dyDescent="0.15">
      <c r="L37" s="61"/>
      <c r="P37" s="215"/>
      <c r="Q37" s="95">
        <v>14</v>
      </c>
      <c r="R37" s="102" t="s">
        <v>294</v>
      </c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45">
        <f t="shared" si="11"/>
        <v>0</v>
      </c>
      <c r="AF37" s="219">
        <f t="shared" si="12"/>
        <v>0</v>
      </c>
    </row>
    <row r="38" spans="1:33" x14ac:dyDescent="0.15">
      <c r="P38" s="215"/>
      <c r="Q38" s="95">
        <v>15</v>
      </c>
      <c r="R38" s="102" t="s">
        <v>147</v>
      </c>
      <c r="S38" s="97">
        <v>1774960.27</v>
      </c>
      <c r="T38" s="97">
        <v>1896890.26</v>
      </c>
      <c r="U38" s="97">
        <f>1916270.79</f>
        <v>1916270.79</v>
      </c>
      <c r="V38" s="97">
        <f>1849406</f>
        <v>1849406</v>
      </c>
      <c r="W38" s="97">
        <v>1863619.41</v>
      </c>
      <c r="X38" s="97">
        <v>1860929.77</v>
      </c>
      <c r="Y38" s="97">
        <f>1884606.52</f>
        <v>1884606.52</v>
      </c>
      <c r="Z38" s="97">
        <f>1864145.39</f>
        <v>1864145.39</v>
      </c>
      <c r="AA38" s="97">
        <f>1865495.09</f>
        <v>1865495.09</v>
      </c>
      <c r="AB38" s="97">
        <v>1867358.26</v>
      </c>
      <c r="AC38" s="97">
        <f>1866835.19</f>
        <v>1866835.19</v>
      </c>
      <c r="AD38" s="97">
        <f>3705769.57</f>
        <v>3705769.57</v>
      </c>
      <c r="AE38" s="45">
        <f t="shared" si="11"/>
        <v>24216286.520000003</v>
      </c>
      <c r="AF38" s="219">
        <f t="shared" si="12"/>
        <v>0.17393616812575902</v>
      </c>
      <c r="AG38" s="200"/>
    </row>
    <row r="39" spans="1:33" x14ac:dyDescent="0.15">
      <c r="B39" s="232" t="s">
        <v>266</v>
      </c>
      <c r="C39" s="232" t="s">
        <v>307</v>
      </c>
      <c r="D39" s="95" t="s">
        <v>308</v>
      </c>
      <c r="F39" s="95" t="s">
        <v>309</v>
      </c>
      <c r="H39" s="95" t="s">
        <v>310</v>
      </c>
      <c r="I39" s="232" t="s">
        <v>307</v>
      </c>
      <c r="J39" s="95" t="s">
        <v>309</v>
      </c>
      <c r="L39" s="232" t="s">
        <v>311</v>
      </c>
      <c r="P39" s="215"/>
      <c r="Q39" s="95">
        <v>16</v>
      </c>
      <c r="R39" s="102" t="s">
        <v>148</v>
      </c>
      <c r="S39" s="97">
        <v>423850.66</v>
      </c>
      <c r="T39" s="97">
        <v>711839.77</v>
      </c>
      <c r="U39" s="97">
        <f>329907.73</f>
        <v>329907.73</v>
      </c>
      <c r="V39" s="97">
        <f>490200.6</f>
        <v>490200.6</v>
      </c>
      <c r="W39" s="97">
        <v>504884.87</v>
      </c>
      <c r="X39" s="97">
        <v>615775.14</v>
      </c>
      <c r="Y39" s="97">
        <f>842005.18</f>
        <v>842005.18</v>
      </c>
      <c r="Z39" s="97">
        <f>30710.12</f>
        <v>30710.12</v>
      </c>
      <c r="AA39" s="97">
        <f>779118.3</f>
        <v>779118.3</v>
      </c>
      <c r="AB39" s="97">
        <v>501124.29</v>
      </c>
      <c r="AC39" s="97">
        <f>303427.72</f>
        <v>303427.71999999997</v>
      </c>
      <c r="AD39" s="97">
        <f>173953.13</f>
        <v>173953.13</v>
      </c>
      <c r="AE39" s="45">
        <f t="shared" si="11"/>
        <v>5706797.5099999998</v>
      </c>
      <c r="AF39" s="219">
        <f t="shared" si="12"/>
        <v>4.0989707085734579E-2</v>
      </c>
    </row>
    <row r="40" spans="1:33" x14ac:dyDescent="0.15">
      <c r="B40" s="95" t="s">
        <v>283</v>
      </c>
      <c r="C40" s="233" t="s">
        <v>284</v>
      </c>
      <c r="D40" s="101" t="s">
        <v>312</v>
      </c>
      <c r="F40" s="95" t="s">
        <v>313</v>
      </c>
      <c r="H40" s="95" t="s">
        <v>314</v>
      </c>
      <c r="I40" s="233" t="s">
        <v>284</v>
      </c>
      <c r="J40" s="95" t="s">
        <v>238</v>
      </c>
      <c r="L40" s="95" t="s">
        <v>315</v>
      </c>
      <c r="P40" s="215"/>
      <c r="Q40" s="224" t="s">
        <v>297</v>
      </c>
      <c r="R40" s="102" t="s">
        <v>282</v>
      </c>
      <c r="S40" s="45">
        <f t="shared" ref="S40:AC40" si="13">SUM(S24:S39)</f>
        <v>9502229.8300000001</v>
      </c>
      <c r="T40" s="45">
        <f t="shared" si="13"/>
        <v>9870035.4800000004</v>
      </c>
      <c r="U40" s="45">
        <f t="shared" si="13"/>
        <v>11697778.77</v>
      </c>
      <c r="V40" s="45">
        <f t="shared" si="13"/>
        <v>9795349.0399999991</v>
      </c>
      <c r="W40" s="45">
        <f t="shared" si="13"/>
        <v>11144329.4</v>
      </c>
      <c r="X40" s="45">
        <f t="shared" si="13"/>
        <v>10512021.270000001</v>
      </c>
      <c r="Y40" s="45">
        <f t="shared" si="13"/>
        <v>11281097.359999999</v>
      </c>
      <c r="Z40" s="45">
        <f t="shared" si="13"/>
        <v>11242671.82</v>
      </c>
      <c r="AA40" s="45">
        <f t="shared" si="13"/>
        <v>10938610.350000001</v>
      </c>
      <c r="AB40" s="45">
        <f>SUM(AB24:AB39)</f>
        <v>11341397.140000001</v>
      </c>
      <c r="AC40" s="45">
        <f t="shared" si="13"/>
        <v>11405835.470000003</v>
      </c>
      <c r="AD40" s="45">
        <f>SUM(AD24:AD39)</f>
        <v>20493779.25</v>
      </c>
      <c r="AE40" s="45">
        <f>SUM(AE24:AE39)</f>
        <v>139225135.17999998</v>
      </c>
      <c r="AF40" s="219">
        <f t="shared" si="12"/>
        <v>1</v>
      </c>
    </row>
    <row r="41" spans="1:33" x14ac:dyDescent="0.15">
      <c r="B41" s="232" t="s">
        <v>118</v>
      </c>
      <c r="C41" s="45">
        <f>D41/$D$53</f>
        <v>7.5735840465239151E-2</v>
      </c>
      <c r="D41" s="45">
        <v>11654886.960000001</v>
      </c>
      <c r="F41" s="179">
        <f>D41-L5</f>
        <v>0</v>
      </c>
      <c r="H41" s="45">
        <v>9502229.8300000001</v>
      </c>
      <c r="I41" s="234">
        <f>H41/$H$53</f>
        <v>6.8250821360057237E-2</v>
      </c>
      <c r="J41" s="179">
        <f>H41-L22</f>
        <v>0</v>
      </c>
      <c r="L41" s="179">
        <f>D41-H41</f>
        <v>2152657.1300000008</v>
      </c>
      <c r="O41" s="119"/>
      <c r="R41" s="200"/>
      <c r="S41" s="200">
        <f>S40-$H41</f>
        <v>0</v>
      </c>
      <c r="T41" s="200">
        <f>T40-H42</f>
        <v>0</v>
      </c>
      <c r="U41" s="200">
        <f>U40-$H43</f>
        <v>0</v>
      </c>
      <c r="V41" s="200">
        <f>V40-$H44</f>
        <v>0</v>
      </c>
      <c r="W41" s="200">
        <f>W40-$H45</f>
        <v>0</v>
      </c>
      <c r="X41" s="200">
        <f>X40-$H46</f>
        <v>0</v>
      </c>
      <c r="Y41" s="200">
        <f>Y40-$H47</f>
        <v>0</v>
      </c>
      <c r="Z41" s="200">
        <f>Z40-$H48</f>
        <v>0</v>
      </c>
      <c r="AA41" s="200">
        <f>AA40-$H49</f>
        <v>0</v>
      </c>
      <c r="AB41" s="200">
        <f>AB40-$H50</f>
        <v>0</v>
      </c>
      <c r="AC41" s="200">
        <f>AC40-$H51</f>
        <v>0</v>
      </c>
      <c r="AD41" s="200">
        <f>AD40-$H52</f>
        <v>0</v>
      </c>
      <c r="AE41" s="200">
        <f>AE40-$H53</f>
        <v>0</v>
      </c>
      <c r="AF41" s="87"/>
    </row>
    <row r="42" spans="1:33" x14ac:dyDescent="0.15">
      <c r="B42" s="232" t="s">
        <v>119</v>
      </c>
      <c r="C42" s="45">
        <f t="shared" ref="C42:C51" si="14">D42/$D$53</f>
        <v>7.7381007893025863E-2</v>
      </c>
      <c r="D42" s="45">
        <v>11908059.57</v>
      </c>
      <c r="F42" s="179">
        <f t="shared" ref="F42:F52" si="15">D42-L6</f>
        <v>0</v>
      </c>
      <c r="H42" s="45">
        <v>9870035.4800000004</v>
      </c>
      <c r="I42" s="234">
        <f t="shared" ref="I42:I52" si="16">H42/$H$53</f>
        <v>7.0892626300842351E-2</v>
      </c>
      <c r="J42" s="179">
        <f t="shared" ref="J42:J52" si="17">H42-L23</f>
        <v>0</v>
      </c>
      <c r="L42" s="179">
        <f>D42-H42</f>
        <v>2038024.0899999999</v>
      </c>
      <c r="O42" s="119"/>
      <c r="S42" s="107" t="s">
        <v>316</v>
      </c>
      <c r="W42" s="107" t="s">
        <v>317</v>
      </c>
      <c r="Y42" s="60"/>
      <c r="AE42" s="394">
        <f>85045512.97</f>
        <v>85045512.969999999</v>
      </c>
    </row>
    <row r="43" spans="1:33" x14ac:dyDescent="0.15">
      <c r="B43" s="232" t="s">
        <v>120</v>
      </c>
      <c r="C43" s="45">
        <f t="shared" si="14"/>
        <v>7.2624682555531173E-2</v>
      </c>
      <c r="D43" s="45">
        <f>11176115.04</f>
        <v>11176115.039999999</v>
      </c>
      <c r="F43" s="179">
        <f>D43-L7</f>
        <v>39551.046825395897</v>
      </c>
      <c r="H43" s="45">
        <v>11697778.77</v>
      </c>
      <c r="I43" s="234">
        <f t="shared" si="16"/>
        <v>8.402059552591773E-2</v>
      </c>
      <c r="J43" s="179">
        <f>H43-L24</f>
        <v>1352579.2170588225</v>
      </c>
      <c r="L43" s="179">
        <f>D43-H43</f>
        <v>-521663.73000000045</v>
      </c>
      <c r="O43" s="119"/>
      <c r="P43" s="235"/>
      <c r="Q43" s="236"/>
      <c r="R43" s="237"/>
      <c r="S43" s="237" t="s">
        <v>118</v>
      </c>
      <c r="T43" s="95" t="s">
        <v>119</v>
      </c>
      <c r="U43" s="95" t="s">
        <v>120</v>
      </c>
      <c r="V43" s="95" t="s">
        <v>121</v>
      </c>
      <c r="W43" s="95" t="s">
        <v>285</v>
      </c>
      <c r="X43" s="95" t="s">
        <v>286</v>
      </c>
      <c r="Y43" s="95" t="s">
        <v>287</v>
      </c>
      <c r="Z43" s="95" t="s">
        <v>288</v>
      </c>
      <c r="AA43" s="95" t="s">
        <v>289</v>
      </c>
      <c r="AB43" s="95" t="s">
        <v>291</v>
      </c>
      <c r="AC43" s="95" t="s">
        <v>292</v>
      </c>
      <c r="AD43" s="95" t="s">
        <v>293</v>
      </c>
      <c r="AE43" s="95" t="s">
        <v>282</v>
      </c>
    </row>
    <row r="44" spans="1:33" x14ac:dyDescent="0.15">
      <c r="B44" s="232" t="s">
        <v>121</v>
      </c>
      <c r="C44" s="45">
        <f>D44/$D$53</f>
        <v>7.6568155597974849E-2</v>
      </c>
      <c r="D44" s="45">
        <f>11782970.82</f>
        <v>11782970.82</v>
      </c>
      <c r="F44" s="179">
        <f t="shared" si="15"/>
        <v>232089.40095238201</v>
      </c>
      <c r="H44" s="45">
        <f>9795349.04</f>
        <v>9795349.0399999991</v>
      </c>
      <c r="I44" s="234">
        <f t="shared" si="16"/>
        <v>7.0356182648599233E-2</v>
      </c>
      <c r="J44" s="179">
        <f t="shared" si="17"/>
        <v>-558050.53647059016</v>
      </c>
      <c r="L44" s="179">
        <f>D44-H44</f>
        <v>1987621.7800000012</v>
      </c>
      <c r="O44" s="61"/>
      <c r="P44" s="238" t="s">
        <v>318</v>
      </c>
      <c r="Q44" s="239" t="s">
        <v>319</v>
      </c>
      <c r="R44" s="240"/>
      <c r="S44" s="241">
        <f>SUM(S45:S47)</f>
        <v>10156873.166126085</v>
      </c>
      <c r="T44" s="241">
        <f t="shared" ref="T44:AC44" si="18">SUM(T45:T47)</f>
        <v>10370897.690090632</v>
      </c>
      <c r="U44" s="241">
        <f t="shared" si="18"/>
        <v>9718698.4906163756</v>
      </c>
      <c r="V44" s="241">
        <f t="shared" si="18"/>
        <v>10068950.004169472</v>
      </c>
      <c r="W44" s="241">
        <f t="shared" si="18"/>
        <v>9964004.7283447981</v>
      </c>
      <c r="X44" s="241">
        <f t="shared" si="18"/>
        <v>9084406.9052386843</v>
      </c>
      <c r="Y44" s="241">
        <f t="shared" si="18"/>
        <v>10577707.583242672</v>
      </c>
      <c r="Z44" s="241">
        <f t="shared" si="18"/>
        <v>9277833.8443450928</v>
      </c>
      <c r="AA44" s="241">
        <f t="shared" si="18"/>
        <v>9183467.0399999302</v>
      </c>
      <c r="AB44" s="241">
        <f t="shared" si="18"/>
        <v>9944780.9667185843</v>
      </c>
      <c r="AC44" s="241">
        <f t="shared" si="18"/>
        <v>9303486.1401222907</v>
      </c>
      <c r="AD44" s="241">
        <f>SUM(AD45:AD47)</f>
        <v>14670259.420985375</v>
      </c>
      <c r="AE44" s="241">
        <f>SUM(AE45:AE47)</f>
        <v>122321365.97999999</v>
      </c>
    </row>
    <row r="45" spans="1:33" x14ac:dyDescent="0.15">
      <c r="B45" s="232" t="s">
        <v>285</v>
      </c>
      <c r="C45" s="45">
        <f t="shared" si="14"/>
        <v>7.790882501938759E-2</v>
      </c>
      <c r="D45" s="45">
        <v>11989284.640000001</v>
      </c>
      <c r="F45" s="179">
        <f t="shared" si="15"/>
        <v>562544.45904761925</v>
      </c>
      <c r="H45" s="45">
        <v>11144329.4</v>
      </c>
      <c r="I45" s="234">
        <f t="shared" si="16"/>
        <v>8.0045383943005907E-2</v>
      </c>
      <c r="J45" s="179">
        <f t="shared" si="17"/>
        <v>907808.70588235371</v>
      </c>
      <c r="L45" s="179">
        <f>D45-H45</f>
        <v>844955.24000000022</v>
      </c>
      <c r="P45" s="102" t="s">
        <v>320</v>
      </c>
      <c r="Q45" s="242" t="s">
        <v>321</v>
      </c>
      <c r="R45" s="243"/>
      <c r="S45" s="241">
        <f>89132085.65*S21</f>
        <v>7401023.375812836</v>
      </c>
      <c r="T45" s="241">
        <f t="shared" ref="T45:AC45" si="19">89132085.65*T21</f>
        <v>7556976.933462997</v>
      </c>
      <c r="U45" s="241">
        <f t="shared" si="19"/>
        <v>7081738.0049024252</v>
      </c>
      <c r="V45" s="241">
        <f t="shared" si="19"/>
        <v>7336956.2789540812</v>
      </c>
      <c r="W45" s="241">
        <f t="shared" si="19"/>
        <v>7260485.6539048404</v>
      </c>
      <c r="X45" s="241">
        <f t="shared" si="19"/>
        <v>6619547.8432572177</v>
      </c>
      <c r="Y45" s="241">
        <f t="shared" si="19"/>
        <v>7707673.39570418</v>
      </c>
      <c r="Z45" s="241">
        <f t="shared" si="19"/>
        <v>6760492.5291289296</v>
      </c>
      <c r="AA45" s="241">
        <f t="shared" si="19"/>
        <v>6691730.1341047846</v>
      </c>
      <c r="AB45" s="241">
        <f t="shared" si="19"/>
        <v>7246477.8478763895</v>
      </c>
      <c r="AC45" s="241">
        <f t="shared" si="19"/>
        <v>6779184.6243815785</v>
      </c>
      <c r="AD45" s="241">
        <f>89132085.65*AD21</f>
        <v>10689799.028509736</v>
      </c>
      <c r="AE45" s="45">
        <f>SUM(S45:AD45)</f>
        <v>89132085.649999991</v>
      </c>
      <c r="AF45" s="119"/>
      <c r="AG45" s="60"/>
    </row>
    <row r="46" spans="1:33" x14ac:dyDescent="0.15">
      <c r="B46" s="232" t="s">
        <v>286</v>
      </c>
      <c r="C46" s="45">
        <f t="shared" si="14"/>
        <v>7.3252150234810839E-2</v>
      </c>
      <c r="D46" s="45">
        <v>11272675.199999999</v>
      </c>
      <c r="F46" s="179">
        <f t="shared" si="15"/>
        <v>886423.61587301455</v>
      </c>
      <c r="H46" s="45">
        <v>10512021.27</v>
      </c>
      <c r="I46" s="234">
        <f t="shared" si="16"/>
        <v>7.5503760555946473E-2</v>
      </c>
      <c r="J46" s="179">
        <f>H46-L27</f>
        <v>-696073.73294117674</v>
      </c>
      <c r="L46" s="179">
        <f t="shared" ref="L46:L52" si="20">D46-H46</f>
        <v>760653.9299999997</v>
      </c>
      <c r="P46" s="102" t="s">
        <v>322</v>
      </c>
      <c r="Q46" s="239" t="s">
        <v>323</v>
      </c>
      <c r="R46" s="240"/>
      <c r="S46" s="241">
        <f>115171*S21</f>
        <v>9563.1472886525025</v>
      </c>
      <c r="T46" s="241">
        <f t="shared" ref="T46:AD46" si="21">115171*T21</f>
        <v>9764.6608856601651</v>
      </c>
      <c r="U46" s="241">
        <f t="shared" si="21"/>
        <v>9150.5863664553108</v>
      </c>
      <c r="V46" s="241">
        <f t="shared" si="21"/>
        <v>9480.3637258253748</v>
      </c>
      <c r="W46" s="241">
        <f t="shared" si="21"/>
        <v>9381.5530866114568</v>
      </c>
      <c r="X46" s="241">
        <f t="shared" si="21"/>
        <v>8553.372661439309</v>
      </c>
      <c r="Y46" s="241">
        <f t="shared" si="21"/>
        <v>9959.3815872594932</v>
      </c>
      <c r="Z46" s="241">
        <f t="shared" si="21"/>
        <v>8735.4927172884782</v>
      </c>
      <c r="AA46" s="241">
        <f t="shared" si="21"/>
        <v>8646.6421789040905</v>
      </c>
      <c r="AB46" s="241">
        <f t="shared" si="21"/>
        <v>9363.4530610557031</v>
      </c>
      <c r="AC46" s="241">
        <f t="shared" si="21"/>
        <v>8759.6454933246678</v>
      </c>
      <c r="AD46" s="241">
        <f t="shared" si="21"/>
        <v>13812.700947523434</v>
      </c>
      <c r="AE46" s="45">
        <f t="shared" ref="AE46:AE53" si="22">SUM(S46:AD46)</f>
        <v>115170.99999999999</v>
      </c>
      <c r="AF46" s="119"/>
      <c r="AG46" s="60"/>
    </row>
    <row r="47" spans="1:33" x14ac:dyDescent="0.15">
      <c r="B47" s="232" t="s">
        <v>287</v>
      </c>
      <c r="C47" s="45">
        <f t="shared" si="14"/>
        <v>9.2622429897009861E-2</v>
      </c>
      <c r="D47" s="45">
        <f>14253541.57</f>
        <v>14253541.57</v>
      </c>
      <c r="F47" s="179">
        <f t="shared" si="15"/>
        <v>2100843.6779365074</v>
      </c>
      <c r="H47" s="45">
        <f>11281097.36</f>
        <v>11281097.359999999</v>
      </c>
      <c r="I47" s="234">
        <f t="shared" si="16"/>
        <v>8.10277350093071E-2</v>
      </c>
      <c r="J47" s="179">
        <f t="shared" si="17"/>
        <v>1078241.6041176468</v>
      </c>
      <c r="L47" s="179">
        <f t="shared" si="20"/>
        <v>2972444.2100000009</v>
      </c>
      <c r="P47" s="102" t="s">
        <v>324</v>
      </c>
      <c r="Q47" s="242" t="s">
        <v>325</v>
      </c>
      <c r="R47" s="243"/>
      <c r="S47" s="241">
        <f>33074109.33*S21</f>
        <v>2746286.6430245973</v>
      </c>
      <c r="T47" s="241">
        <f t="shared" ref="T47:AD47" si="23">33074109.33*T21</f>
        <v>2804156.0957419747</v>
      </c>
      <c r="U47" s="241">
        <f t="shared" si="23"/>
        <v>2627809.8993474953</v>
      </c>
      <c r="V47" s="241">
        <f t="shared" si="23"/>
        <v>2722513.3614895642</v>
      </c>
      <c r="W47" s="241">
        <f t="shared" si="23"/>
        <v>2694137.5213533468</v>
      </c>
      <c r="X47" s="241">
        <f t="shared" si="23"/>
        <v>2456305.6893200264</v>
      </c>
      <c r="Y47" s="241">
        <f t="shared" si="23"/>
        <v>2860074.8059512326</v>
      </c>
      <c r="Z47" s="241">
        <f t="shared" si="23"/>
        <v>2508605.8224988747</v>
      </c>
      <c r="AA47" s="241">
        <f>33074109.33*AA21</f>
        <v>2483090.2637162418</v>
      </c>
      <c r="AB47" s="241">
        <f t="shared" si="23"/>
        <v>2688939.6657811385</v>
      </c>
      <c r="AC47" s="241">
        <f t="shared" si="23"/>
        <v>2515541.8702473869</v>
      </c>
      <c r="AD47" s="241">
        <f t="shared" si="23"/>
        <v>3966647.6915281154</v>
      </c>
      <c r="AE47" s="45">
        <f t="shared" si="22"/>
        <v>33074109.329999994</v>
      </c>
      <c r="AF47" s="119"/>
      <c r="AG47" s="60"/>
    </row>
    <row r="48" spans="1:33" x14ac:dyDescent="0.15">
      <c r="B48" s="232" t="s">
        <v>288</v>
      </c>
      <c r="C48" s="45">
        <f t="shared" si="14"/>
        <v>7.6664076311396323E-2</v>
      </c>
      <c r="D48" s="45">
        <f>11797731.93</f>
        <v>11797731.93</v>
      </c>
      <c r="F48" s="179">
        <f t="shared" si="15"/>
        <v>1182672.9077777769</v>
      </c>
      <c r="H48" s="45">
        <v>11242671.82</v>
      </c>
      <c r="I48" s="234">
        <f t="shared" si="16"/>
        <v>8.0751739299550235E-2</v>
      </c>
      <c r="J48" s="179">
        <f t="shared" si="17"/>
        <v>842393.09647058882</v>
      </c>
      <c r="L48" s="179">
        <f>D48-H48</f>
        <v>555060.1099999994</v>
      </c>
      <c r="P48" s="102" t="s">
        <v>326</v>
      </c>
      <c r="Q48" s="239" t="s">
        <v>327</v>
      </c>
      <c r="R48" s="240"/>
      <c r="S48" s="241">
        <f>SUM(S49:S51)</f>
        <v>512195.70372697769</v>
      </c>
      <c r="T48" s="241">
        <f>SUM(T49:T51)</f>
        <v>522988.63575181091</v>
      </c>
      <c r="U48" s="241">
        <f t="shared" ref="U48:AE48" si="24">SUM(U49:U51)</f>
        <v>490099.21964105539</v>
      </c>
      <c r="V48" s="241">
        <f t="shared" si="24"/>
        <v>507761.87206681079</v>
      </c>
      <c r="W48" s="241">
        <f t="shared" si="24"/>
        <v>502469.64103028382</v>
      </c>
      <c r="X48" s="241">
        <f t="shared" si="24"/>
        <v>458112.85733969969</v>
      </c>
      <c r="Y48" s="241">
        <f t="shared" si="24"/>
        <v>533417.74489083071</v>
      </c>
      <c r="Z48" s="241">
        <f t="shared" si="24"/>
        <v>467867.08441085933</v>
      </c>
      <c r="AA48" s="241">
        <f t="shared" si="24"/>
        <v>463108.30964135297</v>
      </c>
      <c r="AB48" s="241">
        <f t="shared" si="24"/>
        <v>501500.21589782706</v>
      </c>
      <c r="AC48" s="241">
        <f t="shared" si="24"/>
        <v>469160.69076715742</v>
      </c>
      <c r="AD48" s="241">
        <f t="shared" si="24"/>
        <v>739798.9248353336</v>
      </c>
      <c r="AE48" s="241">
        <f t="shared" si="24"/>
        <v>6168480.9000000004</v>
      </c>
    </row>
    <row r="49" spans="1:34" x14ac:dyDescent="0.15">
      <c r="B49" s="232" t="s">
        <v>289</v>
      </c>
      <c r="C49" s="45">
        <f t="shared" si="14"/>
        <v>6.9384935378275517E-2</v>
      </c>
      <c r="D49" s="45">
        <f>10677554.69</f>
        <v>10677554.689999999</v>
      </c>
      <c r="F49" s="179">
        <f t="shared" si="15"/>
        <v>174123.48365079425</v>
      </c>
      <c r="H49" s="45">
        <f>10938610.35</f>
        <v>10938610.35</v>
      </c>
      <c r="I49" s="234">
        <f t="shared" si="16"/>
        <v>7.8567784012978675E-2</v>
      </c>
      <c r="J49" s="179">
        <f t="shared" si="17"/>
        <v>619145.47941176407</v>
      </c>
      <c r="L49" s="179">
        <f t="shared" si="20"/>
        <v>-261055.66000000015</v>
      </c>
      <c r="N49" s="200"/>
      <c r="P49" s="102" t="s">
        <v>328</v>
      </c>
      <c r="Q49" s="242" t="s">
        <v>329</v>
      </c>
      <c r="R49" s="243"/>
      <c r="S49" s="241">
        <f>5453968.29*S21</f>
        <v>452866.6249742576</v>
      </c>
      <c r="T49" s="241">
        <f t="shared" ref="T49:AD49" si="25">5453968.29*T21</f>
        <v>462409.38112019398</v>
      </c>
      <c r="U49" s="241">
        <f t="shared" si="25"/>
        <v>433329.63921085681</v>
      </c>
      <c r="V49" s="241">
        <f t="shared" si="25"/>
        <v>448946.37659061613</v>
      </c>
      <c r="W49" s="241">
        <f t="shared" si="25"/>
        <v>444267.15966111707</v>
      </c>
      <c r="X49" s="241">
        <f t="shared" si="25"/>
        <v>405048.34783098957</v>
      </c>
      <c r="Y49" s="241">
        <f t="shared" si="25"/>
        <v>471630.45701542177</v>
      </c>
      <c r="Z49" s="241">
        <f t="shared" si="25"/>
        <v>413672.71515934827</v>
      </c>
      <c r="AA49" s="241">
        <f t="shared" si="25"/>
        <v>409465.16274686699</v>
      </c>
      <c r="AB49" s="241">
        <f t="shared" si="25"/>
        <v>443410.02578688419</v>
      </c>
      <c r="AC49" s="241">
        <f t="shared" si="25"/>
        <v>414816.47942827747</v>
      </c>
      <c r="AD49" s="241">
        <f t="shared" si="25"/>
        <v>654105.92047516967</v>
      </c>
      <c r="AE49" s="45">
        <f t="shared" si="22"/>
        <v>5453968.29</v>
      </c>
    </row>
    <row r="50" spans="1:34" x14ac:dyDescent="0.15">
      <c r="B50" s="232" t="s">
        <v>291</v>
      </c>
      <c r="C50" s="45">
        <f>D50/$D$53</f>
        <v>8.7393558302569702E-2</v>
      </c>
      <c r="D50" s="45">
        <v>13448877.529999999</v>
      </c>
      <c r="F50" s="179">
        <f t="shared" si="15"/>
        <v>2044877.4061904754</v>
      </c>
      <c r="H50" s="45">
        <v>11341397.140000001</v>
      </c>
      <c r="I50" s="234">
        <f t="shared" si="16"/>
        <v>8.146084487788105E-2</v>
      </c>
      <c r="J50" s="179">
        <f t="shared" si="17"/>
        <v>891193.27529411763</v>
      </c>
      <c r="L50" s="179">
        <f t="shared" si="20"/>
        <v>2107480.3899999987</v>
      </c>
      <c r="N50" s="200"/>
      <c r="P50" s="102" t="s">
        <v>330</v>
      </c>
      <c r="Q50" s="242" t="s">
        <v>331</v>
      </c>
      <c r="R50" s="243"/>
      <c r="S50" s="241">
        <f>10608*S21</f>
        <v>880.82821576634524</v>
      </c>
      <c r="T50" s="241">
        <f t="shared" ref="T50:AA50" si="26">10608*T21</f>
        <v>899.38893189329815</v>
      </c>
      <c r="U50" s="241">
        <f t="shared" si="26"/>
        <v>842.82866498821704</v>
      </c>
      <c r="V50" s="241">
        <f t="shared" si="26"/>
        <v>873.20330989186152</v>
      </c>
      <c r="W50" s="241">
        <f t="shared" si="26"/>
        <v>864.10220578769258</v>
      </c>
      <c r="X50" s="241">
        <f t="shared" si="26"/>
        <v>787.82138900025348</v>
      </c>
      <c r="Y50" s="241">
        <f t="shared" si="26"/>
        <v>917.32397806434517</v>
      </c>
      <c r="Z50" s="241">
        <f t="shared" si="26"/>
        <v>804.59583354313315</v>
      </c>
      <c r="AA50" s="241">
        <f t="shared" si="26"/>
        <v>796.41211966393098</v>
      </c>
      <c r="AB50" s="241">
        <f>10608*AB21</f>
        <v>862.43507542418581</v>
      </c>
      <c r="AC50" s="241">
        <f>10608*AC21</f>
        <v>806.82046168903685</v>
      </c>
      <c r="AD50" s="241">
        <f>10608*AD21</f>
        <v>1272.2398142876989</v>
      </c>
      <c r="AE50" s="45">
        <f t="shared" si="22"/>
        <v>10607.999999999998</v>
      </c>
      <c r="AG50" s="200"/>
    </row>
    <row r="51" spans="1:34" x14ac:dyDescent="0.15">
      <c r="B51" s="232" t="s">
        <v>292</v>
      </c>
      <c r="C51" s="45">
        <f t="shared" si="14"/>
        <v>8.7077910026862326E-2</v>
      </c>
      <c r="D51" s="45">
        <v>13400302.84</v>
      </c>
      <c r="F51" s="179">
        <f t="shared" si="15"/>
        <v>2754899.3574603181</v>
      </c>
      <c r="H51" s="45">
        <v>11405835.470000001</v>
      </c>
      <c r="I51" s="234">
        <f t="shared" si="16"/>
        <v>8.1923680341582983E-2</v>
      </c>
      <c r="J51" s="179">
        <f t="shared" si="17"/>
        <v>520205.99647058919</v>
      </c>
      <c r="L51" s="179">
        <f t="shared" si="20"/>
        <v>1994467.3699999992</v>
      </c>
      <c r="P51" s="244" t="s">
        <v>332</v>
      </c>
      <c r="Q51" s="239" t="s">
        <v>333</v>
      </c>
      <c r="R51" s="240"/>
      <c r="S51" s="241">
        <f>703904.61*S21</f>
        <v>58448.250536953718</v>
      </c>
      <c r="T51" s="241">
        <f t="shared" ref="T51:AB51" si="27">703904.61*T21</f>
        <v>59679.865699723661</v>
      </c>
      <c r="U51" s="241">
        <f t="shared" si="27"/>
        <v>55926.751765210363</v>
      </c>
      <c r="V51" s="241">
        <f t="shared" si="27"/>
        <v>57942.292166302781</v>
      </c>
      <c r="W51" s="241">
        <f t="shared" si="27"/>
        <v>57338.379163379097</v>
      </c>
      <c r="X51" s="241">
        <f t="shared" si="27"/>
        <v>52276.688119709819</v>
      </c>
      <c r="Y51" s="241">
        <f t="shared" si="27"/>
        <v>60869.963897344591</v>
      </c>
      <c r="Z51" s="241">
        <f t="shared" si="27"/>
        <v>53389.773417967954</v>
      </c>
      <c r="AA51" s="241">
        <f t="shared" si="27"/>
        <v>52846.734774822085</v>
      </c>
      <c r="AB51" s="241">
        <f t="shared" si="27"/>
        <v>57227.755035518676</v>
      </c>
      <c r="AC51" s="241">
        <f>703904.61*AC21</f>
        <v>53537.390877190934</v>
      </c>
      <c r="AD51" s="241">
        <f>703904.61*AD21</f>
        <v>84420.764545876242</v>
      </c>
      <c r="AE51" s="45">
        <f t="shared" si="22"/>
        <v>703904.6100000001</v>
      </c>
    </row>
    <row r="52" spans="1:34" x14ac:dyDescent="0.15">
      <c r="B52" s="232" t="s">
        <v>293</v>
      </c>
      <c r="C52" s="45">
        <f>D52/$D$53</f>
        <v>0.13338642831791675</v>
      </c>
      <c r="D52" s="45">
        <f>20526658.64</f>
        <v>20526658.640000001</v>
      </c>
      <c r="F52" s="179">
        <f t="shared" si="15"/>
        <v>3532823.801904764</v>
      </c>
      <c r="H52" s="45">
        <f>20493779.25</f>
        <v>20493779.25</v>
      </c>
      <c r="I52" s="234">
        <f t="shared" si="16"/>
        <v>0.14719884612433098</v>
      </c>
      <c r="J52" s="179">
        <f t="shared" si="17"/>
        <v>2382333.3764705881</v>
      </c>
      <c r="L52" s="179">
        <f t="shared" si="20"/>
        <v>32879.390000000596</v>
      </c>
      <c r="P52" s="245" t="s">
        <v>334</v>
      </c>
      <c r="Q52" s="246"/>
      <c r="R52" s="226"/>
      <c r="S52" s="241">
        <f>S44+S48</f>
        <v>10669068.869853063</v>
      </c>
      <c r="T52" s="241">
        <f t="shared" ref="T52:AE52" si="28">T44+T48</f>
        <v>10893886.325842444</v>
      </c>
      <c r="U52" s="241">
        <f t="shared" si="28"/>
        <v>10208797.710257431</v>
      </c>
      <c r="V52" s="241">
        <f t="shared" si="28"/>
        <v>10576711.876236282</v>
      </c>
      <c r="W52" s="241">
        <f t="shared" si="28"/>
        <v>10466474.369375082</v>
      </c>
      <c r="X52" s="241">
        <f>X44+X48</f>
        <v>9542519.7625783831</v>
      </c>
      <c r="Y52" s="241">
        <f t="shared" si="28"/>
        <v>11111125.328133503</v>
      </c>
      <c r="Z52" s="241">
        <f t="shared" si="28"/>
        <v>9745700.928755952</v>
      </c>
      <c r="AA52" s="241">
        <f t="shared" si="28"/>
        <v>9646575.349641284</v>
      </c>
      <c r="AB52" s="241">
        <f t="shared" si="28"/>
        <v>10446281.182616411</v>
      </c>
      <c r="AC52" s="241">
        <f t="shared" si="28"/>
        <v>9772646.8308894485</v>
      </c>
      <c r="AD52" s="241">
        <f>AD44+AD48</f>
        <v>15410058.345820708</v>
      </c>
      <c r="AE52" s="241">
        <f t="shared" si="28"/>
        <v>128489846.88</v>
      </c>
    </row>
    <row r="53" spans="1:34" x14ac:dyDescent="0.15">
      <c r="B53" s="102" t="s">
        <v>257</v>
      </c>
      <c r="C53" s="170">
        <f>SUM(C41:C52)</f>
        <v>1</v>
      </c>
      <c r="D53" s="45">
        <f>SUM(D41:D52)</f>
        <v>153888659.43000001</v>
      </c>
      <c r="F53" s="45">
        <f>SUM(F41:F52)</f>
        <v>13510849.157619048</v>
      </c>
      <c r="G53" s="219">
        <f>(H53-H34)/H34</f>
        <v>0.19648955192817094</v>
      </c>
      <c r="H53" s="45">
        <f>SUM(H41:H52)</f>
        <v>139225135.18000001</v>
      </c>
      <c r="I53" s="170">
        <f>SUM(I41:I52)</f>
        <v>1</v>
      </c>
      <c r="J53" s="45">
        <f>SUM(J41:J52)</f>
        <v>7339776.481764704</v>
      </c>
      <c r="L53" s="170">
        <f>SUM(L41:L52)</f>
        <v>14663524.25</v>
      </c>
      <c r="P53" s="102" t="s">
        <v>335</v>
      </c>
      <c r="Q53" s="247" t="s">
        <v>336</v>
      </c>
      <c r="R53" s="243"/>
      <c r="S53" s="179">
        <f>S20-S52</f>
        <v>987109.12348315679</v>
      </c>
      <c r="T53" s="179">
        <f t="shared" ref="T53:AD53" si="29">T20-T52</f>
        <v>1007909.3793098312</v>
      </c>
      <c r="U53" s="179">
        <f t="shared" si="29"/>
        <v>944524.53934978135</v>
      </c>
      <c r="V53" s="179">
        <f t="shared" si="29"/>
        <v>978564.19494921342</v>
      </c>
      <c r="W53" s="179">
        <f t="shared" si="29"/>
        <v>968364.9498135671</v>
      </c>
      <c r="X53" s="179">
        <f t="shared" si="29"/>
        <v>882880.07449980639</v>
      </c>
      <c r="Y53" s="179">
        <f t="shared" si="29"/>
        <v>1028008.4717192762</v>
      </c>
      <c r="Z53" s="179">
        <f t="shared" si="29"/>
        <v>901678.52685777657</v>
      </c>
      <c r="AA53" s="179">
        <f t="shared" si="29"/>
        <v>892507.36443411373</v>
      </c>
      <c r="AB53" s="179">
        <f t="shared" si="29"/>
        <v>966496.66316879727</v>
      </c>
      <c r="AC53" s="179">
        <f t="shared" si="29"/>
        <v>904171.57907825522</v>
      </c>
      <c r="AD53" s="179">
        <f t="shared" si="29"/>
        <v>1425748.5233364012</v>
      </c>
      <c r="AE53" s="45">
        <f t="shared" si="22"/>
        <v>11887963.389999976</v>
      </c>
    </row>
    <row r="54" spans="1:34" x14ac:dyDescent="0.15">
      <c r="C54" s="200"/>
      <c r="D54" s="61">
        <f>153888659.43-D53</f>
        <v>0</v>
      </c>
      <c r="H54" s="61">
        <f>139225135.18-H53</f>
        <v>0</v>
      </c>
      <c r="P54" s="114" t="s">
        <v>337</v>
      </c>
      <c r="Q54" s="247"/>
      <c r="R54" s="243"/>
      <c r="S54" s="179">
        <f>S52+S53</f>
        <v>11656177.993336219</v>
      </c>
      <c r="T54" s="179">
        <f t="shared" ref="T54:AD54" si="30">T52+T53</f>
        <v>11901795.705152275</v>
      </c>
      <c r="U54" s="179">
        <f t="shared" si="30"/>
        <v>11153322.249607213</v>
      </c>
      <c r="V54" s="179">
        <f t="shared" si="30"/>
        <v>11555276.071185496</v>
      </c>
      <c r="W54" s="179">
        <f t="shared" si="30"/>
        <v>11434839.319188649</v>
      </c>
      <c r="X54" s="179">
        <f>X52+X53</f>
        <v>10425399.837078189</v>
      </c>
      <c r="Y54" s="179">
        <f t="shared" si="30"/>
        <v>12139133.799852779</v>
      </c>
      <c r="Z54" s="179">
        <f t="shared" si="30"/>
        <v>10647379.455613729</v>
      </c>
      <c r="AA54" s="179">
        <f t="shared" si="30"/>
        <v>10539082.714075398</v>
      </c>
      <c r="AB54" s="179">
        <f t="shared" si="30"/>
        <v>11412777.845785208</v>
      </c>
      <c r="AC54" s="179">
        <f t="shared" si="30"/>
        <v>10676818.409967704</v>
      </c>
      <c r="AD54" s="179">
        <f t="shared" si="30"/>
        <v>16835806.869157109</v>
      </c>
      <c r="AE54" s="45">
        <f>SUM(S54:AD54)</f>
        <v>140377810.26999998</v>
      </c>
    </row>
    <row r="55" spans="1:34" x14ac:dyDescent="0.15">
      <c r="D55" s="61"/>
      <c r="F55" s="200"/>
      <c r="H55" s="232" t="s">
        <v>311</v>
      </c>
      <c r="I55" s="233" t="s">
        <v>338</v>
      </c>
      <c r="J55" s="179">
        <f>D53-H53</f>
        <v>14663524.25</v>
      </c>
      <c r="K55" s="245" t="s">
        <v>339</v>
      </c>
      <c r="L55" s="243"/>
    </row>
    <row r="56" spans="1:34" x14ac:dyDescent="0.15">
      <c r="D56" s="200"/>
      <c r="I56" s="86" t="s">
        <v>340</v>
      </c>
      <c r="J56" s="248">
        <f>Exec_Orç!K19-J57</f>
        <v>7136871.6799999997</v>
      </c>
      <c r="K56" s="86" t="s">
        <v>341</v>
      </c>
      <c r="L56" s="248">
        <f>Exec_Orç!L19</f>
        <v>19619145.09</v>
      </c>
      <c r="P56" s="102" t="s">
        <v>318</v>
      </c>
      <c r="Q56" s="178" t="s">
        <v>319</v>
      </c>
      <c r="R56" s="232"/>
      <c r="S56" s="241">
        <f>SUM(S57:S59)</f>
        <v>9502229.8300000001</v>
      </c>
      <c r="T56" s="45">
        <f>SUM(T57:T59)</f>
        <v>9863334.6199999992</v>
      </c>
      <c r="U56" s="45">
        <f>SUM(U57:U59)</f>
        <v>11673365.35</v>
      </c>
      <c r="V56" s="45">
        <f t="shared" ref="V56:AD56" si="31">SUM(V57:V59)</f>
        <v>9767509.6400000006</v>
      </c>
      <c r="W56" s="45">
        <f>SUM(W57:W59)</f>
        <v>11080309.600000001</v>
      </c>
      <c r="X56" s="45">
        <f t="shared" si="31"/>
        <v>10433551.120000001</v>
      </c>
      <c r="Y56" s="45">
        <f t="shared" si="31"/>
        <v>11130934.780000001</v>
      </c>
      <c r="Z56" s="45">
        <f>SUM(Z57:Z59)</f>
        <v>10654501</v>
      </c>
      <c r="AA56" s="45">
        <f t="shared" si="31"/>
        <v>10794825.710000001</v>
      </c>
      <c r="AB56" s="45">
        <f>SUM(AB57:AB59)</f>
        <v>11334410.140000001</v>
      </c>
      <c r="AC56" s="45">
        <f t="shared" si="31"/>
        <v>11296340.369999999</v>
      </c>
      <c r="AD56" s="45">
        <f t="shared" si="31"/>
        <v>19853614.049999997</v>
      </c>
      <c r="AE56" s="45">
        <f>SUM(AE57:AE59)</f>
        <v>137384926.20999998</v>
      </c>
      <c r="AF56" s="219">
        <f>AE56/$AE$64</f>
        <v>0.98678249464350776</v>
      </c>
      <c r="AG56" s="60"/>
      <c r="AH56" s="61"/>
    </row>
    <row r="57" spans="1:34" x14ac:dyDescent="0.15">
      <c r="D57" s="200"/>
      <c r="I57" s="86" t="s">
        <v>342</v>
      </c>
      <c r="J57" s="200">
        <f>-Exec_Orç!H26</f>
        <v>1352406.5700000003</v>
      </c>
      <c r="K57" s="86" t="s">
        <v>826</v>
      </c>
      <c r="L57" s="200">
        <f>Exec_Orç!J19</f>
        <v>45197.340000000011</v>
      </c>
      <c r="N57" s="200"/>
      <c r="P57" s="102" t="s">
        <v>320</v>
      </c>
      <c r="Q57" s="242" t="s">
        <v>321</v>
      </c>
      <c r="R57" s="243"/>
      <c r="S57" s="241">
        <v>7483372.4199999999</v>
      </c>
      <c r="T57" s="241">
        <v>7755753.3899999997</v>
      </c>
      <c r="U57" s="45">
        <f>7806919.68</f>
        <v>7806919.6799999997</v>
      </c>
      <c r="V57" s="45">
        <f>7464214.06</f>
        <v>7464214.0599999996</v>
      </c>
      <c r="W57" s="45">
        <f>7290775.62</f>
        <v>7290775.6200000001</v>
      </c>
      <c r="X57" s="45">
        <v>7411621.8399999999</v>
      </c>
      <c r="Y57" s="45">
        <f>7526337.83</f>
        <v>7526337.8300000001</v>
      </c>
      <c r="Z57" s="45">
        <f>7386420.06</f>
        <v>7386420.0599999996</v>
      </c>
      <c r="AA57" s="45">
        <v>7328481.8399999999</v>
      </c>
      <c r="AB57" s="45">
        <v>7456595.0999999996</v>
      </c>
      <c r="AC57" s="45">
        <f>7532680.56</f>
        <v>7532680.5599999996</v>
      </c>
      <c r="AD57" s="45">
        <f>15583813.5</f>
        <v>15583813.5</v>
      </c>
      <c r="AE57" s="45">
        <f>SUM(S57:AD57)</f>
        <v>98026985.899999991</v>
      </c>
      <c r="AF57" s="219">
        <f>AE57/$AE$64</f>
        <v>0.70408971607938364</v>
      </c>
      <c r="AH57" s="61"/>
    </row>
    <row r="58" spans="1:34" x14ac:dyDescent="0.15">
      <c r="B58" s="61"/>
      <c r="D58" s="61"/>
      <c r="H58" s="61"/>
      <c r="I58" s="122" t="s">
        <v>343</v>
      </c>
      <c r="J58" s="403">
        <f>SUM(J56:J57)</f>
        <v>8489278.25</v>
      </c>
      <c r="L58" s="402">
        <f>L56+L57</f>
        <v>19664342.43</v>
      </c>
      <c r="M58" s="264" t="s">
        <v>813</v>
      </c>
      <c r="N58" s="247"/>
      <c r="P58" s="102" t="s">
        <v>322</v>
      </c>
      <c r="Q58" s="239" t="s">
        <v>323</v>
      </c>
      <c r="R58" s="240"/>
      <c r="S58" s="241">
        <v>5579.12</v>
      </c>
      <c r="T58" s="241"/>
      <c r="U58" s="45"/>
      <c r="V58" s="45">
        <f>11158.24</f>
        <v>11158.24</v>
      </c>
      <c r="W58" s="45">
        <f>11158.24</f>
        <v>11158.24</v>
      </c>
      <c r="X58" s="45">
        <v>5579.12</v>
      </c>
      <c r="Y58" s="45">
        <f>5579.12</f>
        <v>5579.12</v>
      </c>
      <c r="Z58" s="45">
        <f>5579.12</f>
        <v>5579.12</v>
      </c>
      <c r="AA58" s="45"/>
      <c r="AB58" s="45">
        <v>11158.24</v>
      </c>
      <c r="AC58" s="45">
        <v>5579.12</v>
      </c>
      <c r="AD58" s="45">
        <f>5579.12</f>
        <v>5579.12</v>
      </c>
      <c r="AE58" s="45">
        <f>SUM(S58:AD58)</f>
        <v>66949.440000000002</v>
      </c>
      <c r="AF58" s="219">
        <f t="shared" ref="AF58:AF63" si="32">AE58/$AE$64</f>
        <v>4.8087179023703652E-4</v>
      </c>
      <c r="AH58" s="61"/>
    </row>
    <row r="59" spans="1:34" x14ac:dyDescent="0.15">
      <c r="B59" s="61"/>
      <c r="D59" s="61"/>
      <c r="F59" s="249"/>
      <c r="G59" s="249"/>
      <c r="H59" s="250"/>
      <c r="I59" s="249"/>
      <c r="J59" s="401"/>
      <c r="L59" s="60"/>
      <c r="N59" s="60"/>
      <c r="P59" s="102" t="s">
        <v>324</v>
      </c>
      <c r="Q59" s="242" t="s">
        <v>325</v>
      </c>
      <c r="R59" s="243"/>
      <c r="S59" s="241">
        <v>2013278.29</v>
      </c>
      <c r="T59" s="241">
        <v>2107581.23</v>
      </c>
      <c r="U59" s="45">
        <f>3866445.67</f>
        <v>3866445.67</v>
      </c>
      <c r="V59" s="45">
        <f>2292137.34</f>
        <v>2292137.34</v>
      </c>
      <c r="W59" s="45">
        <f>3778375.74</f>
        <v>3778375.74</v>
      </c>
      <c r="X59" s="45">
        <v>3016350.16</v>
      </c>
      <c r="Y59" s="45">
        <f>3599017.83</f>
        <v>3599017.83</v>
      </c>
      <c r="Z59" s="45">
        <f>3262501.82</f>
        <v>3262501.82</v>
      </c>
      <c r="AA59" s="45">
        <v>3466343.87</v>
      </c>
      <c r="AB59" s="45">
        <v>3866656.8</v>
      </c>
      <c r="AC59" s="45">
        <f>3758080.69</f>
        <v>3758080.69</v>
      </c>
      <c r="AD59" s="45">
        <f>4264221.43</f>
        <v>4264221.43</v>
      </c>
      <c r="AE59" s="45">
        <f>SUM(S59:AD59)</f>
        <v>39290990.869999997</v>
      </c>
      <c r="AF59" s="219">
        <f t="shared" si="32"/>
        <v>0.28221190677388719</v>
      </c>
      <c r="AH59" s="61"/>
    </row>
    <row r="60" spans="1:34" x14ac:dyDescent="0.15">
      <c r="B60" s="61"/>
      <c r="D60" s="61"/>
      <c r="H60" s="61"/>
      <c r="J60" s="119"/>
      <c r="P60" s="102" t="s">
        <v>326</v>
      </c>
      <c r="Q60" s="239" t="s">
        <v>327</v>
      </c>
      <c r="R60" s="240"/>
      <c r="S60" s="241">
        <f>SUM(S61:S63)</f>
        <v>0</v>
      </c>
      <c r="T60" s="241">
        <f t="shared" ref="T60:AD60" si="33">SUM(T61:T63)</f>
        <v>6700.86</v>
      </c>
      <c r="U60" s="241">
        <f t="shared" si="33"/>
        <v>24413.42</v>
      </c>
      <c r="V60" s="241">
        <f t="shared" si="33"/>
        <v>27839.4</v>
      </c>
      <c r="W60" s="241">
        <f t="shared" si="33"/>
        <v>64019.8</v>
      </c>
      <c r="X60" s="241">
        <f t="shared" si="33"/>
        <v>78470.149999999994</v>
      </c>
      <c r="Y60" s="241">
        <f t="shared" si="33"/>
        <v>150162.57999999999</v>
      </c>
      <c r="Z60" s="241">
        <f t="shared" si="33"/>
        <v>588170.81999999995</v>
      </c>
      <c r="AA60" s="241">
        <f t="shared" si="33"/>
        <v>143784.64000000001</v>
      </c>
      <c r="AB60" s="241">
        <f t="shared" si="33"/>
        <v>6987</v>
      </c>
      <c r="AC60" s="241">
        <f t="shared" si="33"/>
        <v>109495.1</v>
      </c>
      <c r="AD60" s="241">
        <f t="shared" si="33"/>
        <v>640165.19999999995</v>
      </c>
      <c r="AE60" s="241">
        <f>SUM(AE61:AE63)</f>
        <v>1840208.97</v>
      </c>
      <c r="AF60" s="219">
        <f t="shared" si="32"/>
        <v>1.3217505356492198E-2</v>
      </c>
      <c r="AH60" s="61"/>
    </row>
    <row r="61" spans="1:34" x14ac:dyDescent="0.15">
      <c r="B61" s="200"/>
      <c r="D61" s="200"/>
      <c r="J61" s="61"/>
      <c r="P61" s="102" t="s">
        <v>328</v>
      </c>
      <c r="Q61" s="242" t="s">
        <v>329</v>
      </c>
      <c r="R61" s="243"/>
      <c r="S61" s="241"/>
      <c r="T61" s="241">
        <v>6700.86</v>
      </c>
      <c r="U61" s="45">
        <f>24413.42</f>
        <v>24413.42</v>
      </c>
      <c r="V61" s="45">
        <f>27839.4</f>
        <v>27839.4</v>
      </c>
      <c r="W61" s="45">
        <f>64019.8</f>
        <v>64019.8</v>
      </c>
      <c r="X61" s="45">
        <v>78470.149999999994</v>
      </c>
      <c r="Y61" s="45">
        <f>150162.58</f>
        <v>150162.57999999999</v>
      </c>
      <c r="Z61" s="45">
        <f>588170.82</f>
        <v>588170.81999999995</v>
      </c>
      <c r="AA61" s="45">
        <f>143784.64</f>
        <v>143784.64000000001</v>
      </c>
      <c r="AB61" s="45">
        <v>6987</v>
      </c>
      <c r="AC61" s="45">
        <f>109495.1</f>
        <v>109495.1</v>
      </c>
      <c r="AD61" s="45">
        <f>640165.2</f>
        <v>640165.19999999995</v>
      </c>
      <c r="AE61" s="45">
        <f>SUM(S61:AD61)</f>
        <v>1840208.97</v>
      </c>
      <c r="AF61" s="219">
        <f t="shared" si="32"/>
        <v>1.3217505356492198E-2</v>
      </c>
      <c r="AH61" s="61"/>
    </row>
    <row r="62" spans="1:34" x14ac:dyDescent="0.15">
      <c r="L62" s="119"/>
      <c r="P62" s="102" t="s">
        <v>330</v>
      </c>
      <c r="Q62" s="242" t="s">
        <v>891</v>
      </c>
      <c r="R62" s="243"/>
      <c r="S62" s="241"/>
      <c r="T62" s="241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>
        <f>SUM(S62:AD62)</f>
        <v>0</v>
      </c>
      <c r="AF62" s="219">
        <f t="shared" si="32"/>
        <v>0</v>
      </c>
      <c r="AH62" s="61"/>
    </row>
    <row r="63" spans="1:34" x14ac:dyDescent="0.15">
      <c r="B63" s="351" t="s">
        <v>99</v>
      </c>
      <c r="C63" s="352"/>
      <c r="D63" s="352"/>
      <c r="E63" s="353" t="s">
        <v>100</v>
      </c>
      <c r="F63" s="353"/>
      <c r="H63" s="351"/>
      <c r="I63" s="354" t="s">
        <v>101</v>
      </c>
      <c r="L63" s="60"/>
      <c r="P63" s="244" t="s">
        <v>332</v>
      </c>
      <c r="Q63" s="239" t="s">
        <v>333</v>
      </c>
      <c r="R63" s="240"/>
      <c r="S63" s="241"/>
      <c r="T63" s="241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>
        <f>SUM(S63:AD63)</f>
        <v>0</v>
      </c>
      <c r="AF63" s="219">
        <f t="shared" si="32"/>
        <v>0</v>
      </c>
      <c r="AH63" s="61"/>
    </row>
    <row r="64" spans="1:34" x14ac:dyDescent="0.15">
      <c r="A64" s="355"/>
      <c r="B64" s="351" t="s">
        <v>102</v>
      </c>
      <c r="C64" s="352"/>
      <c r="D64" s="352"/>
      <c r="E64" s="353" t="s">
        <v>103</v>
      </c>
      <c r="F64" s="353"/>
      <c r="H64" s="351"/>
      <c r="I64" s="354" t="s">
        <v>104</v>
      </c>
      <c r="J64" s="355"/>
      <c r="K64" s="355"/>
      <c r="L64" s="119"/>
      <c r="P64" s="245" t="s">
        <v>344</v>
      </c>
      <c r="Q64" s="246"/>
      <c r="R64" s="226"/>
      <c r="S64" s="241">
        <f>S56+S60</f>
        <v>9502229.8300000001</v>
      </c>
      <c r="T64" s="241">
        <f t="shared" ref="T64:AD64" si="34">T56+T60</f>
        <v>9870035.4799999986</v>
      </c>
      <c r="U64" s="241">
        <f>U56+U60</f>
        <v>11697778.77</v>
      </c>
      <c r="V64" s="241">
        <f t="shared" si="34"/>
        <v>9795349.040000001</v>
      </c>
      <c r="W64" s="241">
        <f t="shared" si="34"/>
        <v>11144329.400000002</v>
      </c>
      <c r="X64" s="241">
        <f t="shared" si="34"/>
        <v>10512021.270000001</v>
      </c>
      <c r="Y64" s="241">
        <f t="shared" si="34"/>
        <v>11281097.360000001</v>
      </c>
      <c r="Z64" s="241">
        <f>Z56+Z60</f>
        <v>11242671.82</v>
      </c>
      <c r="AA64" s="241">
        <f t="shared" si="34"/>
        <v>10938610.350000001</v>
      </c>
      <c r="AB64" s="241">
        <f t="shared" si="34"/>
        <v>11341397.140000001</v>
      </c>
      <c r="AC64" s="241">
        <f t="shared" si="34"/>
        <v>11405835.469999999</v>
      </c>
      <c r="AD64" s="241">
        <f t="shared" si="34"/>
        <v>20493779.249999996</v>
      </c>
      <c r="AE64" s="241">
        <f>AE56+AE60</f>
        <v>139225135.17999998</v>
      </c>
      <c r="AF64" s="219">
        <f>AF56+AF60</f>
        <v>1</v>
      </c>
      <c r="AH64" s="61"/>
    </row>
    <row r="65" spans="1:33" x14ac:dyDescent="0.15">
      <c r="A65" s="356"/>
      <c r="B65" s="357"/>
      <c r="C65" s="357"/>
      <c r="D65" s="357"/>
      <c r="E65" s="357"/>
      <c r="F65" s="357"/>
      <c r="G65" s="357"/>
      <c r="H65" s="357"/>
      <c r="I65" s="357"/>
      <c r="J65" s="357"/>
      <c r="K65" s="357"/>
      <c r="L65" s="60"/>
      <c r="S65" s="200">
        <f>H41-S64</f>
        <v>0</v>
      </c>
      <c r="T65" s="200">
        <f>H42-T64</f>
        <v>0</v>
      </c>
      <c r="U65" s="200">
        <f>H43-U64</f>
        <v>0</v>
      </c>
      <c r="V65" s="200">
        <f>H44-V64</f>
        <v>0</v>
      </c>
      <c r="W65" s="200">
        <f>H45-W64</f>
        <v>0</v>
      </c>
      <c r="X65" s="200">
        <f>H46-X64</f>
        <v>0</v>
      </c>
      <c r="Y65" s="200">
        <f>H47-Y64</f>
        <v>0</v>
      </c>
      <c r="Z65" s="200">
        <f>H48-Z64</f>
        <v>0</v>
      </c>
      <c r="AA65" s="200">
        <f>H49-AA64</f>
        <v>0</v>
      </c>
      <c r="AB65" s="200">
        <f>H50-AB64</f>
        <v>0</v>
      </c>
      <c r="AC65" s="200">
        <f>H51-AC64</f>
        <v>0</v>
      </c>
      <c r="AD65" s="200">
        <f>H52-AD64</f>
        <v>0</v>
      </c>
      <c r="AE65" s="200">
        <f>AE64-H53</f>
        <v>0</v>
      </c>
    </row>
    <row r="66" spans="1:33" x14ac:dyDescent="0.15">
      <c r="A66" s="356"/>
      <c r="B66" s="357"/>
      <c r="C66" s="357"/>
      <c r="D66" s="357"/>
      <c r="E66" s="357"/>
      <c r="F66" s="357"/>
      <c r="G66" s="357"/>
      <c r="H66" s="357"/>
      <c r="I66" s="357"/>
      <c r="J66" s="357"/>
      <c r="K66" s="357"/>
      <c r="L66" s="60"/>
      <c r="R66" s="351" t="s">
        <v>99</v>
      </c>
      <c r="S66" s="352"/>
      <c r="T66" s="352"/>
      <c r="U66" s="353" t="s">
        <v>100</v>
      </c>
      <c r="V66" s="353"/>
      <c r="X66" s="351"/>
      <c r="Y66" s="354" t="s">
        <v>101</v>
      </c>
      <c r="Z66" s="355"/>
      <c r="AA66" s="358"/>
      <c r="AB66" s="355"/>
      <c r="AD66" s="84" t="s">
        <v>345</v>
      </c>
      <c r="AE66" s="200">
        <f>141056689.89-AE64</f>
        <v>1831554.7100000083</v>
      </c>
    </row>
    <row r="67" spans="1:33" x14ac:dyDescent="0.15">
      <c r="A67" s="356"/>
      <c r="E67" s="200"/>
      <c r="R67" s="351" t="s">
        <v>102</v>
      </c>
      <c r="S67" s="352"/>
      <c r="T67" s="352"/>
      <c r="U67" s="353" t="s">
        <v>103</v>
      </c>
      <c r="V67" s="353"/>
      <c r="X67" s="351"/>
      <c r="Y67" s="354" t="s">
        <v>104</v>
      </c>
      <c r="Z67" s="357"/>
      <c r="AA67" s="357"/>
      <c r="AB67" s="357"/>
      <c r="AD67" s="86" t="s">
        <v>346</v>
      </c>
      <c r="AE67" s="251">
        <f>AE66+AE64</f>
        <v>141056689.88999999</v>
      </c>
    </row>
    <row r="68" spans="1:33" x14ac:dyDescent="0.15">
      <c r="A68" s="356"/>
      <c r="E68" s="61"/>
      <c r="R68" s="351"/>
      <c r="S68" s="352"/>
      <c r="T68" s="359"/>
      <c r="U68" s="353"/>
      <c r="V68" s="353"/>
      <c r="X68" s="351"/>
      <c r="Y68" s="354"/>
      <c r="Z68" s="357"/>
      <c r="AA68" s="357"/>
      <c r="AB68" s="357"/>
      <c r="AE68" s="200"/>
      <c r="AG68" s="119"/>
    </row>
    <row r="69" spans="1:33" x14ac:dyDescent="0.15">
      <c r="S69" s="211"/>
      <c r="U69" s="89"/>
      <c r="V69" s="89"/>
      <c r="W69" s="89"/>
      <c r="X69" s="90" t="s">
        <v>812</v>
      </c>
      <c r="Y69" s="211"/>
      <c r="Z69" s="211"/>
      <c r="AA69" s="89"/>
      <c r="AB69" s="211"/>
      <c r="AC69" s="211"/>
      <c r="AD69" s="211"/>
      <c r="AE69" s="89"/>
    </row>
    <row r="70" spans="1:33" x14ac:dyDescent="0.15">
      <c r="R70" s="86" t="s">
        <v>810</v>
      </c>
      <c r="S70" s="95" t="s">
        <v>118</v>
      </c>
      <c r="T70" s="95" t="s">
        <v>119</v>
      </c>
      <c r="U70" s="95" t="s">
        <v>120</v>
      </c>
      <c r="V70" s="95" t="s">
        <v>121</v>
      </c>
      <c r="W70" s="95" t="s">
        <v>285</v>
      </c>
      <c r="X70" s="95" t="s">
        <v>286</v>
      </c>
      <c r="Y70" s="95" t="s">
        <v>287</v>
      </c>
      <c r="Z70" s="95" t="s">
        <v>288</v>
      </c>
      <c r="AA70" s="95" t="s">
        <v>289</v>
      </c>
      <c r="AB70" s="95" t="s">
        <v>291</v>
      </c>
      <c r="AC70" s="95" t="s">
        <v>292</v>
      </c>
      <c r="AD70" s="95" t="s">
        <v>293</v>
      </c>
      <c r="AE70" s="97" t="s">
        <v>10</v>
      </c>
    </row>
    <row r="71" spans="1:33" x14ac:dyDescent="0.15">
      <c r="C71" s="107" t="s">
        <v>347</v>
      </c>
      <c r="R71" s="86" t="s">
        <v>814</v>
      </c>
      <c r="S71" s="179">
        <f>S56</f>
        <v>9502229.8300000001</v>
      </c>
      <c r="T71" s="179">
        <f t="shared" ref="T71:AD71" si="35">T56</f>
        <v>9863334.6199999992</v>
      </c>
      <c r="U71" s="179">
        <f t="shared" si="35"/>
        <v>11673365.35</v>
      </c>
      <c r="V71" s="179">
        <f t="shared" si="35"/>
        <v>9767509.6400000006</v>
      </c>
      <c r="W71" s="179">
        <f t="shared" si="35"/>
        <v>11080309.600000001</v>
      </c>
      <c r="X71" s="179">
        <f t="shared" si="35"/>
        <v>10433551.120000001</v>
      </c>
      <c r="Y71" s="179">
        <f t="shared" si="35"/>
        <v>11130934.780000001</v>
      </c>
      <c r="Z71" s="179">
        <f t="shared" si="35"/>
        <v>10654501</v>
      </c>
      <c r="AA71" s="179">
        <f t="shared" si="35"/>
        <v>10794825.710000001</v>
      </c>
      <c r="AB71" s="179">
        <f t="shared" si="35"/>
        <v>11334410.140000001</v>
      </c>
      <c r="AC71" s="179">
        <f>AC56</f>
        <v>11296340.369999999</v>
      </c>
      <c r="AD71" s="179">
        <f t="shared" si="35"/>
        <v>19853614.049999997</v>
      </c>
      <c r="AE71" s="179">
        <f>SUM(S71:AD71)</f>
        <v>137384926.21000001</v>
      </c>
    </row>
    <row r="72" spans="1:33" x14ac:dyDescent="0.15">
      <c r="A72" s="122" t="s">
        <v>348</v>
      </c>
      <c r="B72" s="252" t="s">
        <v>349</v>
      </c>
      <c r="C72" s="122" t="s">
        <v>350</v>
      </c>
      <c r="D72" s="122" t="s">
        <v>119</v>
      </c>
      <c r="E72" s="252" t="s">
        <v>120</v>
      </c>
      <c r="F72" s="252" t="s">
        <v>121</v>
      </c>
      <c r="G72" s="365" t="s">
        <v>285</v>
      </c>
      <c r="H72" s="208" t="s">
        <v>286</v>
      </c>
      <c r="I72" s="366"/>
      <c r="J72" s="122" t="s">
        <v>287</v>
      </c>
      <c r="K72" s="208" t="s">
        <v>288</v>
      </c>
      <c r="L72" s="253" t="s">
        <v>289</v>
      </c>
      <c r="M72" s="122" t="s">
        <v>291</v>
      </c>
      <c r="N72" s="208" t="s">
        <v>292</v>
      </c>
      <c r="O72" s="122" t="s">
        <v>293</v>
      </c>
      <c r="R72" s="86" t="s">
        <v>811</v>
      </c>
      <c r="S72" s="398">
        <f>RCL!K5</f>
        <v>9932379.9400000013</v>
      </c>
      <c r="T72" s="398">
        <f>RCL!J5</f>
        <v>8870336.4799999986</v>
      </c>
      <c r="U72" s="398">
        <f>RCL!I5</f>
        <v>12193906.34</v>
      </c>
      <c r="V72" s="398">
        <f>RCL!H5</f>
        <v>9409782.5599999987</v>
      </c>
      <c r="W72" s="399">
        <f>RCL!G5</f>
        <v>8599619.8900000006</v>
      </c>
      <c r="X72" s="399">
        <f>RCL!F5</f>
        <v>11215124.91</v>
      </c>
      <c r="Y72" s="399">
        <f>RCL!E5</f>
        <v>11336687.890000001</v>
      </c>
      <c r="Z72" s="399">
        <f>RCL!D5</f>
        <v>16377826.710000001</v>
      </c>
      <c r="AA72" s="399">
        <f>RCL!E5</f>
        <v>11336687.890000001</v>
      </c>
      <c r="AB72" s="399">
        <f>RCL!D5</f>
        <v>16377826.710000001</v>
      </c>
      <c r="AC72" s="399">
        <f>RCL!E37</f>
        <v>10028239.710000001</v>
      </c>
      <c r="AD72" s="399">
        <f>RCL!D37</f>
        <v>14677042.08</v>
      </c>
      <c r="AE72" s="179">
        <f>SUM(S72:AD72)</f>
        <v>140355461.11000001</v>
      </c>
    </row>
    <row r="73" spans="1:33" x14ac:dyDescent="0.15">
      <c r="A73" s="254">
        <v>4383.53</v>
      </c>
      <c r="B73" s="254">
        <v>4383.53</v>
      </c>
      <c r="C73" s="87">
        <v>2004</v>
      </c>
      <c r="D73" s="60">
        <v>4383.53</v>
      </c>
      <c r="E73" s="254">
        <v>4383.53</v>
      </c>
      <c r="F73" s="254">
        <v>4383.53</v>
      </c>
      <c r="G73" s="368">
        <v>4383.53</v>
      </c>
      <c r="H73" s="254">
        <v>4383.53</v>
      </c>
      <c r="I73" s="366"/>
      <c r="J73" s="484">
        <v>4383.53</v>
      </c>
      <c r="K73" s="374">
        <v>57.84</v>
      </c>
      <c r="L73" s="256">
        <v>4383.53</v>
      </c>
      <c r="M73" s="60">
        <v>4383.53</v>
      </c>
      <c r="N73" s="257">
        <v>4383.53</v>
      </c>
      <c r="O73" s="257">
        <v>4383.53</v>
      </c>
      <c r="R73" s="86" t="s">
        <v>351</v>
      </c>
      <c r="S73" s="219">
        <f>S71/S72</f>
        <v>0.95669214099757838</v>
      </c>
      <c r="T73" s="219">
        <f t="shared" ref="T73:AD73" si="36">T71/T72</f>
        <v>1.111945938267271</v>
      </c>
      <c r="U73" s="219">
        <f t="shared" si="36"/>
        <v>0.95731138361359591</v>
      </c>
      <c r="V73" s="219">
        <f t="shared" si="36"/>
        <v>1.0380165086407696</v>
      </c>
      <c r="W73" s="219">
        <f t="shared" si="36"/>
        <v>1.2884650416798831</v>
      </c>
      <c r="X73" s="219">
        <f t="shared" si="36"/>
        <v>0.93031073694925093</v>
      </c>
      <c r="Y73" s="219">
        <f t="shared" si="36"/>
        <v>0.98185068584436441</v>
      </c>
      <c r="Z73" s="219">
        <f t="shared" si="36"/>
        <v>0.65054425038546515</v>
      </c>
      <c r="AA73" s="219">
        <f t="shared" si="36"/>
        <v>0.9522027786900642</v>
      </c>
      <c r="AB73" s="219">
        <f t="shared" si="36"/>
        <v>0.69205825294753043</v>
      </c>
      <c r="AC73" s="219">
        <f t="shared" si="36"/>
        <v>1.1264529664897687</v>
      </c>
      <c r="AD73" s="219">
        <f t="shared" si="36"/>
        <v>1.3526985847546196</v>
      </c>
      <c r="AE73" s="219">
        <f>AE71/AE72</f>
        <v>0.97883563007447272</v>
      </c>
      <c r="AF73" s="119"/>
    </row>
    <row r="74" spans="1:33" x14ac:dyDescent="0.15">
      <c r="A74" s="258">
        <v>57.84</v>
      </c>
      <c r="B74" s="258">
        <v>57.84</v>
      </c>
      <c r="C74" s="87">
        <v>2005</v>
      </c>
      <c r="D74" s="59">
        <v>57.84</v>
      </c>
      <c r="E74" s="258">
        <v>57.84</v>
      </c>
      <c r="F74" s="258">
        <v>57.84</v>
      </c>
      <c r="G74" s="258">
        <v>57.84</v>
      </c>
      <c r="H74" s="258">
        <v>57.84</v>
      </c>
      <c r="I74" s="240"/>
      <c r="J74" s="240">
        <v>57.84</v>
      </c>
      <c r="K74" s="374">
        <v>1022.7</v>
      </c>
      <c r="L74" s="260">
        <v>57.84</v>
      </c>
      <c r="M74" s="59">
        <v>57.84</v>
      </c>
      <c r="N74" s="259">
        <v>57.84</v>
      </c>
      <c r="O74" s="259">
        <v>57.84</v>
      </c>
    </row>
    <row r="75" spans="1:33" x14ac:dyDescent="0.15">
      <c r="A75" s="254">
        <v>1022.7</v>
      </c>
      <c r="B75" s="254">
        <v>1022.7</v>
      </c>
      <c r="C75" s="87">
        <v>2006</v>
      </c>
      <c r="D75" s="60">
        <v>1022.7</v>
      </c>
      <c r="E75" s="254">
        <v>1022.7</v>
      </c>
      <c r="F75" s="254">
        <v>1022.7</v>
      </c>
      <c r="G75" s="254">
        <v>1022.7</v>
      </c>
      <c r="H75" s="254">
        <v>1022.7</v>
      </c>
      <c r="I75" s="240"/>
      <c r="J75" s="448">
        <v>1022.7</v>
      </c>
      <c r="K75" s="374">
        <v>776.55</v>
      </c>
      <c r="L75" s="260">
        <v>1022.7</v>
      </c>
      <c r="M75" s="60">
        <v>376.17</v>
      </c>
      <c r="N75" s="255">
        <v>376.17</v>
      </c>
      <c r="O75" s="255">
        <v>1022.7</v>
      </c>
      <c r="T75" s="107" t="s">
        <v>352</v>
      </c>
    </row>
    <row r="76" spans="1:33" x14ac:dyDescent="0.15">
      <c r="A76" s="254">
        <v>776.55</v>
      </c>
      <c r="B76" s="254">
        <v>776.55</v>
      </c>
      <c r="C76" s="87">
        <v>2007</v>
      </c>
      <c r="D76" s="60">
        <v>776.55</v>
      </c>
      <c r="E76" s="254">
        <v>776.55</v>
      </c>
      <c r="F76" s="254">
        <v>776.55</v>
      </c>
      <c r="G76" s="254">
        <v>776.55</v>
      </c>
      <c r="H76" s="254">
        <v>776.55</v>
      </c>
      <c r="I76" s="240"/>
      <c r="J76" s="448">
        <v>776.55</v>
      </c>
      <c r="K76" s="374">
        <v>2046.08</v>
      </c>
      <c r="L76" s="260">
        <v>776.55</v>
      </c>
      <c r="M76" s="60">
        <v>776.55</v>
      </c>
      <c r="N76" s="255">
        <v>776.55</v>
      </c>
      <c r="O76" s="259">
        <v>776.55</v>
      </c>
    </row>
    <row r="77" spans="1:33" x14ac:dyDescent="0.15">
      <c r="A77" s="254">
        <v>2046.08</v>
      </c>
      <c r="B77" s="254">
        <v>2046.08</v>
      </c>
      <c r="C77" s="87">
        <v>2008</v>
      </c>
      <c r="D77" s="60">
        <v>2046.08</v>
      </c>
      <c r="E77" s="254">
        <v>2046.08</v>
      </c>
      <c r="F77" s="254">
        <v>2046.08</v>
      </c>
      <c r="G77" s="254">
        <v>2046.08</v>
      </c>
      <c r="H77" s="254">
        <v>2046.08</v>
      </c>
      <c r="I77" s="240"/>
      <c r="J77" s="448">
        <v>2046.08</v>
      </c>
      <c r="K77" s="374">
        <v>2230.9</v>
      </c>
      <c r="L77" s="260">
        <v>2046.08</v>
      </c>
      <c r="M77" s="60">
        <v>1737.19</v>
      </c>
      <c r="N77" s="255">
        <v>1737.19</v>
      </c>
      <c r="O77" s="255">
        <v>2046.08</v>
      </c>
      <c r="T77" s="107" t="s">
        <v>353</v>
      </c>
    </row>
    <row r="78" spans="1:33" x14ac:dyDescent="0.15">
      <c r="A78" s="254">
        <v>2230.9</v>
      </c>
      <c r="B78" s="254">
        <v>2230.9</v>
      </c>
      <c r="C78" s="87">
        <v>2009</v>
      </c>
      <c r="D78" s="60">
        <v>2230.9</v>
      </c>
      <c r="E78" s="254">
        <v>2230.9</v>
      </c>
      <c r="F78" s="254">
        <v>2230.9</v>
      </c>
      <c r="G78" s="254">
        <v>2230.9</v>
      </c>
      <c r="H78" s="254">
        <v>2230.9</v>
      </c>
      <c r="I78" s="240"/>
      <c r="J78" s="448">
        <v>2230.9</v>
      </c>
      <c r="K78" s="374">
        <v>7980.88</v>
      </c>
      <c r="L78" s="260">
        <v>2230.9</v>
      </c>
      <c r="M78" s="60">
        <v>1779.08</v>
      </c>
      <c r="N78" s="255">
        <v>1779.08</v>
      </c>
      <c r="O78" s="255">
        <v>2230.9</v>
      </c>
      <c r="Q78" s="95" t="s">
        <v>130</v>
      </c>
      <c r="R78" s="95" t="s">
        <v>354</v>
      </c>
      <c r="S78" s="95" t="str">
        <f t="shared" ref="S78:AE78" si="37">S3</f>
        <v>JANEIRO</v>
      </c>
      <c r="T78" s="95" t="str">
        <f t="shared" si="37"/>
        <v>FEVEREIRO</v>
      </c>
      <c r="U78" s="95" t="str">
        <f t="shared" si="37"/>
        <v>MARÇO</v>
      </c>
      <c r="V78" s="95" t="str">
        <f t="shared" si="37"/>
        <v>ABRIL</v>
      </c>
      <c r="W78" s="95" t="str">
        <f t="shared" si="37"/>
        <v>MAIO</v>
      </c>
      <c r="X78" s="95" t="str">
        <f t="shared" si="37"/>
        <v>JUNHO</v>
      </c>
      <c r="Y78" s="95" t="str">
        <f t="shared" si="37"/>
        <v>JULHO</v>
      </c>
      <c r="Z78" s="95" t="str">
        <f t="shared" si="37"/>
        <v>AGOSTO</v>
      </c>
      <c r="AA78" s="95" t="str">
        <f t="shared" si="37"/>
        <v>SETEMBRO</v>
      </c>
      <c r="AB78" s="95" t="str">
        <f t="shared" si="37"/>
        <v>OUTUBRO</v>
      </c>
      <c r="AC78" s="95" t="str">
        <f t="shared" si="37"/>
        <v>NOVEMBRO</v>
      </c>
      <c r="AD78" s="95" t="str">
        <f t="shared" si="37"/>
        <v>DEZEMBRO</v>
      </c>
      <c r="AE78" s="95" t="str">
        <f t="shared" si="37"/>
        <v>TOTAL</v>
      </c>
    </row>
    <row r="79" spans="1:33" x14ac:dyDescent="0.15">
      <c r="A79" s="254">
        <v>7980.88</v>
      </c>
      <c r="B79" s="254">
        <v>7980.88</v>
      </c>
      <c r="C79" s="87">
        <v>2010</v>
      </c>
      <c r="D79" s="60">
        <v>7980.88</v>
      </c>
      <c r="E79" s="254">
        <v>7980.88</v>
      </c>
      <c r="F79" s="254">
        <v>7980.88</v>
      </c>
      <c r="G79" s="254">
        <v>7980.88</v>
      </c>
      <c r="H79" s="254">
        <v>7980.88</v>
      </c>
      <c r="I79" s="240"/>
      <c r="J79" s="448">
        <v>7980.88</v>
      </c>
      <c r="K79" s="374">
        <v>172953.87</v>
      </c>
      <c r="L79" s="260">
        <v>7980.88</v>
      </c>
      <c r="M79" s="60">
        <v>6480.66</v>
      </c>
      <c r="N79" s="255">
        <v>6480.66</v>
      </c>
      <c r="O79" s="255">
        <v>7980.88</v>
      </c>
      <c r="Q79" s="208" t="s">
        <v>355</v>
      </c>
      <c r="R79" s="95" t="s">
        <v>282</v>
      </c>
      <c r="S79" s="97">
        <f t="shared" ref="S79:AE79" si="38">S20</f>
        <v>11656177.993336219</v>
      </c>
      <c r="T79" s="97">
        <f t="shared" si="38"/>
        <v>11901795.705152275</v>
      </c>
      <c r="U79" s="97">
        <f t="shared" si="38"/>
        <v>11153322.249607213</v>
      </c>
      <c r="V79" s="97">
        <f t="shared" si="38"/>
        <v>11555276.071185496</v>
      </c>
      <c r="W79" s="97">
        <f t="shared" si="38"/>
        <v>11434839.319188649</v>
      </c>
      <c r="X79" s="97">
        <f t="shared" si="38"/>
        <v>10425399.837078189</v>
      </c>
      <c r="Y79" s="97">
        <f t="shared" si="38"/>
        <v>12139133.799852779</v>
      </c>
      <c r="Z79" s="97">
        <f t="shared" si="38"/>
        <v>10647379.455613729</v>
      </c>
      <c r="AA79" s="97">
        <f t="shared" si="38"/>
        <v>10539082.714075398</v>
      </c>
      <c r="AB79" s="97">
        <f t="shared" si="38"/>
        <v>11412777.845785208</v>
      </c>
      <c r="AC79" s="97">
        <f t="shared" si="38"/>
        <v>10676818.409967704</v>
      </c>
      <c r="AD79" s="97">
        <f t="shared" si="38"/>
        <v>16835806.869157109</v>
      </c>
      <c r="AE79" s="97">
        <f t="shared" si="38"/>
        <v>140377810.26999998</v>
      </c>
      <c r="AG79" s="61"/>
    </row>
    <row r="80" spans="1:33" x14ac:dyDescent="0.15">
      <c r="A80" s="254">
        <v>172953.87</v>
      </c>
      <c r="B80" s="254">
        <v>172953.87</v>
      </c>
      <c r="C80" s="87">
        <v>2011</v>
      </c>
      <c r="D80" s="60">
        <v>172953.87</v>
      </c>
      <c r="E80" s="254">
        <v>172953.87</v>
      </c>
      <c r="F80" s="254">
        <v>172953.87</v>
      </c>
      <c r="G80" s="254">
        <v>172953.87</v>
      </c>
      <c r="H80" s="254">
        <v>172953.87</v>
      </c>
      <c r="I80" s="240"/>
      <c r="J80" s="448">
        <v>172953.87</v>
      </c>
      <c r="K80" s="374">
        <v>1907832.24</v>
      </c>
      <c r="L80" s="260">
        <v>172953.87</v>
      </c>
      <c r="M80" s="60">
        <v>169801.14</v>
      </c>
      <c r="N80" s="255">
        <v>169801.14</v>
      </c>
      <c r="O80" s="255">
        <v>172953.87</v>
      </c>
    </row>
    <row r="81" spans="1:32" x14ac:dyDescent="0.15">
      <c r="A81" s="254">
        <v>2016261.2</v>
      </c>
      <c r="B81" s="254">
        <v>2002707.58</v>
      </c>
      <c r="C81" s="87">
        <v>2012</v>
      </c>
      <c r="D81" s="60">
        <v>1989153.96</v>
      </c>
      <c r="E81" s="254">
        <v>1975600.34</v>
      </c>
      <c r="F81" s="254">
        <v>1962046.72</v>
      </c>
      <c r="G81" s="254">
        <v>1948493.1</v>
      </c>
      <c r="H81" s="254">
        <v>1934939.48</v>
      </c>
      <c r="I81" s="240"/>
      <c r="J81" s="448">
        <v>1921385.86</v>
      </c>
      <c r="K81" s="374">
        <v>10667.58</v>
      </c>
      <c r="L81" s="260">
        <v>1894278.62</v>
      </c>
      <c r="M81" s="60">
        <v>1866718.6</v>
      </c>
      <c r="N81" s="255">
        <v>1853164.98</v>
      </c>
      <c r="O81" s="255">
        <v>1853617.76</v>
      </c>
      <c r="Q81" s="208">
        <f t="shared" ref="Q81:AE81" si="39">Q13</f>
        <v>10</v>
      </c>
      <c r="R81" s="208" t="str">
        <f t="shared" si="39"/>
        <v>SMS</v>
      </c>
      <c r="S81" s="97">
        <f t="shared" si="39"/>
        <v>2259599.2415075586</v>
      </c>
      <c r="T81" s="97">
        <f t="shared" si="39"/>
        <v>2308683.2557489532</v>
      </c>
      <c r="U81" s="97">
        <f t="shared" si="39"/>
        <v>2159109.0191043536</v>
      </c>
      <c r="V81" s="97">
        <f t="shared" si="39"/>
        <v>2239435.09557846</v>
      </c>
      <c r="W81" s="97">
        <f t="shared" si="39"/>
        <v>2215367.1274889773</v>
      </c>
      <c r="X81" s="97">
        <f t="shared" si="39"/>
        <v>2013641.6837113632</v>
      </c>
      <c r="Y81" s="97">
        <f t="shared" si="39"/>
        <v>2356112.6790351272</v>
      </c>
      <c r="Z81" s="97">
        <f t="shared" si="39"/>
        <v>2058001.8834581042</v>
      </c>
      <c r="AA81" s="97">
        <f t="shared" si="39"/>
        <v>2036359.9637257643</v>
      </c>
      <c r="AB81" s="97">
        <f t="shared" si="39"/>
        <v>2210958.3832387594</v>
      </c>
      <c r="AC81" s="97">
        <f t="shared" si="39"/>
        <v>2063884.9366144845</v>
      </c>
      <c r="AD81" s="97">
        <f t="shared" si="39"/>
        <v>3294691.4407880898</v>
      </c>
      <c r="AE81" s="97">
        <f t="shared" si="39"/>
        <v>27215844.709999997</v>
      </c>
    </row>
    <row r="82" spans="1:32" x14ac:dyDescent="0.15">
      <c r="A82" s="254">
        <v>10667.58</v>
      </c>
      <c r="B82" s="254">
        <v>10667.58</v>
      </c>
      <c r="C82" s="87">
        <v>2013</v>
      </c>
      <c r="D82" s="60">
        <v>10667.58</v>
      </c>
      <c r="E82" s="254">
        <v>10667.58</v>
      </c>
      <c r="F82" s="254">
        <v>10667.58</v>
      </c>
      <c r="G82" s="254">
        <v>10667.58</v>
      </c>
      <c r="H82" s="254">
        <v>10667.58</v>
      </c>
      <c r="I82" s="240"/>
      <c r="J82" s="448">
        <v>10667.58</v>
      </c>
      <c r="K82" s="374">
        <v>353929.99</v>
      </c>
      <c r="L82" s="260">
        <v>10667.58</v>
      </c>
      <c r="M82" s="60">
        <v>9489.8700000000008</v>
      </c>
      <c r="N82" s="255">
        <v>9489.8700000000008</v>
      </c>
      <c r="O82" s="255">
        <v>10667.58</v>
      </c>
      <c r="Q82" s="232"/>
      <c r="R82" s="232" t="s">
        <v>356</v>
      </c>
      <c r="S82" s="97">
        <f>(S81/S79)*100</f>
        <v>19.385421557558239</v>
      </c>
      <c r="T82" s="97">
        <f t="shared" ref="T82:AD82" si="40">(T81/T79)*100</f>
        <v>19.397772512172484</v>
      </c>
      <c r="U82" s="97">
        <f t="shared" si="40"/>
        <v>19.358438416682446</v>
      </c>
      <c r="V82" s="97">
        <f t="shared" si="40"/>
        <v>19.380195520925437</v>
      </c>
      <c r="W82" s="97">
        <f t="shared" si="40"/>
        <v>19.373836970069181</v>
      </c>
      <c r="X82" s="97">
        <f t="shared" si="40"/>
        <v>19.314766965098045</v>
      </c>
      <c r="Y82" s="97">
        <f t="shared" si="40"/>
        <v>19.409232305057067</v>
      </c>
      <c r="Z82" s="97">
        <f t="shared" si="40"/>
        <v>19.328717380998782</v>
      </c>
      <c r="AA82" s="97">
        <f t="shared" si="40"/>
        <v>19.321984834658505</v>
      </c>
      <c r="AB82" s="97">
        <f t="shared" si="40"/>
        <v>19.372657674706922</v>
      </c>
      <c r="AC82" s="97">
        <f t="shared" si="40"/>
        <v>19.330523919819363</v>
      </c>
      <c r="AD82" s="97">
        <f t="shared" si="40"/>
        <v>19.569548797948642</v>
      </c>
      <c r="AE82" s="97">
        <f>(AE81/AE79)*100</f>
        <v>19.387568916806412</v>
      </c>
    </row>
    <row r="83" spans="1:32" x14ac:dyDescent="0.15">
      <c r="A83" s="254">
        <v>536457.43000000005</v>
      </c>
      <c r="B83" s="254">
        <v>513641.5</v>
      </c>
      <c r="C83" s="87">
        <v>2014</v>
      </c>
      <c r="D83" s="60">
        <v>490825.57</v>
      </c>
      <c r="E83" s="254">
        <v>468009.64</v>
      </c>
      <c r="F83" s="254">
        <v>445193.71</v>
      </c>
      <c r="G83" s="254">
        <v>422377.78</v>
      </c>
      <c r="H83" s="254">
        <v>399561.85</v>
      </c>
      <c r="I83" s="240"/>
      <c r="J83" s="448">
        <v>376745.92</v>
      </c>
      <c r="K83" s="374">
        <v>3106976.28</v>
      </c>
      <c r="L83" s="260">
        <v>331114.06</v>
      </c>
      <c r="M83" s="60">
        <v>305978.84999999998</v>
      </c>
      <c r="N83" s="255">
        <v>283162.92</v>
      </c>
      <c r="O83" s="255">
        <v>262666.27</v>
      </c>
      <c r="U83" s="119"/>
      <c r="V83" s="119"/>
      <c r="W83" s="119"/>
      <c r="X83" s="61"/>
      <c r="Y83" s="119"/>
      <c r="Z83" s="61"/>
    </row>
    <row r="84" spans="1:32" x14ac:dyDescent="0.15">
      <c r="A84" s="254">
        <v>3209482.31</v>
      </c>
      <c r="B84" s="254">
        <v>3196828.23</v>
      </c>
      <c r="C84" s="87">
        <v>2015</v>
      </c>
      <c r="D84" s="60">
        <v>3184060.76</v>
      </c>
      <c r="E84" s="254">
        <v>3171406.68</v>
      </c>
      <c r="F84" s="254">
        <v>3157592.6</v>
      </c>
      <c r="G84" s="254">
        <v>3144938.52</v>
      </c>
      <c r="H84" s="254">
        <v>3132284.44</v>
      </c>
      <c r="I84" s="240"/>
      <c r="J84" s="448">
        <v>3119630.36</v>
      </c>
      <c r="K84" s="374">
        <v>3147554.02</v>
      </c>
      <c r="L84" s="260">
        <v>3094309.4</v>
      </c>
      <c r="M84" s="60">
        <v>3081655.32</v>
      </c>
      <c r="N84" s="255">
        <v>3013743.68</v>
      </c>
      <c r="O84" s="255">
        <v>2976030.69</v>
      </c>
      <c r="R84" s="95" t="s">
        <v>357</v>
      </c>
      <c r="S84" s="232" t="s">
        <v>358</v>
      </c>
      <c r="T84" s="232" t="s">
        <v>359</v>
      </c>
      <c r="U84" s="232" t="s">
        <v>360</v>
      </c>
      <c r="V84" s="95" t="s">
        <v>133</v>
      </c>
      <c r="W84" s="95" t="s">
        <v>361</v>
      </c>
      <c r="X84" s="95" t="s">
        <v>362</v>
      </c>
      <c r="Y84" s="95" t="s">
        <v>149</v>
      </c>
      <c r="Z84" s="232" t="s">
        <v>363</v>
      </c>
      <c r="AA84" s="95" t="s">
        <v>364</v>
      </c>
    </row>
    <row r="85" spans="1:32" x14ac:dyDescent="0.15">
      <c r="A85" s="254">
        <v>3398020.7</v>
      </c>
      <c r="B85" s="254">
        <v>3376054.18</v>
      </c>
      <c r="C85" s="87">
        <v>2016</v>
      </c>
      <c r="D85" s="60">
        <v>3354087.66</v>
      </c>
      <c r="E85" s="254">
        <v>3332121.14</v>
      </c>
      <c r="F85" s="254">
        <v>3255394.06</v>
      </c>
      <c r="G85" s="254">
        <v>3241116.4</v>
      </c>
      <c r="H85" s="254">
        <v>3183940.86</v>
      </c>
      <c r="I85" s="240"/>
      <c r="J85" s="448">
        <v>3161831.68</v>
      </c>
      <c r="K85" s="374">
        <v>2133121.69</v>
      </c>
      <c r="L85" s="260">
        <v>3133276.36</v>
      </c>
      <c r="M85" s="60">
        <v>3117485</v>
      </c>
      <c r="N85" s="255">
        <v>3103207.34</v>
      </c>
      <c r="O85" s="255">
        <v>3090443.38</v>
      </c>
      <c r="R85" s="95" t="s">
        <v>365</v>
      </c>
      <c r="S85" s="45">
        <f>Cruz!I27</f>
        <v>157679088.08000004</v>
      </c>
      <c r="T85" s="179">
        <f>S85-U85</f>
        <v>16622398.190000057</v>
      </c>
      <c r="U85" s="45">
        <f>AE67</f>
        <v>141056689.88999999</v>
      </c>
      <c r="V85" s="45">
        <f>AE64</f>
        <v>139225135.17999998</v>
      </c>
      <c r="W85" s="45">
        <f>U85-V85</f>
        <v>1831554.7100000083</v>
      </c>
      <c r="X85" s="45">
        <f>133480989.17</f>
        <v>133480989.17</v>
      </c>
      <c r="Y85" s="179">
        <f>V85-X85</f>
        <v>5744146.0099999756</v>
      </c>
      <c r="Z85" s="179">
        <f>W85+Y85</f>
        <v>7575700.7199999839</v>
      </c>
      <c r="AA85" s="261">
        <f>Z85-W85</f>
        <v>5744146.0099999756</v>
      </c>
    </row>
    <row r="86" spans="1:32" x14ac:dyDescent="0.15">
      <c r="A86" s="254">
        <v>2431405.69</v>
      </c>
      <c r="B86" s="254">
        <v>2394120.19</v>
      </c>
      <c r="C86" s="87">
        <v>2017</v>
      </c>
      <c r="D86" s="60">
        <v>2356834.69</v>
      </c>
      <c r="E86" s="254">
        <v>2319549.19</v>
      </c>
      <c r="F86" s="254">
        <v>2282263.69</v>
      </c>
      <c r="G86" s="254">
        <v>2244978.19</v>
      </c>
      <c r="H86" s="254">
        <v>2207692.69</v>
      </c>
      <c r="I86" s="240"/>
      <c r="J86" s="448">
        <v>2170407.19</v>
      </c>
      <c r="K86" s="374">
        <v>1950038.57</v>
      </c>
      <c r="L86" s="260">
        <v>2095836.19</v>
      </c>
      <c r="M86" s="60">
        <v>2058550.69</v>
      </c>
      <c r="N86" s="255">
        <v>2021265.19</v>
      </c>
      <c r="O86" s="255">
        <v>1983979.69</v>
      </c>
      <c r="T86" s="107" t="s">
        <v>366</v>
      </c>
    </row>
    <row r="87" spans="1:32" x14ac:dyDescent="0.15">
      <c r="A87" s="254">
        <v>1951977.07</v>
      </c>
      <c r="B87" s="254">
        <v>1951977.07</v>
      </c>
      <c r="C87" s="87">
        <v>2018</v>
      </c>
      <c r="D87" s="60">
        <v>1950772.37</v>
      </c>
      <c r="E87" s="254">
        <v>1950772.37</v>
      </c>
      <c r="F87" s="254">
        <v>1950772.37</v>
      </c>
      <c r="G87" s="254">
        <v>1950038.57</v>
      </c>
      <c r="H87" s="254">
        <v>1950038.57</v>
      </c>
      <c r="I87" s="240"/>
      <c r="J87" s="448">
        <v>1950038.57</v>
      </c>
      <c r="K87" s="374">
        <v>1591853.37</v>
      </c>
      <c r="L87" s="260">
        <v>1950038.57</v>
      </c>
      <c r="M87" s="60">
        <v>1948421.86</v>
      </c>
      <c r="N87" s="255">
        <v>1945722.09</v>
      </c>
      <c r="O87" s="255">
        <v>1947123.88</v>
      </c>
      <c r="Q87" s="95" t="s">
        <v>130</v>
      </c>
      <c r="R87" s="95" t="s">
        <v>367</v>
      </c>
      <c r="S87" s="179">
        <f>S40</f>
        <v>9502229.8300000001</v>
      </c>
      <c r="T87" s="179">
        <f t="shared" ref="T87:AE87" si="41">T40</f>
        <v>9870035.4800000004</v>
      </c>
      <c r="U87" s="179">
        <f t="shared" si="41"/>
        <v>11697778.77</v>
      </c>
      <c r="V87" s="179">
        <f t="shared" si="41"/>
        <v>9795349.0399999991</v>
      </c>
      <c r="W87" s="179">
        <f t="shared" si="41"/>
        <v>11144329.4</v>
      </c>
      <c r="X87" s="179">
        <f t="shared" si="41"/>
        <v>10512021.270000001</v>
      </c>
      <c r="Y87" s="179">
        <f t="shared" si="41"/>
        <v>11281097.359999999</v>
      </c>
      <c r="Z87" s="179">
        <f t="shared" si="41"/>
        <v>11242671.82</v>
      </c>
      <c r="AA87" s="179">
        <f t="shared" si="41"/>
        <v>10938610.350000001</v>
      </c>
      <c r="AB87" s="179">
        <f t="shared" si="41"/>
        <v>11341397.140000001</v>
      </c>
      <c r="AC87" s="179">
        <f t="shared" si="41"/>
        <v>11405835.470000003</v>
      </c>
      <c r="AD87" s="179">
        <f t="shared" si="41"/>
        <v>20493779.25</v>
      </c>
      <c r="AE87" s="179">
        <f t="shared" si="41"/>
        <v>139225135.17999998</v>
      </c>
      <c r="AF87" s="61"/>
    </row>
    <row r="88" spans="1:32" x14ac:dyDescent="0.15">
      <c r="A88" s="254">
        <v>1602004.85</v>
      </c>
      <c r="B88" s="254">
        <v>1602004.85</v>
      </c>
      <c r="C88" s="87">
        <v>2019</v>
      </c>
      <c r="D88" s="60">
        <v>1597163.51</v>
      </c>
      <c r="E88" s="254">
        <v>1595013.1</v>
      </c>
      <c r="F88" s="254">
        <v>1595013.1</v>
      </c>
      <c r="G88" s="254">
        <v>1590916.36</v>
      </c>
      <c r="H88" s="254">
        <v>1590916.36</v>
      </c>
      <c r="I88" s="240"/>
      <c r="J88" s="448">
        <v>1590916.36</v>
      </c>
      <c r="K88" s="374">
        <v>6154226.1600000001</v>
      </c>
      <c r="L88" s="260">
        <v>1589832.36</v>
      </c>
      <c r="M88" s="60">
        <v>1586258.09</v>
      </c>
      <c r="N88" s="255">
        <v>1586258.09</v>
      </c>
      <c r="O88" s="255">
        <v>1589682.36</v>
      </c>
    </row>
    <row r="89" spans="1:32" x14ac:dyDescent="0.15">
      <c r="A89" s="60">
        <v>11681226.07</v>
      </c>
      <c r="B89" s="60">
        <v>8367616.3600000003</v>
      </c>
      <c r="C89" s="87">
        <v>2020</v>
      </c>
      <c r="D89" s="60">
        <v>7165670.71</v>
      </c>
      <c r="E89" s="60">
        <v>7195049.4699999997</v>
      </c>
      <c r="F89" s="254">
        <v>6792191.1500000004</v>
      </c>
      <c r="G89" s="363">
        <v>6524062.2000000002</v>
      </c>
      <c r="H89" s="254">
        <v>6409256.2400000002</v>
      </c>
      <c r="I89" s="364"/>
      <c r="J89" s="485">
        <v>6297433.3700000001</v>
      </c>
      <c r="L89" s="255">
        <v>6043305.2300000004</v>
      </c>
      <c r="M89" s="60">
        <v>5949903.7199999997</v>
      </c>
      <c r="N89" s="255">
        <v>5867876.3899999997</v>
      </c>
      <c r="O89" s="255">
        <v>5680688.5700000003</v>
      </c>
      <c r="Q89" s="95">
        <f t="shared" ref="Q89:AE89" si="42">Q33</f>
        <v>10</v>
      </c>
      <c r="R89" s="95" t="str">
        <f t="shared" si="42"/>
        <v>SMSMA</v>
      </c>
      <c r="S89" s="97">
        <f t="shared" si="42"/>
        <v>1923273.17</v>
      </c>
      <c r="T89" s="97">
        <f t="shared" si="42"/>
        <v>1859487.61</v>
      </c>
      <c r="U89" s="97">
        <f t="shared" si="42"/>
        <v>3319884.02</v>
      </c>
      <c r="V89" s="97">
        <f t="shared" si="42"/>
        <v>1694768.04</v>
      </c>
      <c r="W89" s="97">
        <f t="shared" si="42"/>
        <v>2841243.25</v>
      </c>
      <c r="X89" s="97">
        <f t="shared" si="42"/>
        <v>2332380.98</v>
      </c>
      <c r="Y89" s="97">
        <f t="shared" si="42"/>
        <v>2773153.98</v>
      </c>
      <c r="Z89" s="97">
        <f t="shared" si="42"/>
        <v>2320018.91</v>
      </c>
      <c r="AA89" s="97">
        <f t="shared" si="42"/>
        <v>2441388.21</v>
      </c>
      <c r="AB89" s="97">
        <f t="shared" si="42"/>
        <v>2299921.27</v>
      </c>
      <c r="AC89" s="97">
        <f t="shared" si="42"/>
        <v>2295102.87</v>
      </c>
      <c r="AD89" s="97">
        <f t="shared" si="42"/>
        <v>3672098.02</v>
      </c>
      <c r="AE89" s="97">
        <f t="shared" si="42"/>
        <v>29772720.330000002</v>
      </c>
    </row>
    <row r="90" spans="1:32" x14ac:dyDescent="0.15">
      <c r="A90" s="262">
        <f>SUM(A73:A89)</f>
        <v>27028955.25</v>
      </c>
      <c r="B90" s="262">
        <f>SUM(B73:B89)</f>
        <v>23607069.890000001</v>
      </c>
      <c r="C90" s="241">
        <f>23607069.89-B90</f>
        <v>0</v>
      </c>
      <c r="D90" s="263">
        <f>SUM(D73:D89)</f>
        <v>22290689.159999996</v>
      </c>
      <c r="E90" s="263">
        <f>SUM(E73:E89)</f>
        <v>22209641.859999999</v>
      </c>
      <c r="F90" s="262">
        <f>SUM(F73:F89)</f>
        <v>21642587.329999998</v>
      </c>
      <c r="G90" s="367">
        <f>SUM(G73:G89)</f>
        <v>21269041.050000001</v>
      </c>
      <c r="H90" s="98">
        <f>SUM(H73:H89)</f>
        <v>21010750.420000002</v>
      </c>
      <c r="I90" s="364"/>
      <c r="J90" s="263">
        <f t="shared" ref="J90:L90" si="43">SUM(J73:J89)</f>
        <v>20790509.239999998</v>
      </c>
      <c r="K90" s="262">
        <f t="shared" si="43"/>
        <v>20543268.719999999</v>
      </c>
      <c r="L90" s="179">
        <f t="shared" si="43"/>
        <v>20334110.719999999</v>
      </c>
      <c r="M90" s="264">
        <f>SUM(M73:M89)</f>
        <v>20109854.16</v>
      </c>
      <c r="N90" s="179">
        <f>SUM(N73:N89)</f>
        <v>19869282.709999997</v>
      </c>
      <c r="O90" s="179">
        <f>SUM(O73:O89)</f>
        <v>19586352.530000001</v>
      </c>
      <c r="Q90" s="208" t="s">
        <v>368</v>
      </c>
      <c r="R90" s="232" t="s">
        <v>356</v>
      </c>
      <c r="S90" s="97">
        <f t="shared" ref="S90:AD90" si="44">(S89/S87)*100</f>
        <v>20.240229971368731</v>
      </c>
      <c r="T90" s="97">
        <f t="shared" si="44"/>
        <v>18.839725690631461</v>
      </c>
      <c r="U90" s="97">
        <f>(U89/U87)*100</f>
        <v>28.380465088929018</v>
      </c>
      <c r="V90" s="97">
        <f t="shared" si="44"/>
        <v>17.301762633258857</v>
      </c>
      <c r="W90" s="97">
        <f t="shared" si="44"/>
        <v>25.494968319942156</v>
      </c>
      <c r="X90" s="97">
        <f t="shared" si="44"/>
        <v>22.18774981607319</v>
      </c>
      <c r="Y90" s="97">
        <f t="shared" si="44"/>
        <v>24.582306946777386</v>
      </c>
      <c r="Z90" s="97">
        <f t="shared" si="44"/>
        <v>20.635832363912229</v>
      </c>
      <c r="AA90" s="97">
        <f t="shared" si="44"/>
        <v>22.318997860637751</v>
      </c>
      <c r="AB90" s="97">
        <f t="shared" si="44"/>
        <v>20.278994215698543</v>
      </c>
      <c r="AC90" s="97">
        <f t="shared" si="44"/>
        <v>20.122181106650661</v>
      </c>
      <c r="AD90" s="97">
        <f t="shared" si="44"/>
        <v>17.918110540787641</v>
      </c>
      <c r="AE90" s="96">
        <f>(AE89/AE87)*100</f>
        <v>21.384587123228684</v>
      </c>
    </row>
    <row r="91" spans="1:32" x14ac:dyDescent="0.15">
      <c r="A91" s="86" t="s">
        <v>369</v>
      </c>
      <c r="B91" s="61">
        <f>A90-B90</f>
        <v>3421885.3599999994</v>
      </c>
      <c r="C91" s="61"/>
      <c r="D91" s="61">
        <f>B90-D90</f>
        <v>1316380.7300000042</v>
      </c>
      <c r="E91" s="61">
        <f>D90-E90</f>
        <v>81047.29999999702</v>
      </c>
      <c r="F91" s="61">
        <f>E90-F90</f>
        <v>567054.53000000119</v>
      </c>
      <c r="G91" s="61">
        <f>F90-G90</f>
        <v>373546.27999999747</v>
      </c>
      <c r="H91" s="61">
        <f>G90-H90</f>
        <v>258290.62999999896</v>
      </c>
      <c r="J91" s="61">
        <f>H90-J90</f>
        <v>220241.18000000343</v>
      </c>
      <c r="K91" s="61">
        <f>J90-K90</f>
        <v>247240.51999999955</v>
      </c>
      <c r="L91" s="61">
        <f>K90-L90</f>
        <v>209158</v>
      </c>
      <c r="M91" s="61">
        <f>L90-M90</f>
        <v>224256.55999999866</v>
      </c>
      <c r="N91" s="61">
        <f>M90-N90</f>
        <v>240571.45000000298</v>
      </c>
      <c r="O91" s="61">
        <f>N90-O90</f>
        <v>282930.17999999598</v>
      </c>
    </row>
    <row r="92" spans="1:32" x14ac:dyDescent="0.15">
      <c r="A92" s="265" t="s">
        <v>370</v>
      </c>
      <c r="B92" s="262">
        <f>22290689.16-B90</f>
        <v>-1316380.7300000004</v>
      </c>
      <c r="C92" s="241"/>
      <c r="D92" s="262"/>
      <c r="E92" s="262"/>
      <c r="F92" s="262"/>
      <c r="G92" s="243"/>
      <c r="H92" s="262"/>
      <c r="I92" s="243"/>
      <c r="J92" s="98"/>
      <c r="K92" s="98"/>
      <c r="L92" s="98"/>
      <c r="M92" s="98"/>
      <c r="N92" s="98"/>
      <c r="O92" s="232"/>
    </row>
    <row r="93" spans="1:32" x14ac:dyDescent="0.15">
      <c r="D93" s="60"/>
      <c r="L93" s="119">
        <f>20334110.72-L90</f>
        <v>0</v>
      </c>
      <c r="N93" s="119">
        <f>19869282.71-N90</f>
        <v>0</v>
      </c>
      <c r="O93" s="119">
        <f>19586352.53-O90</f>
        <v>0</v>
      </c>
    </row>
    <row r="94" spans="1:32" x14ac:dyDescent="0.15">
      <c r="R94" s="208" t="s">
        <v>371</v>
      </c>
      <c r="S94" s="95" t="str">
        <f t="shared" ref="S94:AE94" si="45">S43</f>
        <v>Janeiro</v>
      </c>
      <c r="T94" s="95" t="str">
        <f t="shared" si="45"/>
        <v>Fevereiro</v>
      </c>
      <c r="U94" s="95" t="str">
        <f t="shared" si="45"/>
        <v>Março</v>
      </c>
      <c r="V94" s="95" t="str">
        <f t="shared" si="45"/>
        <v>Abril</v>
      </c>
      <c r="W94" s="95" t="str">
        <f t="shared" si="45"/>
        <v>Maio</v>
      </c>
      <c r="X94" s="95" t="str">
        <f t="shared" si="45"/>
        <v>Junho</v>
      </c>
      <c r="Y94" s="95" t="str">
        <f t="shared" si="45"/>
        <v>Julho</v>
      </c>
      <c r="Z94" s="95" t="str">
        <f t="shared" si="45"/>
        <v>Agosto</v>
      </c>
      <c r="AA94" s="95" t="str">
        <f t="shared" si="45"/>
        <v>Setembro</v>
      </c>
      <c r="AB94" s="95" t="str">
        <f t="shared" si="45"/>
        <v>Outubro</v>
      </c>
      <c r="AC94" s="95" t="str">
        <f t="shared" si="45"/>
        <v>Novembro</v>
      </c>
      <c r="AD94" s="95" t="str">
        <f t="shared" si="45"/>
        <v>Dezembro</v>
      </c>
      <c r="AE94" s="95" t="str">
        <f t="shared" si="45"/>
        <v>TOTAL</v>
      </c>
    </row>
    <row r="95" spans="1:32" x14ac:dyDescent="0.15">
      <c r="Q95" s="338"/>
      <c r="R95" s="339" t="s">
        <v>298</v>
      </c>
      <c r="S95" s="219">
        <f>S89/$AE$89</f>
        <v>6.4598503216450956E-2</v>
      </c>
      <c r="T95" s="219">
        <f t="shared" ref="T95:AD95" si="46">T89/$AE$89</f>
        <v>6.2456086961133923E-2</v>
      </c>
      <c r="U95" s="219">
        <f t="shared" si="46"/>
        <v>0.11150758087277542</v>
      </c>
      <c r="V95" s="219">
        <f t="shared" si="46"/>
        <v>5.6923519961066316E-2</v>
      </c>
      <c r="W95" s="219">
        <f t="shared" si="46"/>
        <v>9.5431093246023169E-2</v>
      </c>
      <c r="X95" s="219">
        <f t="shared" si="46"/>
        <v>7.833953210012233E-2</v>
      </c>
      <c r="Y95" s="219">
        <f t="shared" si="46"/>
        <v>9.3144124865394848E-2</v>
      </c>
      <c r="Z95" s="219">
        <f t="shared" si="46"/>
        <v>7.7924317438412591E-2</v>
      </c>
      <c r="AA95" s="219">
        <f t="shared" si="46"/>
        <v>8.2000844495891581E-2</v>
      </c>
      <c r="AB95" s="219">
        <f t="shared" si="46"/>
        <v>7.7249282044359296E-2</v>
      </c>
      <c r="AC95" s="219">
        <f t="shared" si="46"/>
        <v>7.7087442617306851E-2</v>
      </c>
      <c r="AD95" s="219">
        <f t="shared" si="46"/>
        <v>0.12333767218106266</v>
      </c>
      <c r="AE95" s="219">
        <f>AE89/$AE$20</f>
        <v>0.21208993268049789</v>
      </c>
    </row>
    <row r="98" spans="2:31" x14ac:dyDescent="0.15">
      <c r="S98" s="107" t="s">
        <v>372</v>
      </c>
    </row>
    <row r="99" spans="2:31" x14ac:dyDescent="0.15">
      <c r="Q99" s="225" t="s">
        <v>299</v>
      </c>
      <c r="R99" s="226"/>
      <c r="S99" s="219" t="s">
        <v>300</v>
      </c>
      <c r="T99" s="227">
        <f>S89+T89</f>
        <v>3782760.7800000003</v>
      </c>
      <c r="U99" s="219" t="s">
        <v>301</v>
      </c>
      <c r="V99" s="228">
        <f>U89+V89</f>
        <v>5014652.0600000005</v>
      </c>
      <c r="W99" s="219" t="s">
        <v>302</v>
      </c>
      <c r="X99" s="228">
        <f>W89+X89</f>
        <v>5173624.2300000004</v>
      </c>
      <c r="Y99" s="219" t="s">
        <v>303</v>
      </c>
      <c r="Z99" s="228">
        <f>Y89+Z89</f>
        <v>5093172.8900000006</v>
      </c>
      <c r="AA99" s="219" t="s">
        <v>304</v>
      </c>
      <c r="AB99" s="228">
        <f>AA89+AB89</f>
        <v>4741309.4800000004</v>
      </c>
      <c r="AC99" s="219" t="s">
        <v>305</v>
      </c>
      <c r="AD99" s="228">
        <f>AC89+AD89</f>
        <v>5967200.8900000006</v>
      </c>
      <c r="AE99" s="45">
        <f>SUM(S99:AD99)</f>
        <v>29772720.330000002</v>
      </c>
    </row>
    <row r="101" spans="2:31" x14ac:dyDescent="0.15">
      <c r="T101" s="107" t="s">
        <v>373</v>
      </c>
    </row>
    <row r="102" spans="2:31" x14ac:dyDescent="0.15">
      <c r="R102" s="232" t="s">
        <v>374</v>
      </c>
      <c r="S102" s="45">
        <f t="shared" ref="S102:AE102" si="47">S81-S89</f>
        <v>336326.07150755869</v>
      </c>
      <c r="T102" s="45">
        <f t="shared" si="47"/>
        <v>449195.6457489531</v>
      </c>
      <c r="U102" s="45">
        <f t="shared" si="47"/>
        <v>-1160775.0008956464</v>
      </c>
      <c r="V102" s="45">
        <f t="shared" si="47"/>
        <v>544667.05557845999</v>
      </c>
      <c r="W102" s="45">
        <f t="shared" si="47"/>
        <v>-625876.12251102272</v>
      </c>
      <c r="X102" s="45">
        <f t="shared" si="47"/>
        <v>-318739.29628863675</v>
      </c>
      <c r="Y102" s="45">
        <f t="shared" si="47"/>
        <v>-417041.30096487282</v>
      </c>
      <c r="Z102" s="45">
        <f t="shared" si="47"/>
        <v>-262017.02654189593</v>
      </c>
      <c r="AA102" s="45">
        <f t="shared" si="47"/>
        <v>-405028.24627423566</v>
      </c>
      <c r="AB102" s="45">
        <f t="shared" si="47"/>
        <v>-88962.886761240661</v>
      </c>
      <c r="AC102" s="45">
        <f t="shared" si="47"/>
        <v>-231217.93338551559</v>
      </c>
      <c r="AD102" s="45">
        <f t="shared" si="47"/>
        <v>-377406.57921191026</v>
      </c>
      <c r="AE102" s="45">
        <f t="shared" si="47"/>
        <v>-2556875.6200000048</v>
      </c>
    </row>
    <row r="105" spans="2:31" x14ac:dyDescent="0.15">
      <c r="B105" s="351" t="s">
        <v>99</v>
      </c>
      <c r="E105" s="353" t="s">
        <v>100</v>
      </c>
      <c r="F105" s="353"/>
      <c r="H105" s="351"/>
      <c r="I105" s="354" t="s">
        <v>101</v>
      </c>
    </row>
    <row r="106" spans="2:31" x14ac:dyDescent="0.15">
      <c r="B106" s="351" t="s">
        <v>102</v>
      </c>
      <c r="E106" s="353" t="s">
        <v>103</v>
      </c>
      <c r="F106" s="353"/>
      <c r="H106" s="351"/>
      <c r="I106" s="354" t="s">
        <v>104</v>
      </c>
      <c r="J106" s="355"/>
      <c r="T106" s="107" t="s">
        <v>375</v>
      </c>
    </row>
    <row r="108" spans="2:31" x14ac:dyDescent="0.15">
      <c r="S108" s="107" t="s">
        <v>376</v>
      </c>
    </row>
    <row r="109" spans="2:31" x14ac:dyDescent="0.15">
      <c r="S109" s="95" t="s">
        <v>377</v>
      </c>
      <c r="T109" s="95" t="s">
        <v>378</v>
      </c>
      <c r="U109" s="95" t="s">
        <v>379</v>
      </c>
      <c r="V109" s="95" t="s">
        <v>380</v>
      </c>
      <c r="W109" s="95" t="s">
        <v>381</v>
      </c>
      <c r="X109" s="95" t="s">
        <v>382</v>
      </c>
      <c r="Y109" s="95" t="s">
        <v>383</v>
      </c>
      <c r="Z109" s="95" t="s">
        <v>384</v>
      </c>
      <c r="AA109" s="95" t="s">
        <v>385</v>
      </c>
      <c r="AB109" s="95" t="s">
        <v>386</v>
      </c>
      <c r="AC109" s="95" t="s">
        <v>387</v>
      </c>
      <c r="AD109" s="95" t="s">
        <v>388</v>
      </c>
      <c r="AE109" s="95" t="s">
        <v>389</v>
      </c>
    </row>
    <row r="110" spans="2:31" x14ac:dyDescent="0.15">
      <c r="Q110" s="208" t="s">
        <v>355</v>
      </c>
      <c r="R110" s="95" t="s">
        <v>282</v>
      </c>
      <c r="S110" s="97">
        <f t="shared" ref="S110:AE110" si="48">S12</f>
        <v>3235033.4480858669</v>
      </c>
      <c r="T110" s="97">
        <f t="shared" si="48"/>
        <v>3305306.2756388159</v>
      </c>
      <c r="U110" s="97">
        <f t="shared" si="48"/>
        <v>3091163.14369372</v>
      </c>
      <c r="V110" s="97">
        <f t="shared" si="48"/>
        <v>3206164.7507812968</v>
      </c>
      <c r="W110" s="97">
        <f t="shared" si="48"/>
        <v>3171707.0113880965</v>
      </c>
      <c r="X110" s="97">
        <f t="shared" si="48"/>
        <v>2882899.7990458081</v>
      </c>
      <c r="Y110" s="97">
        <f t="shared" si="48"/>
        <v>3373210.2507932005</v>
      </c>
      <c r="Z110" s="97">
        <f t="shared" si="48"/>
        <v>2946409.6141087362</v>
      </c>
      <c r="AA110" s="97">
        <f t="shared" si="48"/>
        <v>2915425.2108000335</v>
      </c>
      <c r="AB110" s="97">
        <f t="shared" si="48"/>
        <v>3165395.0801166045</v>
      </c>
      <c r="AC110" s="97">
        <f t="shared" si="48"/>
        <v>2954832.2907445543</v>
      </c>
      <c r="AD110" s="97">
        <f t="shared" si="48"/>
        <v>4716959.0148032596</v>
      </c>
      <c r="AE110" s="97">
        <f t="shared" si="48"/>
        <v>38964505.889999993</v>
      </c>
    </row>
    <row r="111" spans="2:31" x14ac:dyDescent="0.15">
      <c r="R111" s="232" t="s">
        <v>356</v>
      </c>
      <c r="S111" s="97">
        <f t="shared" ref="S111:AE111" si="49">(S110/S79)*100</f>
        <v>27.753809610108217</v>
      </c>
      <c r="T111" s="97">
        <f t="shared" si="49"/>
        <v>27.771492281689497</v>
      </c>
      <c r="U111" s="97">
        <f t="shared" si="49"/>
        <v>27.715178262715234</v>
      </c>
      <c r="V111" s="97">
        <f t="shared" si="49"/>
        <v>27.746327573914598</v>
      </c>
      <c r="W111" s="97">
        <f t="shared" si="49"/>
        <v>27.737224134542039</v>
      </c>
      <c r="X111" s="97">
        <f t="shared" si="49"/>
        <v>27.652654517793213</v>
      </c>
      <c r="Y111" s="97">
        <f t="shared" si="49"/>
        <v>27.787899090741629</v>
      </c>
      <c r="Z111" s="97">
        <f t="shared" si="49"/>
        <v>27.672627113475045</v>
      </c>
      <c r="AA111" s="97">
        <f t="shared" si="49"/>
        <v>27.662988230525581</v>
      </c>
      <c r="AB111" s="97">
        <f t="shared" si="49"/>
        <v>27.735535755526858</v>
      </c>
      <c r="AC111" s="97">
        <f t="shared" si="49"/>
        <v>27.67521350729325</v>
      </c>
      <c r="AD111" s="97">
        <f t="shared" si="49"/>
        <v>28.017421745581096</v>
      </c>
      <c r="AE111" s="96">
        <f t="shared" si="49"/>
        <v>27.756883951285754</v>
      </c>
    </row>
    <row r="113" spans="12:31" x14ac:dyDescent="0.15">
      <c r="T113" s="107" t="s">
        <v>390</v>
      </c>
    </row>
    <row r="114" spans="12:31" x14ac:dyDescent="0.15">
      <c r="S114" s="95" t="s">
        <v>377</v>
      </c>
      <c r="T114" s="95" t="s">
        <v>378</v>
      </c>
      <c r="U114" s="95" t="s">
        <v>379</v>
      </c>
      <c r="V114" s="95" t="s">
        <v>380</v>
      </c>
      <c r="W114" s="95" t="s">
        <v>381</v>
      </c>
      <c r="X114" s="95" t="s">
        <v>382</v>
      </c>
      <c r="Y114" s="95" t="s">
        <v>383</v>
      </c>
      <c r="Z114" s="95" t="s">
        <v>384</v>
      </c>
      <c r="AA114" s="95" t="s">
        <v>385</v>
      </c>
      <c r="AB114" s="95" t="s">
        <v>386</v>
      </c>
      <c r="AC114" s="95" t="s">
        <v>387</v>
      </c>
      <c r="AD114" s="95" t="s">
        <v>388</v>
      </c>
      <c r="AE114" s="95" t="s">
        <v>389</v>
      </c>
    </row>
    <row r="115" spans="12:31" x14ac:dyDescent="0.15">
      <c r="L115" s="60"/>
      <c r="Q115" s="95" t="s">
        <v>130</v>
      </c>
      <c r="R115" s="95" t="s">
        <v>268</v>
      </c>
      <c r="S115" s="179">
        <f>S12</f>
        <v>3235033.4480858669</v>
      </c>
      <c r="T115" s="179">
        <f t="shared" ref="T115:AD115" si="50">T12</f>
        <v>3305306.2756388159</v>
      </c>
      <c r="U115" s="179">
        <f t="shared" si="50"/>
        <v>3091163.14369372</v>
      </c>
      <c r="V115" s="179">
        <f t="shared" si="50"/>
        <v>3206164.7507812968</v>
      </c>
      <c r="W115" s="179">
        <f t="shared" si="50"/>
        <v>3171707.0113880965</v>
      </c>
      <c r="X115" s="179">
        <f t="shared" si="50"/>
        <v>2882899.7990458081</v>
      </c>
      <c r="Y115" s="179">
        <f t="shared" si="50"/>
        <v>3373210.2507932005</v>
      </c>
      <c r="Z115" s="179">
        <f t="shared" si="50"/>
        <v>2946409.6141087362</v>
      </c>
      <c r="AA115" s="179">
        <f t="shared" si="50"/>
        <v>2915425.2108000335</v>
      </c>
      <c r="AB115" s="179">
        <f t="shared" si="50"/>
        <v>3165395.0801166045</v>
      </c>
      <c r="AC115" s="179">
        <f t="shared" si="50"/>
        <v>2954832.2907445543</v>
      </c>
      <c r="AD115" s="179">
        <f t="shared" si="50"/>
        <v>4716959.0148032596</v>
      </c>
      <c r="AE115" s="179">
        <f>SUM(S115:AD115)</f>
        <v>38964505.889999993</v>
      </c>
    </row>
    <row r="116" spans="12:31" x14ac:dyDescent="0.15">
      <c r="L116" s="60"/>
    </row>
    <row r="117" spans="12:31" x14ac:dyDescent="0.15">
      <c r="L117" s="60"/>
    </row>
    <row r="118" spans="12:31" x14ac:dyDescent="0.15">
      <c r="L118" s="61"/>
      <c r="R118" s="208" t="s">
        <v>371</v>
      </c>
      <c r="S118" s="95" t="s">
        <v>377</v>
      </c>
      <c r="T118" s="95" t="s">
        <v>378</v>
      </c>
      <c r="U118" s="95" t="s">
        <v>379</v>
      </c>
      <c r="V118" s="95" t="s">
        <v>380</v>
      </c>
      <c r="W118" s="95" t="s">
        <v>381</v>
      </c>
      <c r="X118" s="95" t="s">
        <v>382</v>
      </c>
      <c r="Y118" s="95" t="s">
        <v>383</v>
      </c>
      <c r="Z118" s="95" t="s">
        <v>384</v>
      </c>
      <c r="AA118" s="95" t="s">
        <v>385</v>
      </c>
      <c r="AB118" s="95" t="s">
        <v>386</v>
      </c>
      <c r="AC118" s="95" t="s">
        <v>387</v>
      </c>
      <c r="AD118" s="95" t="s">
        <v>388</v>
      </c>
      <c r="AE118" s="95" t="s">
        <v>389</v>
      </c>
    </row>
    <row r="119" spans="12:31" x14ac:dyDescent="0.15">
      <c r="L119" s="60"/>
      <c r="Q119" s="95">
        <v>9</v>
      </c>
      <c r="R119" s="95" t="s">
        <v>142</v>
      </c>
      <c r="S119" s="97">
        <f t="shared" ref="S119:AD119" si="51">S32</f>
        <v>2501144.19</v>
      </c>
      <c r="T119" s="97">
        <f t="shared" si="51"/>
        <v>2645212.89</v>
      </c>
      <c r="U119" s="97">
        <f t="shared" si="51"/>
        <v>2707776.74</v>
      </c>
      <c r="V119" s="97">
        <f t="shared" si="51"/>
        <v>2760789.37</v>
      </c>
      <c r="W119" s="97">
        <f t="shared" si="51"/>
        <v>2538135.12</v>
      </c>
      <c r="X119" s="97">
        <f t="shared" si="51"/>
        <v>2596091.34</v>
      </c>
      <c r="Y119" s="97">
        <f t="shared" si="51"/>
        <v>2486286.67</v>
      </c>
      <c r="Z119" s="97">
        <f t="shared" si="51"/>
        <v>2904138.86</v>
      </c>
      <c r="AA119" s="97">
        <f t="shared" si="51"/>
        <v>2749841.94</v>
      </c>
      <c r="AB119" s="97">
        <f t="shared" si="51"/>
        <v>3292207.92</v>
      </c>
      <c r="AC119" s="97">
        <f t="shared" si="51"/>
        <v>3093413.87</v>
      </c>
      <c r="AD119" s="97">
        <f t="shared" si="51"/>
        <v>6370992.7699999996</v>
      </c>
      <c r="AE119" s="179">
        <f>SUM(S119:AD119)</f>
        <v>36646031.68</v>
      </c>
    </row>
    <row r="120" spans="12:31" x14ac:dyDescent="0.15">
      <c r="Q120" s="208" t="s">
        <v>368</v>
      </c>
      <c r="R120" s="232" t="s">
        <v>356</v>
      </c>
      <c r="S120" s="97">
        <f t="shared" ref="S120:AE120" si="52">(S119/S87)*100</f>
        <v>26.321655387701771</v>
      </c>
      <c r="T120" s="97">
        <f t="shared" si="52"/>
        <v>26.800439525876961</v>
      </c>
      <c r="U120" s="97">
        <f t="shared" si="52"/>
        <v>23.147785517574807</v>
      </c>
      <c r="V120" s="97">
        <f t="shared" si="52"/>
        <v>28.184696213745138</v>
      </c>
      <c r="W120" s="97">
        <f t="shared" si="52"/>
        <v>22.775126514117574</v>
      </c>
      <c r="X120" s="97">
        <f t="shared" si="52"/>
        <v>24.696404937924935</v>
      </c>
      <c r="Y120" s="97">
        <f t="shared" si="52"/>
        <v>22.039404418365908</v>
      </c>
      <c r="Z120" s="97">
        <f t="shared" si="52"/>
        <v>25.831394053802413</v>
      </c>
      <c r="AA120" s="97">
        <f t="shared" si="52"/>
        <v>25.138859983251894</v>
      </c>
      <c r="AB120" s="97">
        <f t="shared" si="52"/>
        <v>29.028239460804205</v>
      </c>
      <c r="AC120" s="97">
        <f t="shared" si="52"/>
        <v>27.12132643098699</v>
      </c>
      <c r="AD120" s="97">
        <f t="shared" si="52"/>
        <v>31.087447035909687</v>
      </c>
      <c r="AE120" s="96">
        <f t="shared" si="52"/>
        <v>26.321419356225761</v>
      </c>
    </row>
    <row r="121" spans="12:31" x14ac:dyDescent="0.15">
      <c r="L121" s="60"/>
      <c r="R121" s="253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</row>
    <row r="122" spans="12:31" ht="12.75" customHeight="1" x14ac:dyDescent="0.15">
      <c r="L122" s="60"/>
      <c r="Q122" s="695" t="s">
        <v>391</v>
      </c>
      <c r="R122" s="696"/>
      <c r="S122" s="219">
        <f t="shared" ref="S122:AE122" si="53">S119/$AE$119</f>
        <v>6.8251433384123511E-2</v>
      </c>
      <c r="T122" s="219">
        <f t="shared" si="53"/>
        <v>7.2182792207857421E-2</v>
      </c>
      <c r="U122" s="219">
        <f t="shared" si="53"/>
        <v>7.3890039817812003E-2</v>
      </c>
      <c r="V122" s="219">
        <f t="shared" si="53"/>
        <v>7.5336652931693365E-2</v>
      </c>
      <c r="W122" s="219">
        <f t="shared" si="53"/>
        <v>6.9260844998538199E-2</v>
      </c>
      <c r="X122" s="219">
        <f t="shared" si="53"/>
        <v>7.0842359212848885E-2</v>
      </c>
      <c r="Y122" s="219">
        <f t="shared" si="53"/>
        <v>6.7846000126581776E-2</v>
      </c>
      <c r="Z122" s="219">
        <f t="shared" si="53"/>
        <v>7.92483858923521E-2</v>
      </c>
      <c r="AA122" s="219">
        <f t="shared" si="53"/>
        <v>7.5037918539506102E-2</v>
      </c>
      <c r="AB122" s="219">
        <f t="shared" si="53"/>
        <v>8.983804709738219E-2</v>
      </c>
      <c r="AC122" s="219">
        <f t="shared" si="53"/>
        <v>8.4413338312106165E-2</v>
      </c>
      <c r="AD122" s="219">
        <f t="shared" si="53"/>
        <v>0.17385218747919828</v>
      </c>
      <c r="AE122" s="219">
        <f t="shared" si="53"/>
        <v>1</v>
      </c>
    </row>
    <row r="123" spans="12:31" x14ac:dyDescent="0.15">
      <c r="L123" s="60"/>
    </row>
    <row r="124" spans="12:31" x14ac:dyDescent="0.15">
      <c r="L124" s="61"/>
    </row>
    <row r="125" spans="12:31" x14ac:dyDescent="0.15">
      <c r="S125" s="107" t="s">
        <v>392</v>
      </c>
      <c r="AE125" s="87" t="s">
        <v>393</v>
      </c>
    </row>
    <row r="126" spans="12:31" x14ac:dyDescent="0.15">
      <c r="Q126" s="225" t="s">
        <v>299</v>
      </c>
      <c r="R126" s="226"/>
      <c r="S126" s="219" t="s">
        <v>300</v>
      </c>
      <c r="T126" s="227">
        <f>S119+T119</f>
        <v>5146357.08</v>
      </c>
      <c r="U126" s="219" t="s">
        <v>301</v>
      </c>
      <c r="V126" s="228">
        <f>U119+V119</f>
        <v>5468566.1100000003</v>
      </c>
      <c r="W126" s="219" t="s">
        <v>302</v>
      </c>
      <c r="X126" s="228">
        <f>W119+X119</f>
        <v>5134226.46</v>
      </c>
      <c r="Y126" s="219" t="s">
        <v>303</v>
      </c>
      <c r="Z126" s="228">
        <f>Y119+Z119</f>
        <v>5390425.5299999993</v>
      </c>
      <c r="AA126" s="219" t="s">
        <v>304</v>
      </c>
      <c r="AB126" s="228">
        <f>AA119+AB119</f>
        <v>6042049.8599999994</v>
      </c>
      <c r="AC126" s="219" t="s">
        <v>305</v>
      </c>
      <c r="AD126" s="228">
        <f>AC119+AD119</f>
        <v>9464406.6400000006</v>
      </c>
      <c r="AE126" s="45">
        <f>SUM(S126:AD126)</f>
        <v>36646031.68</v>
      </c>
    </row>
    <row r="130" spans="18:28" x14ac:dyDescent="0.15">
      <c r="S130" s="351" t="s">
        <v>99</v>
      </c>
      <c r="T130" s="352"/>
      <c r="U130" s="352"/>
      <c r="V130" s="353" t="s">
        <v>100</v>
      </c>
      <c r="W130" s="353"/>
      <c r="Y130" s="351"/>
      <c r="Z130" s="354" t="s">
        <v>101</v>
      </c>
      <c r="AA130" s="357"/>
    </row>
    <row r="131" spans="18:28" x14ac:dyDescent="0.15">
      <c r="R131" s="355"/>
      <c r="S131" s="351" t="s">
        <v>102</v>
      </c>
      <c r="T131" s="352"/>
      <c r="U131" s="352"/>
      <c r="V131" s="353" t="s">
        <v>103</v>
      </c>
      <c r="W131" s="353"/>
      <c r="Y131" s="351"/>
      <c r="Z131" s="354" t="s">
        <v>104</v>
      </c>
      <c r="AA131" s="357"/>
      <c r="AB131" s="355"/>
    </row>
    <row r="132" spans="18:28" x14ac:dyDescent="0.15"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</row>
    <row r="133" spans="18:28" x14ac:dyDescent="0.15">
      <c r="R133" s="357"/>
      <c r="AB133" s="357"/>
    </row>
  </sheetData>
  <mergeCells count="9">
    <mergeCell ref="A35:B35"/>
    <mergeCell ref="Q122:R122"/>
    <mergeCell ref="B3:K3"/>
    <mergeCell ref="L3:M3"/>
    <mergeCell ref="N3:O3"/>
    <mergeCell ref="A18:B18"/>
    <mergeCell ref="B20:K20"/>
    <mergeCell ref="L20:M20"/>
    <mergeCell ref="N20:O20"/>
  </mergeCells>
  <pageMargins left="0.23622047244094491" right="0.23622047244094491" top="0.74803149606299213" bottom="0.19685039370078741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4"/>
  <sheetViews>
    <sheetView topLeftCell="A16" workbookViewId="0">
      <selection activeCell="H63" sqref="H63"/>
    </sheetView>
  </sheetViews>
  <sheetFormatPr defaultRowHeight="12.75" x14ac:dyDescent="0.2"/>
  <cols>
    <col min="1" max="1" width="2.7109375" style="64" bestFit="1" customWidth="1"/>
    <col min="2" max="3" width="9.140625" style="64"/>
    <col min="4" max="4" width="10" style="64" customWidth="1"/>
    <col min="5" max="5" width="13" style="64" customWidth="1"/>
    <col min="6" max="6" width="13.85546875" style="64" customWidth="1"/>
    <col min="7" max="7" width="13.28515625" style="64" bestFit="1" customWidth="1"/>
    <col min="8" max="8" width="14.28515625" style="64" customWidth="1"/>
    <col min="9" max="9" width="14.7109375" style="64" customWidth="1"/>
    <col min="10" max="10" width="13.42578125" style="64" customWidth="1"/>
    <col min="11" max="11" width="12.85546875" style="64" bestFit="1" customWidth="1"/>
    <col min="12" max="12" width="9.28515625" style="64" bestFit="1" customWidth="1"/>
    <col min="13" max="13" width="11.85546875" style="64" bestFit="1" customWidth="1"/>
    <col min="14" max="14" width="2.7109375" style="64" bestFit="1" customWidth="1"/>
    <col min="15" max="15" width="40.7109375" style="64" bestFit="1" customWidth="1"/>
    <col min="16" max="16" width="12.5703125" style="64" customWidth="1"/>
    <col min="17" max="17" width="7" style="64" bestFit="1" customWidth="1"/>
    <col min="18" max="18" width="11.7109375" style="64" bestFit="1" customWidth="1"/>
    <col min="19" max="19" width="12.85546875" style="64" bestFit="1" customWidth="1"/>
    <col min="20" max="20" width="11.5703125" style="64" bestFit="1" customWidth="1"/>
    <col min="21" max="21" width="12.5703125" style="64" bestFit="1" customWidth="1"/>
    <col min="22" max="256" width="9.140625" style="64"/>
    <col min="257" max="257" width="2.7109375" style="64" bestFit="1" customWidth="1"/>
    <col min="258" max="259" width="9.140625" style="64"/>
    <col min="260" max="260" width="10" style="64" customWidth="1"/>
    <col min="261" max="261" width="13" style="64" customWidth="1"/>
    <col min="262" max="262" width="13.85546875" style="64" customWidth="1"/>
    <col min="263" max="263" width="13.28515625" style="64" bestFit="1" customWidth="1"/>
    <col min="264" max="264" width="15.140625" style="64" customWidth="1"/>
    <col min="265" max="265" width="14.7109375" style="64" customWidth="1"/>
    <col min="266" max="266" width="13.42578125" style="64" customWidth="1"/>
    <col min="267" max="267" width="12.85546875" style="64" bestFit="1" customWidth="1"/>
    <col min="268" max="268" width="9.28515625" style="64" bestFit="1" customWidth="1"/>
    <col min="269" max="269" width="11.85546875" style="64" bestFit="1" customWidth="1"/>
    <col min="270" max="270" width="2.7109375" style="64" bestFit="1" customWidth="1"/>
    <col min="271" max="271" width="40.7109375" style="64" bestFit="1" customWidth="1"/>
    <col min="272" max="272" width="12.5703125" style="64" customWidth="1"/>
    <col min="273" max="273" width="7" style="64" bestFit="1" customWidth="1"/>
    <col min="274" max="274" width="11.7109375" style="64" bestFit="1" customWidth="1"/>
    <col min="275" max="275" width="12.85546875" style="64" bestFit="1" customWidth="1"/>
    <col min="276" max="276" width="11.5703125" style="64" bestFit="1" customWidth="1"/>
    <col min="277" max="277" width="12.5703125" style="64" bestFit="1" customWidth="1"/>
    <col min="278" max="512" width="9.140625" style="64"/>
    <col min="513" max="513" width="2.7109375" style="64" bestFit="1" customWidth="1"/>
    <col min="514" max="515" width="9.140625" style="64"/>
    <col min="516" max="516" width="10" style="64" customWidth="1"/>
    <col min="517" max="517" width="13" style="64" customWidth="1"/>
    <col min="518" max="518" width="13.85546875" style="64" customWidth="1"/>
    <col min="519" max="519" width="13.28515625" style="64" bestFit="1" customWidth="1"/>
    <col min="520" max="520" width="15.140625" style="64" customWidth="1"/>
    <col min="521" max="521" width="14.7109375" style="64" customWidth="1"/>
    <col min="522" max="522" width="13.42578125" style="64" customWidth="1"/>
    <col min="523" max="523" width="12.85546875" style="64" bestFit="1" customWidth="1"/>
    <col min="524" max="524" width="9.28515625" style="64" bestFit="1" customWidth="1"/>
    <col min="525" max="525" width="11.85546875" style="64" bestFit="1" customWidth="1"/>
    <col min="526" max="526" width="2.7109375" style="64" bestFit="1" customWidth="1"/>
    <col min="527" max="527" width="40.7109375" style="64" bestFit="1" customWidth="1"/>
    <col min="528" max="528" width="12.5703125" style="64" customWidth="1"/>
    <col min="529" max="529" width="7" style="64" bestFit="1" customWidth="1"/>
    <col min="530" max="530" width="11.7109375" style="64" bestFit="1" customWidth="1"/>
    <col min="531" max="531" width="12.85546875" style="64" bestFit="1" customWidth="1"/>
    <col min="532" max="532" width="11.5703125" style="64" bestFit="1" customWidth="1"/>
    <col min="533" max="533" width="12.5703125" style="64" bestFit="1" customWidth="1"/>
    <col min="534" max="768" width="9.140625" style="64"/>
    <col min="769" max="769" width="2.7109375" style="64" bestFit="1" customWidth="1"/>
    <col min="770" max="771" width="9.140625" style="64"/>
    <col min="772" max="772" width="10" style="64" customWidth="1"/>
    <col min="773" max="773" width="13" style="64" customWidth="1"/>
    <col min="774" max="774" width="13.85546875" style="64" customWidth="1"/>
    <col min="775" max="775" width="13.28515625" style="64" bestFit="1" customWidth="1"/>
    <col min="776" max="776" width="15.140625" style="64" customWidth="1"/>
    <col min="777" max="777" width="14.7109375" style="64" customWidth="1"/>
    <col min="778" max="778" width="13.42578125" style="64" customWidth="1"/>
    <col min="779" max="779" width="12.85546875" style="64" bestFit="1" customWidth="1"/>
    <col min="780" max="780" width="9.28515625" style="64" bestFit="1" customWidth="1"/>
    <col min="781" max="781" width="11.85546875" style="64" bestFit="1" customWidth="1"/>
    <col min="782" max="782" width="2.7109375" style="64" bestFit="1" customWidth="1"/>
    <col min="783" max="783" width="40.7109375" style="64" bestFit="1" customWidth="1"/>
    <col min="784" max="784" width="12.5703125" style="64" customWidth="1"/>
    <col min="785" max="785" width="7" style="64" bestFit="1" customWidth="1"/>
    <col min="786" max="786" width="11.7109375" style="64" bestFit="1" customWidth="1"/>
    <col min="787" max="787" width="12.85546875" style="64" bestFit="1" customWidth="1"/>
    <col min="788" max="788" width="11.5703125" style="64" bestFit="1" customWidth="1"/>
    <col min="789" max="789" width="12.5703125" style="64" bestFit="1" customWidth="1"/>
    <col min="790" max="1024" width="9.140625" style="64"/>
    <col min="1025" max="1025" width="2.7109375" style="64" bestFit="1" customWidth="1"/>
    <col min="1026" max="1027" width="9.140625" style="64"/>
    <col min="1028" max="1028" width="10" style="64" customWidth="1"/>
    <col min="1029" max="1029" width="13" style="64" customWidth="1"/>
    <col min="1030" max="1030" width="13.85546875" style="64" customWidth="1"/>
    <col min="1031" max="1031" width="13.28515625" style="64" bestFit="1" customWidth="1"/>
    <col min="1032" max="1032" width="15.140625" style="64" customWidth="1"/>
    <col min="1033" max="1033" width="14.7109375" style="64" customWidth="1"/>
    <col min="1034" max="1034" width="13.42578125" style="64" customWidth="1"/>
    <col min="1035" max="1035" width="12.85546875" style="64" bestFit="1" customWidth="1"/>
    <col min="1036" max="1036" width="9.28515625" style="64" bestFit="1" customWidth="1"/>
    <col min="1037" max="1037" width="11.85546875" style="64" bestFit="1" customWidth="1"/>
    <col min="1038" max="1038" width="2.7109375" style="64" bestFit="1" customWidth="1"/>
    <col min="1039" max="1039" width="40.7109375" style="64" bestFit="1" customWidth="1"/>
    <col min="1040" max="1040" width="12.5703125" style="64" customWidth="1"/>
    <col min="1041" max="1041" width="7" style="64" bestFit="1" customWidth="1"/>
    <col min="1042" max="1042" width="11.7109375" style="64" bestFit="1" customWidth="1"/>
    <col min="1043" max="1043" width="12.85546875" style="64" bestFit="1" customWidth="1"/>
    <col min="1044" max="1044" width="11.5703125" style="64" bestFit="1" customWidth="1"/>
    <col min="1045" max="1045" width="12.5703125" style="64" bestFit="1" customWidth="1"/>
    <col min="1046" max="1280" width="9.140625" style="64"/>
    <col min="1281" max="1281" width="2.7109375" style="64" bestFit="1" customWidth="1"/>
    <col min="1282" max="1283" width="9.140625" style="64"/>
    <col min="1284" max="1284" width="10" style="64" customWidth="1"/>
    <col min="1285" max="1285" width="13" style="64" customWidth="1"/>
    <col min="1286" max="1286" width="13.85546875" style="64" customWidth="1"/>
    <col min="1287" max="1287" width="13.28515625" style="64" bestFit="1" customWidth="1"/>
    <col min="1288" max="1288" width="15.140625" style="64" customWidth="1"/>
    <col min="1289" max="1289" width="14.7109375" style="64" customWidth="1"/>
    <col min="1290" max="1290" width="13.42578125" style="64" customWidth="1"/>
    <col min="1291" max="1291" width="12.85546875" style="64" bestFit="1" customWidth="1"/>
    <col min="1292" max="1292" width="9.28515625" style="64" bestFit="1" customWidth="1"/>
    <col min="1293" max="1293" width="11.85546875" style="64" bestFit="1" customWidth="1"/>
    <col min="1294" max="1294" width="2.7109375" style="64" bestFit="1" customWidth="1"/>
    <col min="1295" max="1295" width="40.7109375" style="64" bestFit="1" customWidth="1"/>
    <col min="1296" max="1296" width="12.5703125" style="64" customWidth="1"/>
    <col min="1297" max="1297" width="7" style="64" bestFit="1" customWidth="1"/>
    <col min="1298" max="1298" width="11.7109375" style="64" bestFit="1" customWidth="1"/>
    <col min="1299" max="1299" width="12.85546875" style="64" bestFit="1" customWidth="1"/>
    <col min="1300" max="1300" width="11.5703125" style="64" bestFit="1" customWidth="1"/>
    <col min="1301" max="1301" width="12.5703125" style="64" bestFit="1" customWidth="1"/>
    <col min="1302" max="1536" width="9.140625" style="64"/>
    <col min="1537" max="1537" width="2.7109375" style="64" bestFit="1" customWidth="1"/>
    <col min="1538" max="1539" width="9.140625" style="64"/>
    <col min="1540" max="1540" width="10" style="64" customWidth="1"/>
    <col min="1541" max="1541" width="13" style="64" customWidth="1"/>
    <col min="1542" max="1542" width="13.85546875" style="64" customWidth="1"/>
    <col min="1543" max="1543" width="13.28515625" style="64" bestFit="1" customWidth="1"/>
    <col min="1544" max="1544" width="15.140625" style="64" customWidth="1"/>
    <col min="1545" max="1545" width="14.7109375" style="64" customWidth="1"/>
    <col min="1546" max="1546" width="13.42578125" style="64" customWidth="1"/>
    <col min="1547" max="1547" width="12.85546875" style="64" bestFit="1" customWidth="1"/>
    <col min="1548" max="1548" width="9.28515625" style="64" bestFit="1" customWidth="1"/>
    <col min="1549" max="1549" width="11.85546875" style="64" bestFit="1" customWidth="1"/>
    <col min="1550" max="1550" width="2.7109375" style="64" bestFit="1" customWidth="1"/>
    <col min="1551" max="1551" width="40.7109375" style="64" bestFit="1" customWidth="1"/>
    <col min="1552" max="1552" width="12.5703125" style="64" customWidth="1"/>
    <col min="1553" max="1553" width="7" style="64" bestFit="1" customWidth="1"/>
    <col min="1554" max="1554" width="11.7109375" style="64" bestFit="1" customWidth="1"/>
    <col min="1555" max="1555" width="12.85546875" style="64" bestFit="1" customWidth="1"/>
    <col min="1556" max="1556" width="11.5703125" style="64" bestFit="1" customWidth="1"/>
    <col min="1557" max="1557" width="12.5703125" style="64" bestFit="1" customWidth="1"/>
    <col min="1558" max="1792" width="9.140625" style="64"/>
    <col min="1793" max="1793" width="2.7109375" style="64" bestFit="1" customWidth="1"/>
    <col min="1794" max="1795" width="9.140625" style="64"/>
    <col min="1796" max="1796" width="10" style="64" customWidth="1"/>
    <col min="1797" max="1797" width="13" style="64" customWidth="1"/>
    <col min="1798" max="1798" width="13.85546875" style="64" customWidth="1"/>
    <col min="1799" max="1799" width="13.28515625" style="64" bestFit="1" customWidth="1"/>
    <col min="1800" max="1800" width="15.140625" style="64" customWidth="1"/>
    <col min="1801" max="1801" width="14.7109375" style="64" customWidth="1"/>
    <col min="1802" max="1802" width="13.42578125" style="64" customWidth="1"/>
    <col min="1803" max="1803" width="12.85546875" style="64" bestFit="1" customWidth="1"/>
    <col min="1804" max="1804" width="9.28515625" style="64" bestFit="1" customWidth="1"/>
    <col min="1805" max="1805" width="11.85546875" style="64" bestFit="1" customWidth="1"/>
    <col min="1806" max="1806" width="2.7109375" style="64" bestFit="1" customWidth="1"/>
    <col min="1807" max="1807" width="40.7109375" style="64" bestFit="1" customWidth="1"/>
    <col min="1808" max="1808" width="12.5703125" style="64" customWidth="1"/>
    <col min="1809" max="1809" width="7" style="64" bestFit="1" customWidth="1"/>
    <col min="1810" max="1810" width="11.7109375" style="64" bestFit="1" customWidth="1"/>
    <col min="1811" max="1811" width="12.85546875" style="64" bestFit="1" customWidth="1"/>
    <col min="1812" max="1812" width="11.5703125" style="64" bestFit="1" customWidth="1"/>
    <col min="1813" max="1813" width="12.5703125" style="64" bestFit="1" customWidth="1"/>
    <col min="1814" max="2048" width="9.140625" style="64"/>
    <col min="2049" max="2049" width="2.7109375" style="64" bestFit="1" customWidth="1"/>
    <col min="2050" max="2051" width="9.140625" style="64"/>
    <col min="2052" max="2052" width="10" style="64" customWidth="1"/>
    <col min="2053" max="2053" width="13" style="64" customWidth="1"/>
    <col min="2054" max="2054" width="13.85546875" style="64" customWidth="1"/>
    <col min="2055" max="2055" width="13.28515625" style="64" bestFit="1" customWidth="1"/>
    <col min="2056" max="2056" width="15.140625" style="64" customWidth="1"/>
    <col min="2057" max="2057" width="14.7109375" style="64" customWidth="1"/>
    <col min="2058" max="2058" width="13.42578125" style="64" customWidth="1"/>
    <col min="2059" max="2059" width="12.85546875" style="64" bestFit="1" customWidth="1"/>
    <col min="2060" max="2060" width="9.28515625" style="64" bestFit="1" customWidth="1"/>
    <col min="2061" max="2061" width="11.85546875" style="64" bestFit="1" customWidth="1"/>
    <col min="2062" max="2062" width="2.7109375" style="64" bestFit="1" customWidth="1"/>
    <col min="2063" max="2063" width="40.7109375" style="64" bestFit="1" customWidth="1"/>
    <col min="2064" max="2064" width="12.5703125" style="64" customWidth="1"/>
    <col min="2065" max="2065" width="7" style="64" bestFit="1" customWidth="1"/>
    <col min="2066" max="2066" width="11.7109375" style="64" bestFit="1" customWidth="1"/>
    <col min="2067" max="2067" width="12.85546875" style="64" bestFit="1" customWidth="1"/>
    <col min="2068" max="2068" width="11.5703125" style="64" bestFit="1" customWidth="1"/>
    <col min="2069" max="2069" width="12.5703125" style="64" bestFit="1" customWidth="1"/>
    <col min="2070" max="2304" width="9.140625" style="64"/>
    <col min="2305" max="2305" width="2.7109375" style="64" bestFit="1" customWidth="1"/>
    <col min="2306" max="2307" width="9.140625" style="64"/>
    <col min="2308" max="2308" width="10" style="64" customWidth="1"/>
    <col min="2309" max="2309" width="13" style="64" customWidth="1"/>
    <col min="2310" max="2310" width="13.85546875" style="64" customWidth="1"/>
    <col min="2311" max="2311" width="13.28515625" style="64" bestFit="1" customWidth="1"/>
    <col min="2312" max="2312" width="15.140625" style="64" customWidth="1"/>
    <col min="2313" max="2313" width="14.7109375" style="64" customWidth="1"/>
    <col min="2314" max="2314" width="13.42578125" style="64" customWidth="1"/>
    <col min="2315" max="2315" width="12.85546875" style="64" bestFit="1" customWidth="1"/>
    <col min="2316" max="2316" width="9.28515625" style="64" bestFit="1" customWidth="1"/>
    <col min="2317" max="2317" width="11.85546875" style="64" bestFit="1" customWidth="1"/>
    <col min="2318" max="2318" width="2.7109375" style="64" bestFit="1" customWidth="1"/>
    <col min="2319" max="2319" width="40.7109375" style="64" bestFit="1" customWidth="1"/>
    <col min="2320" max="2320" width="12.5703125" style="64" customWidth="1"/>
    <col min="2321" max="2321" width="7" style="64" bestFit="1" customWidth="1"/>
    <col min="2322" max="2322" width="11.7109375" style="64" bestFit="1" customWidth="1"/>
    <col min="2323" max="2323" width="12.85546875" style="64" bestFit="1" customWidth="1"/>
    <col min="2324" max="2324" width="11.5703125" style="64" bestFit="1" customWidth="1"/>
    <col min="2325" max="2325" width="12.5703125" style="64" bestFit="1" customWidth="1"/>
    <col min="2326" max="2560" width="9.140625" style="64"/>
    <col min="2561" max="2561" width="2.7109375" style="64" bestFit="1" customWidth="1"/>
    <col min="2562" max="2563" width="9.140625" style="64"/>
    <col min="2564" max="2564" width="10" style="64" customWidth="1"/>
    <col min="2565" max="2565" width="13" style="64" customWidth="1"/>
    <col min="2566" max="2566" width="13.85546875" style="64" customWidth="1"/>
    <col min="2567" max="2567" width="13.28515625" style="64" bestFit="1" customWidth="1"/>
    <col min="2568" max="2568" width="15.140625" style="64" customWidth="1"/>
    <col min="2569" max="2569" width="14.7109375" style="64" customWidth="1"/>
    <col min="2570" max="2570" width="13.42578125" style="64" customWidth="1"/>
    <col min="2571" max="2571" width="12.85546875" style="64" bestFit="1" customWidth="1"/>
    <col min="2572" max="2572" width="9.28515625" style="64" bestFit="1" customWidth="1"/>
    <col min="2573" max="2573" width="11.85546875" style="64" bestFit="1" customWidth="1"/>
    <col min="2574" max="2574" width="2.7109375" style="64" bestFit="1" customWidth="1"/>
    <col min="2575" max="2575" width="40.7109375" style="64" bestFit="1" customWidth="1"/>
    <col min="2576" max="2576" width="12.5703125" style="64" customWidth="1"/>
    <col min="2577" max="2577" width="7" style="64" bestFit="1" customWidth="1"/>
    <col min="2578" max="2578" width="11.7109375" style="64" bestFit="1" customWidth="1"/>
    <col min="2579" max="2579" width="12.85546875" style="64" bestFit="1" customWidth="1"/>
    <col min="2580" max="2580" width="11.5703125" style="64" bestFit="1" customWidth="1"/>
    <col min="2581" max="2581" width="12.5703125" style="64" bestFit="1" customWidth="1"/>
    <col min="2582" max="2816" width="9.140625" style="64"/>
    <col min="2817" max="2817" width="2.7109375" style="64" bestFit="1" customWidth="1"/>
    <col min="2818" max="2819" width="9.140625" style="64"/>
    <col min="2820" max="2820" width="10" style="64" customWidth="1"/>
    <col min="2821" max="2821" width="13" style="64" customWidth="1"/>
    <col min="2822" max="2822" width="13.85546875" style="64" customWidth="1"/>
    <col min="2823" max="2823" width="13.28515625" style="64" bestFit="1" customWidth="1"/>
    <col min="2824" max="2824" width="15.140625" style="64" customWidth="1"/>
    <col min="2825" max="2825" width="14.7109375" style="64" customWidth="1"/>
    <col min="2826" max="2826" width="13.42578125" style="64" customWidth="1"/>
    <col min="2827" max="2827" width="12.85546875" style="64" bestFit="1" customWidth="1"/>
    <col min="2828" max="2828" width="9.28515625" style="64" bestFit="1" customWidth="1"/>
    <col min="2829" max="2829" width="11.85546875" style="64" bestFit="1" customWidth="1"/>
    <col min="2830" max="2830" width="2.7109375" style="64" bestFit="1" customWidth="1"/>
    <col min="2831" max="2831" width="40.7109375" style="64" bestFit="1" customWidth="1"/>
    <col min="2832" max="2832" width="12.5703125" style="64" customWidth="1"/>
    <col min="2833" max="2833" width="7" style="64" bestFit="1" customWidth="1"/>
    <col min="2834" max="2834" width="11.7109375" style="64" bestFit="1" customWidth="1"/>
    <col min="2835" max="2835" width="12.85546875" style="64" bestFit="1" customWidth="1"/>
    <col min="2836" max="2836" width="11.5703125" style="64" bestFit="1" customWidth="1"/>
    <col min="2837" max="2837" width="12.5703125" style="64" bestFit="1" customWidth="1"/>
    <col min="2838" max="3072" width="9.140625" style="64"/>
    <col min="3073" max="3073" width="2.7109375" style="64" bestFit="1" customWidth="1"/>
    <col min="3074" max="3075" width="9.140625" style="64"/>
    <col min="3076" max="3076" width="10" style="64" customWidth="1"/>
    <col min="3077" max="3077" width="13" style="64" customWidth="1"/>
    <col min="3078" max="3078" width="13.85546875" style="64" customWidth="1"/>
    <col min="3079" max="3079" width="13.28515625" style="64" bestFit="1" customWidth="1"/>
    <col min="3080" max="3080" width="15.140625" style="64" customWidth="1"/>
    <col min="3081" max="3081" width="14.7109375" style="64" customWidth="1"/>
    <col min="3082" max="3082" width="13.42578125" style="64" customWidth="1"/>
    <col min="3083" max="3083" width="12.85546875" style="64" bestFit="1" customWidth="1"/>
    <col min="3084" max="3084" width="9.28515625" style="64" bestFit="1" customWidth="1"/>
    <col min="3085" max="3085" width="11.85546875" style="64" bestFit="1" customWidth="1"/>
    <col min="3086" max="3086" width="2.7109375" style="64" bestFit="1" customWidth="1"/>
    <col min="3087" max="3087" width="40.7109375" style="64" bestFit="1" customWidth="1"/>
    <col min="3088" max="3088" width="12.5703125" style="64" customWidth="1"/>
    <col min="3089" max="3089" width="7" style="64" bestFit="1" customWidth="1"/>
    <col min="3090" max="3090" width="11.7109375" style="64" bestFit="1" customWidth="1"/>
    <col min="3091" max="3091" width="12.85546875" style="64" bestFit="1" customWidth="1"/>
    <col min="3092" max="3092" width="11.5703125" style="64" bestFit="1" customWidth="1"/>
    <col min="3093" max="3093" width="12.5703125" style="64" bestFit="1" customWidth="1"/>
    <col min="3094" max="3328" width="9.140625" style="64"/>
    <col min="3329" max="3329" width="2.7109375" style="64" bestFit="1" customWidth="1"/>
    <col min="3330" max="3331" width="9.140625" style="64"/>
    <col min="3332" max="3332" width="10" style="64" customWidth="1"/>
    <col min="3333" max="3333" width="13" style="64" customWidth="1"/>
    <col min="3334" max="3334" width="13.85546875" style="64" customWidth="1"/>
    <col min="3335" max="3335" width="13.28515625" style="64" bestFit="1" customWidth="1"/>
    <col min="3336" max="3336" width="15.140625" style="64" customWidth="1"/>
    <col min="3337" max="3337" width="14.7109375" style="64" customWidth="1"/>
    <col min="3338" max="3338" width="13.42578125" style="64" customWidth="1"/>
    <col min="3339" max="3339" width="12.85546875" style="64" bestFit="1" customWidth="1"/>
    <col min="3340" max="3340" width="9.28515625" style="64" bestFit="1" customWidth="1"/>
    <col min="3341" max="3341" width="11.85546875" style="64" bestFit="1" customWidth="1"/>
    <col min="3342" max="3342" width="2.7109375" style="64" bestFit="1" customWidth="1"/>
    <col min="3343" max="3343" width="40.7109375" style="64" bestFit="1" customWidth="1"/>
    <col min="3344" max="3344" width="12.5703125" style="64" customWidth="1"/>
    <col min="3345" max="3345" width="7" style="64" bestFit="1" customWidth="1"/>
    <col min="3346" max="3346" width="11.7109375" style="64" bestFit="1" customWidth="1"/>
    <col min="3347" max="3347" width="12.85546875" style="64" bestFit="1" customWidth="1"/>
    <col min="3348" max="3348" width="11.5703125" style="64" bestFit="1" customWidth="1"/>
    <col min="3349" max="3349" width="12.5703125" style="64" bestFit="1" customWidth="1"/>
    <col min="3350" max="3584" width="9.140625" style="64"/>
    <col min="3585" max="3585" width="2.7109375" style="64" bestFit="1" customWidth="1"/>
    <col min="3586" max="3587" width="9.140625" style="64"/>
    <col min="3588" max="3588" width="10" style="64" customWidth="1"/>
    <col min="3589" max="3589" width="13" style="64" customWidth="1"/>
    <col min="3590" max="3590" width="13.85546875" style="64" customWidth="1"/>
    <col min="3591" max="3591" width="13.28515625" style="64" bestFit="1" customWidth="1"/>
    <col min="3592" max="3592" width="15.140625" style="64" customWidth="1"/>
    <col min="3593" max="3593" width="14.7109375" style="64" customWidth="1"/>
    <col min="3594" max="3594" width="13.42578125" style="64" customWidth="1"/>
    <col min="3595" max="3595" width="12.85546875" style="64" bestFit="1" customWidth="1"/>
    <col min="3596" max="3596" width="9.28515625" style="64" bestFit="1" customWidth="1"/>
    <col min="3597" max="3597" width="11.85546875" style="64" bestFit="1" customWidth="1"/>
    <col min="3598" max="3598" width="2.7109375" style="64" bestFit="1" customWidth="1"/>
    <col min="3599" max="3599" width="40.7109375" style="64" bestFit="1" customWidth="1"/>
    <col min="3600" max="3600" width="12.5703125" style="64" customWidth="1"/>
    <col min="3601" max="3601" width="7" style="64" bestFit="1" customWidth="1"/>
    <col min="3602" max="3602" width="11.7109375" style="64" bestFit="1" customWidth="1"/>
    <col min="3603" max="3603" width="12.85546875" style="64" bestFit="1" customWidth="1"/>
    <col min="3604" max="3604" width="11.5703125" style="64" bestFit="1" customWidth="1"/>
    <col min="3605" max="3605" width="12.5703125" style="64" bestFit="1" customWidth="1"/>
    <col min="3606" max="3840" width="9.140625" style="64"/>
    <col min="3841" max="3841" width="2.7109375" style="64" bestFit="1" customWidth="1"/>
    <col min="3842" max="3843" width="9.140625" style="64"/>
    <col min="3844" max="3844" width="10" style="64" customWidth="1"/>
    <col min="3845" max="3845" width="13" style="64" customWidth="1"/>
    <col min="3846" max="3846" width="13.85546875" style="64" customWidth="1"/>
    <col min="3847" max="3847" width="13.28515625" style="64" bestFit="1" customWidth="1"/>
    <col min="3848" max="3848" width="15.140625" style="64" customWidth="1"/>
    <col min="3849" max="3849" width="14.7109375" style="64" customWidth="1"/>
    <col min="3850" max="3850" width="13.42578125" style="64" customWidth="1"/>
    <col min="3851" max="3851" width="12.85546875" style="64" bestFit="1" customWidth="1"/>
    <col min="3852" max="3852" width="9.28515625" style="64" bestFit="1" customWidth="1"/>
    <col min="3853" max="3853" width="11.85546875" style="64" bestFit="1" customWidth="1"/>
    <col min="3854" max="3854" width="2.7109375" style="64" bestFit="1" customWidth="1"/>
    <col min="3855" max="3855" width="40.7109375" style="64" bestFit="1" customWidth="1"/>
    <col min="3856" max="3856" width="12.5703125" style="64" customWidth="1"/>
    <col min="3857" max="3857" width="7" style="64" bestFit="1" customWidth="1"/>
    <col min="3858" max="3858" width="11.7109375" style="64" bestFit="1" customWidth="1"/>
    <col min="3859" max="3859" width="12.85546875" style="64" bestFit="1" customWidth="1"/>
    <col min="3860" max="3860" width="11.5703125" style="64" bestFit="1" customWidth="1"/>
    <col min="3861" max="3861" width="12.5703125" style="64" bestFit="1" customWidth="1"/>
    <col min="3862" max="4096" width="9.140625" style="64"/>
    <col min="4097" max="4097" width="2.7109375" style="64" bestFit="1" customWidth="1"/>
    <col min="4098" max="4099" width="9.140625" style="64"/>
    <col min="4100" max="4100" width="10" style="64" customWidth="1"/>
    <col min="4101" max="4101" width="13" style="64" customWidth="1"/>
    <col min="4102" max="4102" width="13.85546875" style="64" customWidth="1"/>
    <col min="4103" max="4103" width="13.28515625" style="64" bestFit="1" customWidth="1"/>
    <col min="4104" max="4104" width="15.140625" style="64" customWidth="1"/>
    <col min="4105" max="4105" width="14.7109375" style="64" customWidth="1"/>
    <col min="4106" max="4106" width="13.42578125" style="64" customWidth="1"/>
    <col min="4107" max="4107" width="12.85546875" style="64" bestFit="1" customWidth="1"/>
    <col min="4108" max="4108" width="9.28515625" style="64" bestFit="1" customWidth="1"/>
    <col min="4109" max="4109" width="11.85546875" style="64" bestFit="1" customWidth="1"/>
    <col min="4110" max="4110" width="2.7109375" style="64" bestFit="1" customWidth="1"/>
    <col min="4111" max="4111" width="40.7109375" style="64" bestFit="1" customWidth="1"/>
    <col min="4112" max="4112" width="12.5703125" style="64" customWidth="1"/>
    <col min="4113" max="4113" width="7" style="64" bestFit="1" customWidth="1"/>
    <col min="4114" max="4114" width="11.7109375" style="64" bestFit="1" customWidth="1"/>
    <col min="4115" max="4115" width="12.85546875" style="64" bestFit="1" customWidth="1"/>
    <col min="4116" max="4116" width="11.5703125" style="64" bestFit="1" customWidth="1"/>
    <col min="4117" max="4117" width="12.5703125" style="64" bestFit="1" customWidth="1"/>
    <col min="4118" max="4352" width="9.140625" style="64"/>
    <col min="4353" max="4353" width="2.7109375" style="64" bestFit="1" customWidth="1"/>
    <col min="4354" max="4355" width="9.140625" style="64"/>
    <col min="4356" max="4356" width="10" style="64" customWidth="1"/>
    <col min="4357" max="4357" width="13" style="64" customWidth="1"/>
    <col min="4358" max="4358" width="13.85546875" style="64" customWidth="1"/>
    <col min="4359" max="4359" width="13.28515625" style="64" bestFit="1" customWidth="1"/>
    <col min="4360" max="4360" width="15.140625" style="64" customWidth="1"/>
    <col min="4361" max="4361" width="14.7109375" style="64" customWidth="1"/>
    <col min="4362" max="4362" width="13.42578125" style="64" customWidth="1"/>
    <col min="4363" max="4363" width="12.85546875" style="64" bestFit="1" customWidth="1"/>
    <col min="4364" max="4364" width="9.28515625" style="64" bestFit="1" customWidth="1"/>
    <col min="4365" max="4365" width="11.85546875" style="64" bestFit="1" customWidth="1"/>
    <col min="4366" max="4366" width="2.7109375" style="64" bestFit="1" customWidth="1"/>
    <col min="4367" max="4367" width="40.7109375" style="64" bestFit="1" customWidth="1"/>
    <col min="4368" max="4368" width="12.5703125" style="64" customWidth="1"/>
    <col min="4369" max="4369" width="7" style="64" bestFit="1" customWidth="1"/>
    <col min="4370" max="4370" width="11.7109375" style="64" bestFit="1" customWidth="1"/>
    <col min="4371" max="4371" width="12.85546875" style="64" bestFit="1" customWidth="1"/>
    <col min="4372" max="4372" width="11.5703125" style="64" bestFit="1" customWidth="1"/>
    <col min="4373" max="4373" width="12.5703125" style="64" bestFit="1" customWidth="1"/>
    <col min="4374" max="4608" width="9.140625" style="64"/>
    <col min="4609" max="4609" width="2.7109375" style="64" bestFit="1" customWidth="1"/>
    <col min="4610" max="4611" width="9.140625" style="64"/>
    <col min="4612" max="4612" width="10" style="64" customWidth="1"/>
    <col min="4613" max="4613" width="13" style="64" customWidth="1"/>
    <col min="4614" max="4614" width="13.85546875" style="64" customWidth="1"/>
    <col min="4615" max="4615" width="13.28515625" style="64" bestFit="1" customWidth="1"/>
    <col min="4616" max="4616" width="15.140625" style="64" customWidth="1"/>
    <col min="4617" max="4617" width="14.7109375" style="64" customWidth="1"/>
    <col min="4618" max="4618" width="13.42578125" style="64" customWidth="1"/>
    <col min="4619" max="4619" width="12.85546875" style="64" bestFit="1" customWidth="1"/>
    <col min="4620" max="4620" width="9.28515625" style="64" bestFit="1" customWidth="1"/>
    <col min="4621" max="4621" width="11.85546875" style="64" bestFit="1" customWidth="1"/>
    <col min="4622" max="4622" width="2.7109375" style="64" bestFit="1" customWidth="1"/>
    <col min="4623" max="4623" width="40.7109375" style="64" bestFit="1" customWidth="1"/>
    <col min="4624" max="4624" width="12.5703125" style="64" customWidth="1"/>
    <col min="4625" max="4625" width="7" style="64" bestFit="1" customWidth="1"/>
    <col min="4626" max="4626" width="11.7109375" style="64" bestFit="1" customWidth="1"/>
    <col min="4627" max="4627" width="12.85546875" style="64" bestFit="1" customWidth="1"/>
    <col min="4628" max="4628" width="11.5703125" style="64" bestFit="1" customWidth="1"/>
    <col min="4629" max="4629" width="12.5703125" style="64" bestFit="1" customWidth="1"/>
    <col min="4630" max="4864" width="9.140625" style="64"/>
    <col min="4865" max="4865" width="2.7109375" style="64" bestFit="1" customWidth="1"/>
    <col min="4866" max="4867" width="9.140625" style="64"/>
    <col min="4868" max="4868" width="10" style="64" customWidth="1"/>
    <col min="4869" max="4869" width="13" style="64" customWidth="1"/>
    <col min="4870" max="4870" width="13.85546875" style="64" customWidth="1"/>
    <col min="4871" max="4871" width="13.28515625" style="64" bestFit="1" customWidth="1"/>
    <col min="4872" max="4872" width="15.140625" style="64" customWidth="1"/>
    <col min="4873" max="4873" width="14.7109375" style="64" customWidth="1"/>
    <col min="4874" max="4874" width="13.42578125" style="64" customWidth="1"/>
    <col min="4875" max="4875" width="12.85546875" style="64" bestFit="1" customWidth="1"/>
    <col min="4876" max="4876" width="9.28515625" style="64" bestFit="1" customWidth="1"/>
    <col min="4877" max="4877" width="11.85546875" style="64" bestFit="1" customWidth="1"/>
    <col min="4878" max="4878" width="2.7109375" style="64" bestFit="1" customWidth="1"/>
    <col min="4879" max="4879" width="40.7109375" style="64" bestFit="1" customWidth="1"/>
    <col min="4880" max="4880" width="12.5703125" style="64" customWidth="1"/>
    <col min="4881" max="4881" width="7" style="64" bestFit="1" customWidth="1"/>
    <col min="4882" max="4882" width="11.7109375" style="64" bestFit="1" customWidth="1"/>
    <col min="4883" max="4883" width="12.85546875" style="64" bestFit="1" customWidth="1"/>
    <col min="4884" max="4884" width="11.5703125" style="64" bestFit="1" customWidth="1"/>
    <col min="4885" max="4885" width="12.5703125" style="64" bestFit="1" customWidth="1"/>
    <col min="4886" max="5120" width="9.140625" style="64"/>
    <col min="5121" max="5121" width="2.7109375" style="64" bestFit="1" customWidth="1"/>
    <col min="5122" max="5123" width="9.140625" style="64"/>
    <col min="5124" max="5124" width="10" style="64" customWidth="1"/>
    <col min="5125" max="5125" width="13" style="64" customWidth="1"/>
    <col min="5126" max="5126" width="13.85546875" style="64" customWidth="1"/>
    <col min="5127" max="5127" width="13.28515625" style="64" bestFit="1" customWidth="1"/>
    <col min="5128" max="5128" width="15.140625" style="64" customWidth="1"/>
    <col min="5129" max="5129" width="14.7109375" style="64" customWidth="1"/>
    <col min="5130" max="5130" width="13.42578125" style="64" customWidth="1"/>
    <col min="5131" max="5131" width="12.85546875" style="64" bestFit="1" customWidth="1"/>
    <col min="5132" max="5132" width="9.28515625" style="64" bestFit="1" customWidth="1"/>
    <col min="5133" max="5133" width="11.85546875" style="64" bestFit="1" customWidth="1"/>
    <col min="5134" max="5134" width="2.7109375" style="64" bestFit="1" customWidth="1"/>
    <col min="5135" max="5135" width="40.7109375" style="64" bestFit="1" customWidth="1"/>
    <col min="5136" max="5136" width="12.5703125" style="64" customWidth="1"/>
    <col min="5137" max="5137" width="7" style="64" bestFit="1" customWidth="1"/>
    <col min="5138" max="5138" width="11.7109375" style="64" bestFit="1" customWidth="1"/>
    <col min="5139" max="5139" width="12.85546875" style="64" bestFit="1" customWidth="1"/>
    <col min="5140" max="5140" width="11.5703125" style="64" bestFit="1" customWidth="1"/>
    <col min="5141" max="5141" width="12.5703125" style="64" bestFit="1" customWidth="1"/>
    <col min="5142" max="5376" width="9.140625" style="64"/>
    <col min="5377" max="5377" width="2.7109375" style="64" bestFit="1" customWidth="1"/>
    <col min="5378" max="5379" width="9.140625" style="64"/>
    <col min="5380" max="5380" width="10" style="64" customWidth="1"/>
    <col min="5381" max="5381" width="13" style="64" customWidth="1"/>
    <col min="5382" max="5382" width="13.85546875" style="64" customWidth="1"/>
    <col min="5383" max="5383" width="13.28515625" style="64" bestFit="1" customWidth="1"/>
    <col min="5384" max="5384" width="15.140625" style="64" customWidth="1"/>
    <col min="5385" max="5385" width="14.7109375" style="64" customWidth="1"/>
    <col min="5386" max="5386" width="13.42578125" style="64" customWidth="1"/>
    <col min="5387" max="5387" width="12.85546875" style="64" bestFit="1" customWidth="1"/>
    <col min="5388" max="5388" width="9.28515625" style="64" bestFit="1" customWidth="1"/>
    <col min="5389" max="5389" width="11.85546875" style="64" bestFit="1" customWidth="1"/>
    <col min="5390" max="5390" width="2.7109375" style="64" bestFit="1" customWidth="1"/>
    <col min="5391" max="5391" width="40.7109375" style="64" bestFit="1" customWidth="1"/>
    <col min="5392" max="5392" width="12.5703125" style="64" customWidth="1"/>
    <col min="5393" max="5393" width="7" style="64" bestFit="1" customWidth="1"/>
    <col min="5394" max="5394" width="11.7109375" style="64" bestFit="1" customWidth="1"/>
    <col min="5395" max="5395" width="12.85546875" style="64" bestFit="1" customWidth="1"/>
    <col min="5396" max="5396" width="11.5703125" style="64" bestFit="1" customWidth="1"/>
    <col min="5397" max="5397" width="12.5703125" style="64" bestFit="1" customWidth="1"/>
    <col min="5398" max="5632" width="9.140625" style="64"/>
    <col min="5633" max="5633" width="2.7109375" style="64" bestFit="1" customWidth="1"/>
    <col min="5634" max="5635" width="9.140625" style="64"/>
    <col min="5636" max="5636" width="10" style="64" customWidth="1"/>
    <col min="5637" max="5637" width="13" style="64" customWidth="1"/>
    <col min="5638" max="5638" width="13.85546875" style="64" customWidth="1"/>
    <col min="5639" max="5639" width="13.28515625" style="64" bestFit="1" customWidth="1"/>
    <col min="5640" max="5640" width="15.140625" style="64" customWidth="1"/>
    <col min="5641" max="5641" width="14.7109375" style="64" customWidth="1"/>
    <col min="5642" max="5642" width="13.42578125" style="64" customWidth="1"/>
    <col min="5643" max="5643" width="12.85546875" style="64" bestFit="1" customWidth="1"/>
    <col min="5644" max="5644" width="9.28515625" style="64" bestFit="1" customWidth="1"/>
    <col min="5645" max="5645" width="11.85546875" style="64" bestFit="1" customWidth="1"/>
    <col min="5646" max="5646" width="2.7109375" style="64" bestFit="1" customWidth="1"/>
    <col min="5647" max="5647" width="40.7109375" style="64" bestFit="1" customWidth="1"/>
    <col min="5648" max="5648" width="12.5703125" style="64" customWidth="1"/>
    <col min="5649" max="5649" width="7" style="64" bestFit="1" customWidth="1"/>
    <col min="5650" max="5650" width="11.7109375" style="64" bestFit="1" customWidth="1"/>
    <col min="5651" max="5651" width="12.85546875" style="64" bestFit="1" customWidth="1"/>
    <col min="5652" max="5652" width="11.5703125" style="64" bestFit="1" customWidth="1"/>
    <col min="5653" max="5653" width="12.5703125" style="64" bestFit="1" customWidth="1"/>
    <col min="5654" max="5888" width="9.140625" style="64"/>
    <col min="5889" max="5889" width="2.7109375" style="64" bestFit="1" customWidth="1"/>
    <col min="5890" max="5891" width="9.140625" style="64"/>
    <col min="5892" max="5892" width="10" style="64" customWidth="1"/>
    <col min="5893" max="5893" width="13" style="64" customWidth="1"/>
    <col min="5894" max="5894" width="13.85546875" style="64" customWidth="1"/>
    <col min="5895" max="5895" width="13.28515625" style="64" bestFit="1" customWidth="1"/>
    <col min="5896" max="5896" width="15.140625" style="64" customWidth="1"/>
    <col min="5897" max="5897" width="14.7109375" style="64" customWidth="1"/>
    <col min="5898" max="5898" width="13.42578125" style="64" customWidth="1"/>
    <col min="5899" max="5899" width="12.85546875" style="64" bestFit="1" customWidth="1"/>
    <col min="5900" max="5900" width="9.28515625" style="64" bestFit="1" customWidth="1"/>
    <col min="5901" max="5901" width="11.85546875" style="64" bestFit="1" customWidth="1"/>
    <col min="5902" max="5902" width="2.7109375" style="64" bestFit="1" customWidth="1"/>
    <col min="5903" max="5903" width="40.7109375" style="64" bestFit="1" customWidth="1"/>
    <col min="5904" max="5904" width="12.5703125" style="64" customWidth="1"/>
    <col min="5905" max="5905" width="7" style="64" bestFit="1" customWidth="1"/>
    <col min="5906" max="5906" width="11.7109375" style="64" bestFit="1" customWidth="1"/>
    <col min="5907" max="5907" width="12.85546875" style="64" bestFit="1" customWidth="1"/>
    <col min="5908" max="5908" width="11.5703125" style="64" bestFit="1" customWidth="1"/>
    <col min="5909" max="5909" width="12.5703125" style="64" bestFit="1" customWidth="1"/>
    <col min="5910" max="6144" width="9.140625" style="64"/>
    <col min="6145" max="6145" width="2.7109375" style="64" bestFit="1" customWidth="1"/>
    <col min="6146" max="6147" width="9.140625" style="64"/>
    <col min="6148" max="6148" width="10" style="64" customWidth="1"/>
    <col min="6149" max="6149" width="13" style="64" customWidth="1"/>
    <col min="6150" max="6150" width="13.85546875" style="64" customWidth="1"/>
    <col min="6151" max="6151" width="13.28515625" style="64" bestFit="1" customWidth="1"/>
    <col min="6152" max="6152" width="15.140625" style="64" customWidth="1"/>
    <col min="6153" max="6153" width="14.7109375" style="64" customWidth="1"/>
    <col min="6154" max="6154" width="13.42578125" style="64" customWidth="1"/>
    <col min="6155" max="6155" width="12.85546875" style="64" bestFit="1" customWidth="1"/>
    <col min="6156" max="6156" width="9.28515625" style="64" bestFit="1" customWidth="1"/>
    <col min="6157" max="6157" width="11.85546875" style="64" bestFit="1" customWidth="1"/>
    <col min="6158" max="6158" width="2.7109375" style="64" bestFit="1" customWidth="1"/>
    <col min="6159" max="6159" width="40.7109375" style="64" bestFit="1" customWidth="1"/>
    <col min="6160" max="6160" width="12.5703125" style="64" customWidth="1"/>
    <col min="6161" max="6161" width="7" style="64" bestFit="1" customWidth="1"/>
    <col min="6162" max="6162" width="11.7109375" style="64" bestFit="1" customWidth="1"/>
    <col min="6163" max="6163" width="12.85546875" style="64" bestFit="1" customWidth="1"/>
    <col min="6164" max="6164" width="11.5703125" style="64" bestFit="1" customWidth="1"/>
    <col min="6165" max="6165" width="12.5703125" style="64" bestFit="1" customWidth="1"/>
    <col min="6166" max="6400" width="9.140625" style="64"/>
    <col min="6401" max="6401" width="2.7109375" style="64" bestFit="1" customWidth="1"/>
    <col min="6402" max="6403" width="9.140625" style="64"/>
    <col min="6404" max="6404" width="10" style="64" customWidth="1"/>
    <col min="6405" max="6405" width="13" style="64" customWidth="1"/>
    <col min="6406" max="6406" width="13.85546875" style="64" customWidth="1"/>
    <col min="6407" max="6407" width="13.28515625" style="64" bestFit="1" customWidth="1"/>
    <col min="6408" max="6408" width="15.140625" style="64" customWidth="1"/>
    <col min="6409" max="6409" width="14.7109375" style="64" customWidth="1"/>
    <col min="6410" max="6410" width="13.42578125" style="64" customWidth="1"/>
    <col min="6411" max="6411" width="12.85546875" style="64" bestFit="1" customWidth="1"/>
    <col min="6412" max="6412" width="9.28515625" style="64" bestFit="1" customWidth="1"/>
    <col min="6413" max="6413" width="11.85546875" style="64" bestFit="1" customWidth="1"/>
    <col min="6414" max="6414" width="2.7109375" style="64" bestFit="1" customWidth="1"/>
    <col min="6415" max="6415" width="40.7109375" style="64" bestFit="1" customWidth="1"/>
    <col min="6416" max="6416" width="12.5703125" style="64" customWidth="1"/>
    <col min="6417" max="6417" width="7" style="64" bestFit="1" customWidth="1"/>
    <col min="6418" max="6418" width="11.7109375" style="64" bestFit="1" customWidth="1"/>
    <col min="6419" max="6419" width="12.85546875" style="64" bestFit="1" customWidth="1"/>
    <col min="6420" max="6420" width="11.5703125" style="64" bestFit="1" customWidth="1"/>
    <col min="6421" max="6421" width="12.5703125" style="64" bestFit="1" customWidth="1"/>
    <col min="6422" max="6656" width="9.140625" style="64"/>
    <col min="6657" max="6657" width="2.7109375" style="64" bestFit="1" customWidth="1"/>
    <col min="6658" max="6659" width="9.140625" style="64"/>
    <col min="6660" max="6660" width="10" style="64" customWidth="1"/>
    <col min="6661" max="6661" width="13" style="64" customWidth="1"/>
    <col min="6662" max="6662" width="13.85546875" style="64" customWidth="1"/>
    <col min="6663" max="6663" width="13.28515625" style="64" bestFit="1" customWidth="1"/>
    <col min="6664" max="6664" width="15.140625" style="64" customWidth="1"/>
    <col min="6665" max="6665" width="14.7109375" style="64" customWidth="1"/>
    <col min="6666" max="6666" width="13.42578125" style="64" customWidth="1"/>
    <col min="6667" max="6667" width="12.85546875" style="64" bestFit="1" customWidth="1"/>
    <col min="6668" max="6668" width="9.28515625" style="64" bestFit="1" customWidth="1"/>
    <col min="6669" max="6669" width="11.85546875" style="64" bestFit="1" customWidth="1"/>
    <col min="6670" max="6670" width="2.7109375" style="64" bestFit="1" customWidth="1"/>
    <col min="6671" max="6671" width="40.7109375" style="64" bestFit="1" customWidth="1"/>
    <col min="6672" max="6672" width="12.5703125" style="64" customWidth="1"/>
    <col min="6673" max="6673" width="7" style="64" bestFit="1" customWidth="1"/>
    <col min="6674" max="6674" width="11.7109375" style="64" bestFit="1" customWidth="1"/>
    <col min="6675" max="6675" width="12.85546875" style="64" bestFit="1" customWidth="1"/>
    <col min="6676" max="6676" width="11.5703125" style="64" bestFit="1" customWidth="1"/>
    <col min="6677" max="6677" width="12.5703125" style="64" bestFit="1" customWidth="1"/>
    <col min="6678" max="6912" width="9.140625" style="64"/>
    <col min="6913" max="6913" width="2.7109375" style="64" bestFit="1" customWidth="1"/>
    <col min="6914" max="6915" width="9.140625" style="64"/>
    <col min="6916" max="6916" width="10" style="64" customWidth="1"/>
    <col min="6917" max="6917" width="13" style="64" customWidth="1"/>
    <col min="6918" max="6918" width="13.85546875" style="64" customWidth="1"/>
    <col min="6919" max="6919" width="13.28515625" style="64" bestFit="1" customWidth="1"/>
    <col min="6920" max="6920" width="15.140625" style="64" customWidth="1"/>
    <col min="6921" max="6921" width="14.7109375" style="64" customWidth="1"/>
    <col min="6922" max="6922" width="13.42578125" style="64" customWidth="1"/>
    <col min="6923" max="6923" width="12.85546875" style="64" bestFit="1" customWidth="1"/>
    <col min="6924" max="6924" width="9.28515625" style="64" bestFit="1" customWidth="1"/>
    <col min="6925" max="6925" width="11.85546875" style="64" bestFit="1" customWidth="1"/>
    <col min="6926" max="6926" width="2.7109375" style="64" bestFit="1" customWidth="1"/>
    <col min="6927" max="6927" width="40.7109375" style="64" bestFit="1" customWidth="1"/>
    <col min="6928" max="6928" width="12.5703125" style="64" customWidth="1"/>
    <col min="6929" max="6929" width="7" style="64" bestFit="1" customWidth="1"/>
    <col min="6930" max="6930" width="11.7109375" style="64" bestFit="1" customWidth="1"/>
    <col min="6931" max="6931" width="12.85546875" style="64" bestFit="1" customWidth="1"/>
    <col min="6932" max="6932" width="11.5703125" style="64" bestFit="1" customWidth="1"/>
    <col min="6933" max="6933" width="12.5703125" style="64" bestFit="1" customWidth="1"/>
    <col min="6934" max="7168" width="9.140625" style="64"/>
    <col min="7169" max="7169" width="2.7109375" style="64" bestFit="1" customWidth="1"/>
    <col min="7170" max="7171" width="9.140625" style="64"/>
    <col min="7172" max="7172" width="10" style="64" customWidth="1"/>
    <col min="7173" max="7173" width="13" style="64" customWidth="1"/>
    <col min="7174" max="7174" width="13.85546875" style="64" customWidth="1"/>
    <col min="7175" max="7175" width="13.28515625" style="64" bestFit="1" customWidth="1"/>
    <col min="7176" max="7176" width="15.140625" style="64" customWidth="1"/>
    <col min="7177" max="7177" width="14.7109375" style="64" customWidth="1"/>
    <col min="7178" max="7178" width="13.42578125" style="64" customWidth="1"/>
    <col min="7179" max="7179" width="12.85546875" style="64" bestFit="1" customWidth="1"/>
    <col min="7180" max="7180" width="9.28515625" style="64" bestFit="1" customWidth="1"/>
    <col min="7181" max="7181" width="11.85546875" style="64" bestFit="1" customWidth="1"/>
    <col min="7182" max="7182" width="2.7109375" style="64" bestFit="1" customWidth="1"/>
    <col min="7183" max="7183" width="40.7109375" style="64" bestFit="1" customWidth="1"/>
    <col min="7184" max="7184" width="12.5703125" style="64" customWidth="1"/>
    <col min="7185" max="7185" width="7" style="64" bestFit="1" customWidth="1"/>
    <col min="7186" max="7186" width="11.7109375" style="64" bestFit="1" customWidth="1"/>
    <col min="7187" max="7187" width="12.85546875" style="64" bestFit="1" customWidth="1"/>
    <col min="7188" max="7188" width="11.5703125" style="64" bestFit="1" customWidth="1"/>
    <col min="7189" max="7189" width="12.5703125" style="64" bestFit="1" customWidth="1"/>
    <col min="7190" max="7424" width="9.140625" style="64"/>
    <col min="7425" max="7425" width="2.7109375" style="64" bestFit="1" customWidth="1"/>
    <col min="7426" max="7427" width="9.140625" style="64"/>
    <col min="7428" max="7428" width="10" style="64" customWidth="1"/>
    <col min="7429" max="7429" width="13" style="64" customWidth="1"/>
    <col min="7430" max="7430" width="13.85546875" style="64" customWidth="1"/>
    <col min="7431" max="7431" width="13.28515625" style="64" bestFit="1" customWidth="1"/>
    <col min="7432" max="7432" width="15.140625" style="64" customWidth="1"/>
    <col min="7433" max="7433" width="14.7109375" style="64" customWidth="1"/>
    <col min="7434" max="7434" width="13.42578125" style="64" customWidth="1"/>
    <col min="7435" max="7435" width="12.85546875" style="64" bestFit="1" customWidth="1"/>
    <col min="7436" max="7436" width="9.28515625" style="64" bestFit="1" customWidth="1"/>
    <col min="7437" max="7437" width="11.85546875" style="64" bestFit="1" customWidth="1"/>
    <col min="7438" max="7438" width="2.7109375" style="64" bestFit="1" customWidth="1"/>
    <col min="7439" max="7439" width="40.7109375" style="64" bestFit="1" customWidth="1"/>
    <col min="7440" max="7440" width="12.5703125" style="64" customWidth="1"/>
    <col min="7441" max="7441" width="7" style="64" bestFit="1" customWidth="1"/>
    <col min="7442" max="7442" width="11.7109375" style="64" bestFit="1" customWidth="1"/>
    <col min="7443" max="7443" width="12.85546875" style="64" bestFit="1" customWidth="1"/>
    <col min="7444" max="7444" width="11.5703125" style="64" bestFit="1" customWidth="1"/>
    <col min="7445" max="7445" width="12.5703125" style="64" bestFit="1" customWidth="1"/>
    <col min="7446" max="7680" width="9.140625" style="64"/>
    <col min="7681" max="7681" width="2.7109375" style="64" bestFit="1" customWidth="1"/>
    <col min="7682" max="7683" width="9.140625" style="64"/>
    <col min="7684" max="7684" width="10" style="64" customWidth="1"/>
    <col min="7685" max="7685" width="13" style="64" customWidth="1"/>
    <col min="7686" max="7686" width="13.85546875" style="64" customWidth="1"/>
    <col min="7687" max="7687" width="13.28515625" style="64" bestFit="1" customWidth="1"/>
    <col min="7688" max="7688" width="15.140625" style="64" customWidth="1"/>
    <col min="7689" max="7689" width="14.7109375" style="64" customWidth="1"/>
    <col min="7690" max="7690" width="13.42578125" style="64" customWidth="1"/>
    <col min="7691" max="7691" width="12.85546875" style="64" bestFit="1" customWidth="1"/>
    <col min="7692" max="7692" width="9.28515625" style="64" bestFit="1" customWidth="1"/>
    <col min="7693" max="7693" width="11.85546875" style="64" bestFit="1" customWidth="1"/>
    <col min="7694" max="7694" width="2.7109375" style="64" bestFit="1" customWidth="1"/>
    <col min="7695" max="7695" width="40.7109375" style="64" bestFit="1" customWidth="1"/>
    <col min="7696" max="7696" width="12.5703125" style="64" customWidth="1"/>
    <col min="7697" max="7697" width="7" style="64" bestFit="1" customWidth="1"/>
    <col min="7698" max="7698" width="11.7109375" style="64" bestFit="1" customWidth="1"/>
    <col min="7699" max="7699" width="12.85546875" style="64" bestFit="1" customWidth="1"/>
    <col min="7700" max="7700" width="11.5703125" style="64" bestFit="1" customWidth="1"/>
    <col min="7701" max="7701" width="12.5703125" style="64" bestFit="1" customWidth="1"/>
    <col min="7702" max="7936" width="9.140625" style="64"/>
    <col min="7937" max="7937" width="2.7109375" style="64" bestFit="1" customWidth="1"/>
    <col min="7938" max="7939" width="9.140625" style="64"/>
    <col min="7940" max="7940" width="10" style="64" customWidth="1"/>
    <col min="7941" max="7941" width="13" style="64" customWidth="1"/>
    <col min="7942" max="7942" width="13.85546875" style="64" customWidth="1"/>
    <col min="7943" max="7943" width="13.28515625" style="64" bestFit="1" customWidth="1"/>
    <col min="7944" max="7944" width="15.140625" style="64" customWidth="1"/>
    <col min="7945" max="7945" width="14.7109375" style="64" customWidth="1"/>
    <col min="7946" max="7946" width="13.42578125" style="64" customWidth="1"/>
    <col min="7947" max="7947" width="12.85546875" style="64" bestFit="1" customWidth="1"/>
    <col min="7948" max="7948" width="9.28515625" style="64" bestFit="1" customWidth="1"/>
    <col min="7949" max="7949" width="11.85546875" style="64" bestFit="1" customWidth="1"/>
    <col min="7950" max="7950" width="2.7109375" style="64" bestFit="1" customWidth="1"/>
    <col min="7951" max="7951" width="40.7109375" style="64" bestFit="1" customWidth="1"/>
    <col min="7952" max="7952" width="12.5703125" style="64" customWidth="1"/>
    <col min="7953" max="7953" width="7" style="64" bestFit="1" customWidth="1"/>
    <col min="7954" max="7954" width="11.7109375" style="64" bestFit="1" customWidth="1"/>
    <col min="7955" max="7955" width="12.85546875" style="64" bestFit="1" customWidth="1"/>
    <col min="7956" max="7956" width="11.5703125" style="64" bestFit="1" customWidth="1"/>
    <col min="7957" max="7957" width="12.5703125" style="64" bestFit="1" customWidth="1"/>
    <col min="7958" max="8192" width="9.140625" style="64"/>
    <col min="8193" max="8193" width="2.7109375" style="64" bestFit="1" customWidth="1"/>
    <col min="8194" max="8195" width="9.140625" style="64"/>
    <col min="8196" max="8196" width="10" style="64" customWidth="1"/>
    <col min="8197" max="8197" width="13" style="64" customWidth="1"/>
    <col min="8198" max="8198" width="13.85546875" style="64" customWidth="1"/>
    <col min="8199" max="8199" width="13.28515625" style="64" bestFit="1" customWidth="1"/>
    <col min="8200" max="8200" width="15.140625" style="64" customWidth="1"/>
    <col min="8201" max="8201" width="14.7109375" style="64" customWidth="1"/>
    <col min="8202" max="8202" width="13.42578125" style="64" customWidth="1"/>
    <col min="8203" max="8203" width="12.85546875" style="64" bestFit="1" customWidth="1"/>
    <col min="8204" max="8204" width="9.28515625" style="64" bestFit="1" customWidth="1"/>
    <col min="8205" max="8205" width="11.85546875" style="64" bestFit="1" customWidth="1"/>
    <col min="8206" max="8206" width="2.7109375" style="64" bestFit="1" customWidth="1"/>
    <col min="8207" max="8207" width="40.7109375" style="64" bestFit="1" customWidth="1"/>
    <col min="8208" max="8208" width="12.5703125" style="64" customWidth="1"/>
    <col min="8209" max="8209" width="7" style="64" bestFit="1" customWidth="1"/>
    <col min="8210" max="8210" width="11.7109375" style="64" bestFit="1" customWidth="1"/>
    <col min="8211" max="8211" width="12.85546875" style="64" bestFit="1" customWidth="1"/>
    <col min="8212" max="8212" width="11.5703125" style="64" bestFit="1" customWidth="1"/>
    <col min="8213" max="8213" width="12.5703125" style="64" bestFit="1" customWidth="1"/>
    <col min="8214" max="8448" width="9.140625" style="64"/>
    <col min="8449" max="8449" width="2.7109375" style="64" bestFit="1" customWidth="1"/>
    <col min="8450" max="8451" width="9.140625" style="64"/>
    <col min="8452" max="8452" width="10" style="64" customWidth="1"/>
    <col min="8453" max="8453" width="13" style="64" customWidth="1"/>
    <col min="8454" max="8454" width="13.85546875" style="64" customWidth="1"/>
    <col min="8455" max="8455" width="13.28515625" style="64" bestFit="1" customWidth="1"/>
    <col min="8456" max="8456" width="15.140625" style="64" customWidth="1"/>
    <col min="8457" max="8457" width="14.7109375" style="64" customWidth="1"/>
    <col min="8458" max="8458" width="13.42578125" style="64" customWidth="1"/>
    <col min="8459" max="8459" width="12.85546875" style="64" bestFit="1" customWidth="1"/>
    <col min="8460" max="8460" width="9.28515625" style="64" bestFit="1" customWidth="1"/>
    <col min="8461" max="8461" width="11.85546875" style="64" bestFit="1" customWidth="1"/>
    <col min="8462" max="8462" width="2.7109375" style="64" bestFit="1" customWidth="1"/>
    <col min="8463" max="8463" width="40.7109375" style="64" bestFit="1" customWidth="1"/>
    <col min="8464" max="8464" width="12.5703125" style="64" customWidth="1"/>
    <col min="8465" max="8465" width="7" style="64" bestFit="1" customWidth="1"/>
    <col min="8466" max="8466" width="11.7109375" style="64" bestFit="1" customWidth="1"/>
    <col min="8467" max="8467" width="12.85546875" style="64" bestFit="1" customWidth="1"/>
    <col min="8468" max="8468" width="11.5703125" style="64" bestFit="1" customWidth="1"/>
    <col min="8469" max="8469" width="12.5703125" style="64" bestFit="1" customWidth="1"/>
    <col min="8470" max="8704" width="9.140625" style="64"/>
    <col min="8705" max="8705" width="2.7109375" style="64" bestFit="1" customWidth="1"/>
    <col min="8706" max="8707" width="9.140625" style="64"/>
    <col min="8708" max="8708" width="10" style="64" customWidth="1"/>
    <col min="8709" max="8709" width="13" style="64" customWidth="1"/>
    <col min="8710" max="8710" width="13.85546875" style="64" customWidth="1"/>
    <col min="8711" max="8711" width="13.28515625" style="64" bestFit="1" customWidth="1"/>
    <col min="8712" max="8712" width="15.140625" style="64" customWidth="1"/>
    <col min="8713" max="8713" width="14.7109375" style="64" customWidth="1"/>
    <col min="8714" max="8714" width="13.42578125" style="64" customWidth="1"/>
    <col min="8715" max="8715" width="12.85546875" style="64" bestFit="1" customWidth="1"/>
    <col min="8716" max="8716" width="9.28515625" style="64" bestFit="1" customWidth="1"/>
    <col min="8717" max="8717" width="11.85546875" style="64" bestFit="1" customWidth="1"/>
    <col min="8718" max="8718" width="2.7109375" style="64" bestFit="1" customWidth="1"/>
    <col min="8719" max="8719" width="40.7109375" style="64" bestFit="1" customWidth="1"/>
    <col min="8720" max="8720" width="12.5703125" style="64" customWidth="1"/>
    <col min="8721" max="8721" width="7" style="64" bestFit="1" customWidth="1"/>
    <col min="8722" max="8722" width="11.7109375" style="64" bestFit="1" customWidth="1"/>
    <col min="8723" max="8723" width="12.85546875" style="64" bestFit="1" customWidth="1"/>
    <col min="8724" max="8724" width="11.5703125" style="64" bestFit="1" customWidth="1"/>
    <col min="8725" max="8725" width="12.5703125" style="64" bestFit="1" customWidth="1"/>
    <col min="8726" max="8960" width="9.140625" style="64"/>
    <col min="8961" max="8961" width="2.7109375" style="64" bestFit="1" customWidth="1"/>
    <col min="8962" max="8963" width="9.140625" style="64"/>
    <col min="8964" max="8964" width="10" style="64" customWidth="1"/>
    <col min="8965" max="8965" width="13" style="64" customWidth="1"/>
    <col min="8966" max="8966" width="13.85546875" style="64" customWidth="1"/>
    <col min="8967" max="8967" width="13.28515625" style="64" bestFit="1" customWidth="1"/>
    <col min="8968" max="8968" width="15.140625" style="64" customWidth="1"/>
    <col min="8969" max="8969" width="14.7109375" style="64" customWidth="1"/>
    <col min="8970" max="8970" width="13.42578125" style="64" customWidth="1"/>
    <col min="8971" max="8971" width="12.85546875" style="64" bestFit="1" customWidth="1"/>
    <col min="8972" max="8972" width="9.28515625" style="64" bestFit="1" customWidth="1"/>
    <col min="8973" max="8973" width="11.85546875" style="64" bestFit="1" customWidth="1"/>
    <col min="8974" max="8974" width="2.7109375" style="64" bestFit="1" customWidth="1"/>
    <col min="8975" max="8975" width="40.7109375" style="64" bestFit="1" customWidth="1"/>
    <col min="8976" max="8976" width="12.5703125" style="64" customWidth="1"/>
    <col min="8977" max="8977" width="7" style="64" bestFit="1" customWidth="1"/>
    <col min="8978" max="8978" width="11.7109375" style="64" bestFit="1" customWidth="1"/>
    <col min="8979" max="8979" width="12.85546875" style="64" bestFit="1" customWidth="1"/>
    <col min="8980" max="8980" width="11.5703125" style="64" bestFit="1" customWidth="1"/>
    <col min="8981" max="8981" width="12.5703125" style="64" bestFit="1" customWidth="1"/>
    <col min="8982" max="9216" width="9.140625" style="64"/>
    <col min="9217" max="9217" width="2.7109375" style="64" bestFit="1" customWidth="1"/>
    <col min="9218" max="9219" width="9.140625" style="64"/>
    <col min="9220" max="9220" width="10" style="64" customWidth="1"/>
    <col min="9221" max="9221" width="13" style="64" customWidth="1"/>
    <col min="9222" max="9222" width="13.85546875" style="64" customWidth="1"/>
    <col min="9223" max="9223" width="13.28515625" style="64" bestFit="1" customWidth="1"/>
    <col min="9224" max="9224" width="15.140625" style="64" customWidth="1"/>
    <col min="9225" max="9225" width="14.7109375" style="64" customWidth="1"/>
    <col min="9226" max="9226" width="13.42578125" style="64" customWidth="1"/>
    <col min="9227" max="9227" width="12.85546875" style="64" bestFit="1" customWidth="1"/>
    <col min="9228" max="9228" width="9.28515625" style="64" bestFit="1" customWidth="1"/>
    <col min="9229" max="9229" width="11.85546875" style="64" bestFit="1" customWidth="1"/>
    <col min="9230" max="9230" width="2.7109375" style="64" bestFit="1" customWidth="1"/>
    <col min="9231" max="9231" width="40.7109375" style="64" bestFit="1" customWidth="1"/>
    <col min="9232" max="9232" width="12.5703125" style="64" customWidth="1"/>
    <col min="9233" max="9233" width="7" style="64" bestFit="1" customWidth="1"/>
    <col min="9234" max="9234" width="11.7109375" style="64" bestFit="1" customWidth="1"/>
    <col min="9235" max="9235" width="12.85546875" style="64" bestFit="1" customWidth="1"/>
    <col min="9236" max="9236" width="11.5703125" style="64" bestFit="1" customWidth="1"/>
    <col min="9237" max="9237" width="12.5703125" style="64" bestFit="1" customWidth="1"/>
    <col min="9238" max="9472" width="9.140625" style="64"/>
    <col min="9473" max="9473" width="2.7109375" style="64" bestFit="1" customWidth="1"/>
    <col min="9474" max="9475" width="9.140625" style="64"/>
    <col min="9476" max="9476" width="10" style="64" customWidth="1"/>
    <col min="9477" max="9477" width="13" style="64" customWidth="1"/>
    <col min="9478" max="9478" width="13.85546875" style="64" customWidth="1"/>
    <col min="9479" max="9479" width="13.28515625" style="64" bestFit="1" customWidth="1"/>
    <col min="9480" max="9480" width="15.140625" style="64" customWidth="1"/>
    <col min="9481" max="9481" width="14.7109375" style="64" customWidth="1"/>
    <col min="9482" max="9482" width="13.42578125" style="64" customWidth="1"/>
    <col min="9483" max="9483" width="12.85546875" style="64" bestFit="1" customWidth="1"/>
    <col min="9484" max="9484" width="9.28515625" style="64" bestFit="1" customWidth="1"/>
    <col min="9485" max="9485" width="11.85546875" style="64" bestFit="1" customWidth="1"/>
    <col min="9486" max="9486" width="2.7109375" style="64" bestFit="1" customWidth="1"/>
    <col min="9487" max="9487" width="40.7109375" style="64" bestFit="1" customWidth="1"/>
    <col min="9488" max="9488" width="12.5703125" style="64" customWidth="1"/>
    <col min="9489" max="9489" width="7" style="64" bestFit="1" customWidth="1"/>
    <col min="9490" max="9490" width="11.7109375" style="64" bestFit="1" customWidth="1"/>
    <col min="9491" max="9491" width="12.85546875" style="64" bestFit="1" customWidth="1"/>
    <col min="9492" max="9492" width="11.5703125" style="64" bestFit="1" customWidth="1"/>
    <col min="9493" max="9493" width="12.5703125" style="64" bestFit="1" customWidth="1"/>
    <col min="9494" max="9728" width="9.140625" style="64"/>
    <col min="9729" max="9729" width="2.7109375" style="64" bestFit="1" customWidth="1"/>
    <col min="9730" max="9731" width="9.140625" style="64"/>
    <col min="9732" max="9732" width="10" style="64" customWidth="1"/>
    <col min="9733" max="9733" width="13" style="64" customWidth="1"/>
    <col min="9734" max="9734" width="13.85546875" style="64" customWidth="1"/>
    <col min="9735" max="9735" width="13.28515625" style="64" bestFit="1" customWidth="1"/>
    <col min="9736" max="9736" width="15.140625" style="64" customWidth="1"/>
    <col min="9737" max="9737" width="14.7109375" style="64" customWidth="1"/>
    <col min="9738" max="9738" width="13.42578125" style="64" customWidth="1"/>
    <col min="9739" max="9739" width="12.85546875" style="64" bestFit="1" customWidth="1"/>
    <col min="9740" max="9740" width="9.28515625" style="64" bestFit="1" customWidth="1"/>
    <col min="9741" max="9741" width="11.85546875" style="64" bestFit="1" customWidth="1"/>
    <col min="9742" max="9742" width="2.7109375" style="64" bestFit="1" customWidth="1"/>
    <col min="9743" max="9743" width="40.7109375" style="64" bestFit="1" customWidth="1"/>
    <col min="9744" max="9744" width="12.5703125" style="64" customWidth="1"/>
    <col min="9745" max="9745" width="7" style="64" bestFit="1" customWidth="1"/>
    <col min="9746" max="9746" width="11.7109375" style="64" bestFit="1" customWidth="1"/>
    <col min="9747" max="9747" width="12.85546875" style="64" bestFit="1" customWidth="1"/>
    <col min="9748" max="9748" width="11.5703125" style="64" bestFit="1" customWidth="1"/>
    <col min="9749" max="9749" width="12.5703125" style="64" bestFit="1" customWidth="1"/>
    <col min="9750" max="9984" width="9.140625" style="64"/>
    <col min="9985" max="9985" width="2.7109375" style="64" bestFit="1" customWidth="1"/>
    <col min="9986" max="9987" width="9.140625" style="64"/>
    <col min="9988" max="9988" width="10" style="64" customWidth="1"/>
    <col min="9989" max="9989" width="13" style="64" customWidth="1"/>
    <col min="9990" max="9990" width="13.85546875" style="64" customWidth="1"/>
    <col min="9991" max="9991" width="13.28515625" style="64" bestFit="1" customWidth="1"/>
    <col min="9992" max="9992" width="15.140625" style="64" customWidth="1"/>
    <col min="9993" max="9993" width="14.7109375" style="64" customWidth="1"/>
    <col min="9994" max="9994" width="13.42578125" style="64" customWidth="1"/>
    <col min="9995" max="9995" width="12.85546875" style="64" bestFit="1" customWidth="1"/>
    <col min="9996" max="9996" width="9.28515625" style="64" bestFit="1" customWidth="1"/>
    <col min="9997" max="9997" width="11.85546875" style="64" bestFit="1" customWidth="1"/>
    <col min="9998" max="9998" width="2.7109375" style="64" bestFit="1" customWidth="1"/>
    <col min="9999" max="9999" width="40.7109375" style="64" bestFit="1" customWidth="1"/>
    <col min="10000" max="10000" width="12.5703125" style="64" customWidth="1"/>
    <col min="10001" max="10001" width="7" style="64" bestFit="1" customWidth="1"/>
    <col min="10002" max="10002" width="11.7109375" style="64" bestFit="1" customWidth="1"/>
    <col min="10003" max="10003" width="12.85546875" style="64" bestFit="1" customWidth="1"/>
    <col min="10004" max="10004" width="11.5703125" style="64" bestFit="1" customWidth="1"/>
    <col min="10005" max="10005" width="12.5703125" style="64" bestFit="1" customWidth="1"/>
    <col min="10006" max="10240" width="9.140625" style="64"/>
    <col min="10241" max="10241" width="2.7109375" style="64" bestFit="1" customWidth="1"/>
    <col min="10242" max="10243" width="9.140625" style="64"/>
    <col min="10244" max="10244" width="10" style="64" customWidth="1"/>
    <col min="10245" max="10245" width="13" style="64" customWidth="1"/>
    <col min="10246" max="10246" width="13.85546875" style="64" customWidth="1"/>
    <col min="10247" max="10247" width="13.28515625" style="64" bestFit="1" customWidth="1"/>
    <col min="10248" max="10248" width="15.140625" style="64" customWidth="1"/>
    <col min="10249" max="10249" width="14.7109375" style="64" customWidth="1"/>
    <col min="10250" max="10250" width="13.42578125" style="64" customWidth="1"/>
    <col min="10251" max="10251" width="12.85546875" style="64" bestFit="1" customWidth="1"/>
    <col min="10252" max="10252" width="9.28515625" style="64" bestFit="1" customWidth="1"/>
    <col min="10253" max="10253" width="11.85546875" style="64" bestFit="1" customWidth="1"/>
    <col min="10254" max="10254" width="2.7109375" style="64" bestFit="1" customWidth="1"/>
    <col min="10255" max="10255" width="40.7109375" style="64" bestFit="1" customWidth="1"/>
    <col min="10256" max="10256" width="12.5703125" style="64" customWidth="1"/>
    <col min="10257" max="10257" width="7" style="64" bestFit="1" customWidth="1"/>
    <col min="10258" max="10258" width="11.7109375" style="64" bestFit="1" customWidth="1"/>
    <col min="10259" max="10259" width="12.85546875" style="64" bestFit="1" customWidth="1"/>
    <col min="10260" max="10260" width="11.5703125" style="64" bestFit="1" customWidth="1"/>
    <col min="10261" max="10261" width="12.5703125" style="64" bestFit="1" customWidth="1"/>
    <col min="10262" max="10496" width="9.140625" style="64"/>
    <col min="10497" max="10497" width="2.7109375" style="64" bestFit="1" customWidth="1"/>
    <col min="10498" max="10499" width="9.140625" style="64"/>
    <col min="10500" max="10500" width="10" style="64" customWidth="1"/>
    <col min="10501" max="10501" width="13" style="64" customWidth="1"/>
    <col min="10502" max="10502" width="13.85546875" style="64" customWidth="1"/>
    <col min="10503" max="10503" width="13.28515625" style="64" bestFit="1" customWidth="1"/>
    <col min="10504" max="10504" width="15.140625" style="64" customWidth="1"/>
    <col min="10505" max="10505" width="14.7109375" style="64" customWidth="1"/>
    <col min="10506" max="10506" width="13.42578125" style="64" customWidth="1"/>
    <col min="10507" max="10507" width="12.85546875" style="64" bestFit="1" customWidth="1"/>
    <col min="10508" max="10508" width="9.28515625" style="64" bestFit="1" customWidth="1"/>
    <col min="10509" max="10509" width="11.85546875" style="64" bestFit="1" customWidth="1"/>
    <col min="10510" max="10510" width="2.7109375" style="64" bestFit="1" customWidth="1"/>
    <col min="10511" max="10511" width="40.7109375" style="64" bestFit="1" customWidth="1"/>
    <col min="10512" max="10512" width="12.5703125" style="64" customWidth="1"/>
    <col min="10513" max="10513" width="7" style="64" bestFit="1" customWidth="1"/>
    <col min="10514" max="10514" width="11.7109375" style="64" bestFit="1" customWidth="1"/>
    <col min="10515" max="10515" width="12.85546875" style="64" bestFit="1" customWidth="1"/>
    <col min="10516" max="10516" width="11.5703125" style="64" bestFit="1" customWidth="1"/>
    <col min="10517" max="10517" width="12.5703125" style="64" bestFit="1" customWidth="1"/>
    <col min="10518" max="10752" width="9.140625" style="64"/>
    <col min="10753" max="10753" width="2.7109375" style="64" bestFit="1" customWidth="1"/>
    <col min="10754" max="10755" width="9.140625" style="64"/>
    <col min="10756" max="10756" width="10" style="64" customWidth="1"/>
    <col min="10757" max="10757" width="13" style="64" customWidth="1"/>
    <col min="10758" max="10758" width="13.85546875" style="64" customWidth="1"/>
    <col min="10759" max="10759" width="13.28515625" style="64" bestFit="1" customWidth="1"/>
    <col min="10760" max="10760" width="15.140625" style="64" customWidth="1"/>
    <col min="10761" max="10761" width="14.7109375" style="64" customWidth="1"/>
    <col min="10762" max="10762" width="13.42578125" style="64" customWidth="1"/>
    <col min="10763" max="10763" width="12.85546875" style="64" bestFit="1" customWidth="1"/>
    <col min="10764" max="10764" width="9.28515625" style="64" bestFit="1" customWidth="1"/>
    <col min="10765" max="10765" width="11.85546875" style="64" bestFit="1" customWidth="1"/>
    <col min="10766" max="10766" width="2.7109375" style="64" bestFit="1" customWidth="1"/>
    <col min="10767" max="10767" width="40.7109375" style="64" bestFit="1" customWidth="1"/>
    <col min="10768" max="10768" width="12.5703125" style="64" customWidth="1"/>
    <col min="10769" max="10769" width="7" style="64" bestFit="1" customWidth="1"/>
    <col min="10770" max="10770" width="11.7109375" style="64" bestFit="1" customWidth="1"/>
    <col min="10771" max="10771" width="12.85546875" style="64" bestFit="1" customWidth="1"/>
    <col min="10772" max="10772" width="11.5703125" style="64" bestFit="1" customWidth="1"/>
    <col min="10773" max="10773" width="12.5703125" style="64" bestFit="1" customWidth="1"/>
    <col min="10774" max="11008" width="9.140625" style="64"/>
    <col min="11009" max="11009" width="2.7109375" style="64" bestFit="1" customWidth="1"/>
    <col min="11010" max="11011" width="9.140625" style="64"/>
    <col min="11012" max="11012" width="10" style="64" customWidth="1"/>
    <col min="11013" max="11013" width="13" style="64" customWidth="1"/>
    <col min="11014" max="11014" width="13.85546875" style="64" customWidth="1"/>
    <col min="11015" max="11015" width="13.28515625" style="64" bestFit="1" customWidth="1"/>
    <col min="11016" max="11016" width="15.140625" style="64" customWidth="1"/>
    <col min="11017" max="11017" width="14.7109375" style="64" customWidth="1"/>
    <col min="11018" max="11018" width="13.42578125" style="64" customWidth="1"/>
    <col min="11019" max="11019" width="12.85546875" style="64" bestFit="1" customWidth="1"/>
    <col min="11020" max="11020" width="9.28515625" style="64" bestFit="1" customWidth="1"/>
    <col min="11021" max="11021" width="11.85546875" style="64" bestFit="1" customWidth="1"/>
    <col min="11022" max="11022" width="2.7109375" style="64" bestFit="1" customWidth="1"/>
    <col min="11023" max="11023" width="40.7109375" style="64" bestFit="1" customWidth="1"/>
    <col min="11024" max="11024" width="12.5703125" style="64" customWidth="1"/>
    <col min="11025" max="11025" width="7" style="64" bestFit="1" customWidth="1"/>
    <col min="11026" max="11026" width="11.7109375" style="64" bestFit="1" customWidth="1"/>
    <col min="11027" max="11027" width="12.85546875" style="64" bestFit="1" customWidth="1"/>
    <col min="11028" max="11028" width="11.5703125" style="64" bestFit="1" customWidth="1"/>
    <col min="11029" max="11029" width="12.5703125" style="64" bestFit="1" customWidth="1"/>
    <col min="11030" max="11264" width="9.140625" style="64"/>
    <col min="11265" max="11265" width="2.7109375" style="64" bestFit="1" customWidth="1"/>
    <col min="11266" max="11267" width="9.140625" style="64"/>
    <col min="11268" max="11268" width="10" style="64" customWidth="1"/>
    <col min="11269" max="11269" width="13" style="64" customWidth="1"/>
    <col min="11270" max="11270" width="13.85546875" style="64" customWidth="1"/>
    <col min="11271" max="11271" width="13.28515625" style="64" bestFit="1" customWidth="1"/>
    <col min="11272" max="11272" width="15.140625" style="64" customWidth="1"/>
    <col min="11273" max="11273" width="14.7109375" style="64" customWidth="1"/>
    <col min="11274" max="11274" width="13.42578125" style="64" customWidth="1"/>
    <col min="11275" max="11275" width="12.85546875" style="64" bestFit="1" customWidth="1"/>
    <col min="11276" max="11276" width="9.28515625" style="64" bestFit="1" customWidth="1"/>
    <col min="11277" max="11277" width="11.85546875" style="64" bestFit="1" customWidth="1"/>
    <col min="11278" max="11278" width="2.7109375" style="64" bestFit="1" customWidth="1"/>
    <col min="11279" max="11279" width="40.7109375" style="64" bestFit="1" customWidth="1"/>
    <col min="11280" max="11280" width="12.5703125" style="64" customWidth="1"/>
    <col min="11281" max="11281" width="7" style="64" bestFit="1" customWidth="1"/>
    <col min="11282" max="11282" width="11.7109375" style="64" bestFit="1" customWidth="1"/>
    <col min="11283" max="11283" width="12.85546875" style="64" bestFit="1" customWidth="1"/>
    <col min="11284" max="11284" width="11.5703125" style="64" bestFit="1" customWidth="1"/>
    <col min="11285" max="11285" width="12.5703125" style="64" bestFit="1" customWidth="1"/>
    <col min="11286" max="11520" width="9.140625" style="64"/>
    <col min="11521" max="11521" width="2.7109375" style="64" bestFit="1" customWidth="1"/>
    <col min="11522" max="11523" width="9.140625" style="64"/>
    <col min="11524" max="11524" width="10" style="64" customWidth="1"/>
    <col min="11525" max="11525" width="13" style="64" customWidth="1"/>
    <col min="11526" max="11526" width="13.85546875" style="64" customWidth="1"/>
    <col min="11527" max="11527" width="13.28515625" style="64" bestFit="1" customWidth="1"/>
    <col min="11528" max="11528" width="15.140625" style="64" customWidth="1"/>
    <col min="11529" max="11529" width="14.7109375" style="64" customWidth="1"/>
    <col min="11530" max="11530" width="13.42578125" style="64" customWidth="1"/>
    <col min="11531" max="11531" width="12.85546875" style="64" bestFit="1" customWidth="1"/>
    <col min="11532" max="11532" width="9.28515625" style="64" bestFit="1" customWidth="1"/>
    <col min="11533" max="11533" width="11.85546875" style="64" bestFit="1" customWidth="1"/>
    <col min="11534" max="11534" width="2.7109375" style="64" bestFit="1" customWidth="1"/>
    <col min="11535" max="11535" width="40.7109375" style="64" bestFit="1" customWidth="1"/>
    <col min="11536" max="11536" width="12.5703125" style="64" customWidth="1"/>
    <col min="11537" max="11537" width="7" style="64" bestFit="1" customWidth="1"/>
    <col min="11538" max="11538" width="11.7109375" style="64" bestFit="1" customWidth="1"/>
    <col min="11539" max="11539" width="12.85546875" style="64" bestFit="1" customWidth="1"/>
    <col min="11540" max="11540" width="11.5703125" style="64" bestFit="1" customWidth="1"/>
    <col min="11541" max="11541" width="12.5703125" style="64" bestFit="1" customWidth="1"/>
    <col min="11542" max="11776" width="9.140625" style="64"/>
    <col min="11777" max="11777" width="2.7109375" style="64" bestFit="1" customWidth="1"/>
    <col min="11778" max="11779" width="9.140625" style="64"/>
    <col min="11780" max="11780" width="10" style="64" customWidth="1"/>
    <col min="11781" max="11781" width="13" style="64" customWidth="1"/>
    <col min="11782" max="11782" width="13.85546875" style="64" customWidth="1"/>
    <col min="11783" max="11783" width="13.28515625" style="64" bestFit="1" customWidth="1"/>
    <col min="11784" max="11784" width="15.140625" style="64" customWidth="1"/>
    <col min="11785" max="11785" width="14.7109375" style="64" customWidth="1"/>
    <col min="11786" max="11786" width="13.42578125" style="64" customWidth="1"/>
    <col min="11787" max="11787" width="12.85546875" style="64" bestFit="1" customWidth="1"/>
    <col min="11788" max="11788" width="9.28515625" style="64" bestFit="1" customWidth="1"/>
    <col min="11789" max="11789" width="11.85546875" style="64" bestFit="1" customWidth="1"/>
    <col min="11790" max="11790" width="2.7109375" style="64" bestFit="1" customWidth="1"/>
    <col min="11791" max="11791" width="40.7109375" style="64" bestFit="1" customWidth="1"/>
    <col min="11792" max="11792" width="12.5703125" style="64" customWidth="1"/>
    <col min="11793" max="11793" width="7" style="64" bestFit="1" customWidth="1"/>
    <col min="11794" max="11794" width="11.7109375" style="64" bestFit="1" customWidth="1"/>
    <col min="11795" max="11795" width="12.85546875" style="64" bestFit="1" customWidth="1"/>
    <col min="11796" max="11796" width="11.5703125" style="64" bestFit="1" customWidth="1"/>
    <col min="11797" max="11797" width="12.5703125" style="64" bestFit="1" customWidth="1"/>
    <col min="11798" max="12032" width="9.140625" style="64"/>
    <col min="12033" max="12033" width="2.7109375" style="64" bestFit="1" customWidth="1"/>
    <col min="12034" max="12035" width="9.140625" style="64"/>
    <col min="12036" max="12036" width="10" style="64" customWidth="1"/>
    <col min="12037" max="12037" width="13" style="64" customWidth="1"/>
    <col min="12038" max="12038" width="13.85546875" style="64" customWidth="1"/>
    <col min="12039" max="12039" width="13.28515625" style="64" bestFit="1" customWidth="1"/>
    <col min="12040" max="12040" width="15.140625" style="64" customWidth="1"/>
    <col min="12041" max="12041" width="14.7109375" style="64" customWidth="1"/>
    <col min="12042" max="12042" width="13.42578125" style="64" customWidth="1"/>
    <col min="12043" max="12043" width="12.85546875" style="64" bestFit="1" customWidth="1"/>
    <col min="12044" max="12044" width="9.28515625" style="64" bestFit="1" customWidth="1"/>
    <col min="12045" max="12045" width="11.85546875" style="64" bestFit="1" customWidth="1"/>
    <col min="12046" max="12046" width="2.7109375" style="64" bestFit="1" customWidth="1"/>
    <col min="12047" max="12047" width="40.7109375" style="64" bestFit="1" customWidth="1"/>
    <col min="12048" max="12048" width="12.5703125" style="64" customWidth="1"/>
    <col min="12049" max="12049" width="7" style="64" bestFit="1" customWidth="1"/>
    <col min="12050" max="12050" width="11.7109375" style="64" bestFit="1" customWidth="1"/>
    <col min="12051" max="12051" width="12.85546875" style="64" bestFit="1" customWidth="1"/>
    <col min="12052" max="12052" width="11.5703125" style="64" bestFit="1" customWidth="1"/>
    <col min="12053" max="12053" width="12.5703125" style="64" bestFit="1" customWidth="1"/>
    <col min="12054" max="12288" width="9.140625" style="64"/>
    <col min="12289" max="12289" width="2.7109375" style="64" bestFit="1" customWidth="1"/>
    <col min="12290" max="12291" width="9.140625" style="64"/>
    <col min="12292" max="12292" width="10" style="64" customWidth="1"/>
    <col min="12293" max="12293" width="13" style="64" customWidth="1"/>
    <col min="12294" max="12294" width="13.85546875" style="64" customWidth="1"/>
    <col min="12295" max="12295" width="13.28515625" style="64" bestFit="1" customWidth="1"/>
    <col min="12296" max="12296" width="15.140625" style="64" customWidth="1"/>
    <col min="12297" max="12297" width="14.7109375" style="64" customWidth="1"/>
    <col min="12298" max="12298" width="13.42578125" style="64" customWidth="1"/>
    <col min="12299" max="12299" width="12.85546875" style="64" bestFit="1" customWidth="1"/>
    <col min="12300" max="12300" width="9.28515625" style="64" bestFit="1" customWidth="1"/>
    <col min="12301" max="12301" width="11.85546875" style="64" bestFit="1" customWidth="1"/>
    <col min="12302" max="12302" width="2.7109375" style="64" bestFit="1" customWidth="1"/>
    <col min="12303" max="12303" width="40.7109375" style="64" bestFit="1" customWidth="1"/>
    <col min="12304" max="12304" width="12.5703125" style="64" customWidth="1"/>
    <col min="12305" max="12305" width="7" style="64" bestFit="1" customWidth="1"/>
    <col min="12306" max="12306" width="11.7109375" style="64" bestFit="1" customWidth="1"/>
    <col min="12307" max="12307" width="12.85546875" style="64" bestFit="1" customWidth="1"/>
    <col min="12308" max="12308" width="11.5703125" style="64" bestFit="1" customWidth="1"/>
    <col min="12309" max="12309" width="12.5703125" style="64" bestFit="1" customWidth="1"/>
    <col min="12310" max="12544" width="9.140625" style="64"/>
    <col min="12545" max="12545" width="2.7109375" style="64" bestFit="1" customWidth="1"/>
    <col min="12546" max="12547" width="9.140625" style="64"/>
    <col min="12548" max="12548" width="10" style="64" customWidth="1"/>
    <col min="12549" max="12549" width="13" style="64" customWidth="1"/>
    <col min="12550" max="12550" width="13.85546875" style="64" customWidth="1"/>
    <col min="12551" max="12551" width="13.28515625" style="64" bestFit="1" customWidth="1"/>
    <col min="12552" max="12552" width="15.140625" style="64" customWidth="1"/>
    <col min="12553" max="12553" width="14.7109375" style="64" customWidth="1"/>
    <col min="12554" max="12554" width="13.42578125" style="64" customWidth="1"/>
    <col min="12555" max="12555" width="12.85546875" style="64" bestFit="1" customWidth="1"/>
    <col min="12556" max="12556" width="9.28515625" style="64" bestFit="1" customWidth="1"/>
    <col min="12557" max="12557" width="11.85546875" style="64" bestFit="1" customWidth="1"/>
    <col min="12558" max="12558" width="2.7109375" style="64" bestFit="1" customWidth="1"/>
    <col min="12559" max="12559" width="40.7109375" style="64" bestFit="1" customWidth="1"/>
    <col min="12560" max="12560" width="12.5703125" style="64" customWidth="1"/>
    <col min="12561" max="12561" width="7" style="64" bestFit="1" customWidth="1"/>
    <col min="12562" max="12562" width="11.7109375" style="64" bestFit="1" customWidth="1"/>
    <col min="12563" max="12563" width="12.85546875" style="64" bestFit="1" customWidth="1"/>
    <col min="12564" max="12564" width="11.5703125" style="64" bestFit="1" customWidth="1"/>
    <col min="12565" max="12565" width="12.5703125" style="64" bestFit="1" customWidth="1"/>
    <col min="12566" max="12800" width="9.140625" style="64"/>
    <col min="12801" max="12801" width="2.7109375" style="64" bestFit="1" customWidth="1"/>
    <col min="12802" max="12803" width="9.140625" style="64"/>
    <col min="12804" max="12804" width="10" style="64" customWidth="1"/>
    <col min="12805" max="12805" width="13" style="64" customWidth="1"/>
    <col min="12806" max="12806" width="13.85546875" style="64" customWidth="1"/>
    <col min="12807" max="12807" width="13.28515625" style="64" bestFit="1" customWidth="1"/>
    <col min="12808" max="12808" width="15.140625" style="64" customWidth="1"/>
    <col min="12809" max="12809" width="14.7109375" style="64" customWidth="1"/>
    <col min="12810" max="12810" width="13.42578125" style="64" customWidth="1"/>
    <col min="12811" max="12811" width="12.85546875" style="64" bestFit="1" customWidth="1"/>
    <col min="12812" max="12812" width="9.28515625" style="64" bestFit="1" customWidth="1"/>
    <col min="12813" max="12813" width="11.85546875" style="64" bestFit="1" customWidth="1"/>
    <col min="12814" max="12814" width="2.7109375" style="64" bestFit="1" customWidth="1"/>
    <col min="12815" max="12815" width="40.7109375" style="64" bestFit="1" customWidth="1"/>
    <col min="12816" max="12816" width="12.5703125" style="64" customWidth="1"/>
    <col min="12817" max="12817" width="7" style="64" bestFit="1" customWidth="1"/>
    <col min="12818" max="12818" width="11.7109375" style="64" bestFit="1" customWidth="1"/>
    <col min="12819" max="12819" width="12.85546875" style="64" bestFit="1" customWidth="1"/>
    <col min="12820" max="12820" width="11.5703125" style="64" bestFit="1" customWidth="1"/>
    <col min="12821" max="12821" width="12.5703125" style="64" bestFit="1" customWidth="1"/>
    <col min="12822" max="13056" width="9.140625" style="64"/>
    <col min="13057" max="13057" width="2.7109375" style="64" bestFit="1" customWidth="1"/>
    <col min="13058" max="13059" width="9.140625" style="64"/>
    <col min="13060" max="13060" width="10" style="64" customWidth="1"/>
    <col min="13061" max="13061" width="13" style="64" customWidth="1"/>
    <col min="13062" max="13062" width="13.85546875" style="64" customWidth="1"/>
    <col min="13063" max="13063" width="13.28515625" style="64" bestFit="1" customWidth="1"/>
    <col min="13064" max="13064" width="15.140625" style="64" customWidth="1"/>
    <col min="13065" max="13065" width="14.7109375" style="64" customWidth="1"/>
    <col min="13066" max="13066" width="13.42578125" style="64" customWidth="1"/>
    <col min="13067" max="13067" width="12.85546875" style="64" bestFit="1" customWidth="1"/>
    <col min="13068" max="13068" width="9.28515625" style="64" bestFit="1" customWidth="1"/>
    <col min="13069" max="13069" width="11.85546875" style="64" bestFit="1" customWidth="1"/>
    <col min="13070" max="13070" width="2.7109375" style="64" bestFit="1" customWidth="1"/>
    <col min="13071" max="13071" width="40.7109375" style="64" bestFit="1" customWidth="1"/>
    <col min="13072" max="13072" width="12.5703125" style="64" customWidth="1"/>
    <col min="13073" max="13073" width="7" style="64" bestFit="1" customWidth="1"/>
    <col min="13074" max="13074" width="11.7109375" style="64" bestFit="1" customWidth="1"/>
    <col min="13075" max="13075" width="12.85546875" style="64" bestFit="1" customWidth="1"/>
    <col min="13076" max="13076" width="11.5703125" style="64" bestFit="1" customWidth="1"/>
    <col min="13077" max="13077" width="12.5703125" style="64" bestFit="1" customWidth="1"/>
    <col min="13078" max="13312" width="9.140625" style="64"/>
    <col min="13313" max="13313" width="2.7109375" style="64" bestFit="1" customWidth="1"/>
    <col min="13314" max="13315" width="9.140625" style="64"/>
    <col min="13316" max="13316" width="10" style="64" customWidth="1"/>
    <col min="13317" max="13317" width="13" style="64" customWidth="1"/>
    <col min="13318" max="13318" width="13.85546875" style="64" customWidth="1"/>
    <col min="13319" max="13319" width="13.28515625" style="64" bestFit="1" customWidth="1"/>
    <col min="13320" max="13320" width="15.140625" style="64" customWidth="1"/>
    <col min="13321" max="13321" width="14.7109375" style="64" customWidth="1"/>
    <col min="13322" max="13322" width="13.42578125" style="64" customWidth="1"/>
    <col min="13323" max="13323" width="12.85546875" style="64" bestFit="1" customWidth="1"/>
    <col min="13324" max="13324" width="9.28515625" style="64" bestFit="1" customWidth="1"/>
    <col min="13325" max="13325" width="11.85546875" style="64" bestFit="1" customWidth="1"/>
    <col min="13326" max="13326" width="2.7109375" style="64" bestFit="1" customWidth="1"/>
    <col min="13327" max="13327" width="40.7109375" style="64" bestFit="1" customWidth="1"/>
    <col min="13328" max="13328" width="12.5703125" style="64" customWidth="1"/>
    <col min="13329" max="13329" width="7" style="64" bestFit="1" customWidth="1"/>
    <col min="13330" max="13330" width="11.7109375" style="64" bestFit="1" customWidth="1"/>
    <col min="13331" max="13331" width="12.85546875" style="64" bestFit="1" customWidth="1"/>
    <col min="13332" max="13332" width="11.5703125" style="64" bestFit="1" customWidth="1"/>
    <col min="13333" max="13333" width="12.5703125" style="64" bestFit="1" customWidth="1"/>
    <col min="13334" max="13568" width="9.140625" style="64"/>
    <col min="13569" max="13569" width="2.7109375" style="64" bestFit="1" customWidth="1"/>
    <col min="13570" max="13571" width="9.140625" style="64"/>
    <col min="13572" max="13572" width="10" style="64" customWidth="1"/>
    <col min="13573" max="13573" width="13" style="64" customWidth="1"/>
    <col min="13574" max="13574" width="13.85546875" style="64" customWidth="1"/>
    <col min="13575" max="13575" width="13.28515625" style="64" bestFit="1" customWidth="1"/>
    <col min="13576" max="13576" width="15.140625" style="64" customWidth="1"/>
    <col min="13577" max="13577" width="14.7109375" style="64" customWidth="1"/>
    <col min="13578" max="13578" width="13.42578125" style="64" customWidth="1"/>
    <col min="13579" max="13579" width="12.85546875" style="64" bestFit="1" customWidth="1"/>
    <col min="13580" max="13580" width="9.28515625" style="64" bestFit="1" customWidth="1"/>
    <col min="13581" max="13581" width="11.85546875" style="64" bestFit="1" customWidth="1"/>
    <col min="13582" max="13582" width="2.7109375" style="64" bestFit="1" customWidth="1"/>
    <col min="13583" max="13583" width="40.7109375" style="64" bestFit="1" customWidth="1"/>
    <col min="13584" max="13584" width="12.5703125" style="64" customWidth="1"/>
    <col min="13585" max="13585" width="7" style="64" bestFit="1" customWidth="1"/>
    <col min="13586" max="13586" width="11.7109375" style="64" bestFit="1" customWidth="1"/>
    <col min="13587" max="13587" width="12.85546875" style="64" bestFit="1" customWidth="1"/>
    <col min="13588" max="13588" width="11.5703125" style="64" bestFit="1" customWidth="1"/>
    <col min="13589" max="13589" width="12.5703125" style="64" bestFit="1" customWidth="1"/>
    <col min="13590" max="13824" width="9.140625" style="64"/>
    <col min="13825" max="13825" width="2.7109375" style="64" bestFit="1" customWidth="1"/>
    <col min="13826" max="13827" width="9.140625" style="64"/>
    <col min="13828" max="13828" width="10" style="64" customWidth="1"/>
    <col min="13829" max="13829" width="13" style="64" customWidth="1"/>
    <col min="13830" max="13830" width="13.85546875" style="64" customWidth="1"/>
    <col min="13831" max="13831" width="13.28515625" style="64" bestFit="1" customWidth="1"/>
    <col min="13832" max="13832" width="15.140625" style="64" customWidth="1"/>
    <col min="13833" max="13833" width="14.7109375" style="64" customWidth="1"/>
    <col min="13834" max="13834" width="13.42578125" style="64" customWidth="1"/>
    <col min="13835" max="13835" width="12.85546875" style="64" bestFit="1" customWidth="1"/>
    <col min="13836" max="13836" width="9.28515625" style="64" bestFit="1" customWidth="1"/>
    <col min="13837" max="13837" width="11.85546875" style="64" bestFit="1" customWidth="1"/>
    <col min="13838" max="13838" width="2.7109375" style="64" bestFit="1" customWidth="1"/>
    <col min="13839" max="13839" width="40.7109375" style="64" bestFit="1" customWidth="1"/>
    <col min="13840" max="13840" width="12.5703125" style="64" customWidth="1"/>
    <col min="13841" max="13841" width="7" style="64" bestFit="1" customWidth="1"/>
    <col min="13842" max="13842" width="11.7109375" style="64" bestFit="1" customWidth="1"/>
    <col min="13843" max="13843" width="12.85546875" style="64" bestFit="1" customWidth="1"/>
    <col min="13844" max="13844" width="11.5703125" style="64" bestFit="1" customWidth="1"/>
    <col min="13845" max="13845" width="12.5703125" style="64" bestFit="1" customWidth="1"/>
    <col min="13846" max="14080" width="9.140625" style="64"/>
    <col min="14081" max="14081" width="2.7109375" style="64" bestFit="1" customWidth="1"/>
    <col min="14082" max="14083" width="9.140625" style="64"/>
    <col min="14084" max="14084" width="10" style="64" customWidth="1"/>
    <col min="14085" max="14085" width="13" style="64" customWidth="1"/>
    <col min="14086" max="14086" width="13.85546875" style="64" customWidth="1"/>
    <col min="14087" max="14087" width="13.28515625" style="64" bestFit="1" customWidth="1"/>
    <col min="14088" max="14088" width="15.140625" style="64" customWidth="1"/>
    <col min="14089" max="14089" width="14.7109375" style="64" customWidth="1"/>
    <col min="14090" max="14090" width="13.42578125" style="64" customWidth="1"/>
    <col min="14091" max="14091" width="12.85546875" style="64" bestFit="1" customWidth="1"/>
    <col min="14092" max="14092" width="9.28515625" style="64" bestFit="1" customWidth="1"/>
    <col min="14093" max="14093" width="11.85546875" style="64" bestFit="1" customWidth="1"/>
    <col min="14094" max="14094" width="2.7109375" style="64" bestFit="1" customWidth="1"/>
    <col min="14095" max="14095" width="40.7109375" style="64" bestFit="1" customWidth="1"/>
    <col min="14096" max="14096" width="12.5703125" style="64" customWidth="1"/>
    <col min="14097" max="14097" width="7" style="64" bestFit="1" customWidth="1"/>
    <col min="14098" max="14098" width="11.7109375" style="64" bestFit="1" customWidth="1"/>
    <col min="14099" max="14099" width="12.85546875" style="64" bestFit="1" customWidth="1"/>
    <col min="14100" max="14100" width="11.5703125" style="64" bestFit="1" customWidth="1"/>
    <col min="14101" max="14101" width="12.5703125" style="64" bestFit="1" customWidth="1"/>
    <col min="14102" max="14336" width="9.140625" style="64"/>
    <col min="14337" max="14337" width="2.7109375" style="64" bestFit="1" customWidth="1"/>
    <col min="14338" max="14339" width="9.140625" style="64"/>
    <col min="14340" max="14340" width="10" style="64" customWidth="1"/>
    <col min="14341" max="14341" width="13" style="64" customWidth="1"/>
    <col min="14342" max="14342" width="13.85546875" style="64" customWidth="1"/>
    <col min="14343" max="14343" width="13.28515625" style="64" bestFit="1" customWidth="1"/>
    <col min="14344" max="14344" width="15.140625" style="64" customWidth="1"/>
    <col min="14345" max="14345" width="14.7109375" style="64" customWidth="1"/>
    <col min="14346" max="14346" width="13.42578125" style="64" customWidth="1"/>
    <col min="14347" max="14347" width="12.85546875" style="64" bestFit="1" customWidth="1"/>
    <col min="14348" max="14348" width="9.28515625" style="64" bestFit="1" customWidth="1"/>
    <col min="14349" max="14349" width="11.85546875" style="64" bestFit="1" customWidth="1"/>
    <col min="14350" max="14350" width="2.7109375" style="64" bestFit="1" customWidth="1"/>
    <col min="14351" max="14351" width="40.7109375" style="64" bestFit="1" customWidth="1"/>
    <col min="14352" max="14352" width="12.5703125" style="64" customWidth="1"/>
    <col min="14353" max="14353" width="7" style="64" bestFit="1" customWidth="1"/>
    <col min="14354" max="14354" width="11.7109375" style="64" bestFit="1" customWidth="1"/>
    <col min="14355" max="14355" width="12.85546875" style="64" bestFit="1" customWidth="1"/>
    <col min="14356" max="14356" width="11.5703125" style="64" bestFit="1" customWidth="1"/>
    <col min="14357" max="14357" width="12.5703125" style="64" bestFit="1" customWidth="1"/>
    <col min="14358" max="14592" width="9.140625" style="64"/>
    <col min="14593" max="14593" width="2.7109375" style="64" bestFit="1" customWidth="1"/>
    <col min="14594" max="14595" width="9.140625" style="64"/>
    <col min="14596" max="14596" width="10" style="64" customWidth="1"/>
    <col min="14597" max="14597" width="13" style="64" customWidth="1"/>
    <col min="14598" max="14598" width="13.85546875" style="64" customWidth="1"/>
    <col min="14599" max="14599" width="13.28515625" style="64" bestFit="1" customWidth="1"/>
    <col min="14600" max="14600" width="15.140625" style="64" customWidth="1"/>
    <col min="14601" max="14601" width="14.7109375" style="64" customWidth="1"/>
    <col min="14602" max="14602" width="13.42578125" style="64" customWidth="1"/>
    <col min="14603" max="14603" width="12.85546875" style="64" bestFit="1" customWidth="1"/>
    <col min="14604" max="14604" width="9.28515625" style="64" bestFit="1" customWidth="1"/>
    <col min="14605" max="14605" width="11.85546875" style="64" bestFit="1" customWidth="1"/>
    <col min="14606" max="14606" width="2.7109375" style="64" bestFit="1" customWidth="1"/>
    <col min="14607" max="14607" width="40.7109375" style="64" bestFit="1" customWidth="1"/>
    <col min="14608" max="14608" width="12.5703125" style="64" customWidth="1"/>
    <col min="14609" max="14609" width="7" style="64" bestFit="1" customWidth="1"/>
    <col min="14610" max="14610" width="11.7109375" style="64" bestFit="1" customWidth="1"/>
    <col min="14611" max="14611" width="12.85546875" style="64" bestFit="1" customWidth="1"/>
    <col min="14612" max="14612" width="11.5703125" style="64" bestFit="1" customWidth="1"/>
    <col min="14613" max="14613" width="12.5703125" style="64" bestFit="1" customWidth="1"/>
    <col min="14614" max="14848" width="9.140625" style="64"/>
    <col min="14849" max="14849" width="2.7109375" style="64" bestFit="1" customWidth="1"/>
    <col min="14850" max="14851" width="9.140625" style="64"/>
    <col min="14852" max="14852" width="10" style="64" customWidth="1"/>
    <col min="14853" max="14853" width="13" style="64" customWidth="1"/>
    <col min="14854" max="14854" width="13.85546875" style="64" customWidth="1"/>
    <col min="14855" max="14855" width="13.28515625" style="64" bestFit="1" customWidth="1"/>
    <col min="14856" max="14856" width="15.140625" style="64" customWidth="1"/>
    <col min="14857" max="14857" width="14.7109375" style="64" customWidth="1"/>
    <col min="14858" max="14858" width="13.42578125" style="64" customWidth="1"/>
    <col min="14859" max="14859" width="12.85546875" style="64" bestFit="1" customWidth="1"/>
    <col min="14860" max="14860" width="9.28515625" style="64" bestFit="1" customWidth="1"/>
    <col min="14861" max="14861" width="11.85546875" style="64" bestFit="1" customWidth="1"/>
    <col min="14862" max="14862" width="2.7109375" style="64" bestFit="1" customWidth="1"/>
    <col min="14863" max="14863" width="40.7109375" style="64" bestFit="1" customWidth="1"/>
    <col min="14864" max="14864" width="12.5703125" style="64" customWidth="1"/>
    <col min="14865" max="14865" width="7" style="64" bestFit="1" customWidth="1"/>
    <col min="14866" max="14866" width="11.7109375" style="64" bestFit="1" customWidth="1"/>
    <col min="14867" max="14867" width="12.85546875" style="64" bestFit="1" customWidth="1"/>
    <col min="14868" max="14868" width="11.5703125" style="64" bestFit="1" customWidth="1"/>
    <col min="14869" max="14869" width="12.5703125" style="64" bestFit="1" customWidth="1"/>
    <col min="14870" max="15104" width="9.140625" style="64"/>
    <col min="15105" max="15105" width="2.7109375" style="64" bestFit="1" customWidth="1"/>
    <col min="15106" max="15107" width="9.140625" style="64"/>
    <col min="15108" max="15108" width="10" style="64" customWidth="1"/>
    <col min="15109" max="15109" width="13" style="64" customWidth="1"/>
    <col min="15110" max="15110" width="13.85546875" style="64" customWidth="1"/>
    <col min="15111" max="15111" width="13.28515625" style="64" bestFit="1" customWidth="1"/>
    <col min="15112" max="15112" width="15.140625" style="64" customWidth="1"/>
    <col min="15113" max="15113" width="14.7109375" style="64" customWidth="1"/>
    <col min="15114" max="15114" width="13.42578125" style="64" customWidth="1"/>
    <col min="15115" max="15115" width="12.85546875" style="64" bestFit="1" customWidth="1"/>
    <col min="15116" max="15116" width="9.28515625" style="64" bestFit="1" customWidth="1"/>
    <col min="15117" max="15117" width="11.85546875" style="64" bestFit="1" customWidth="1"/>
    <col min="15118" max="15118" width="2.7109375" style="64" bestFit="1" customWidth="1"/>
    <col min="15119" max="15119" width="40.7109375" style="64" bestFit="1" customWidth="1"/>
    <col min="15120" max="15120" width="12.5703125" style="64" customWidth="1"/>
    <col min="15121" max="15121" width="7" style="64" bestFit="1" customWidth="1"/>
    <col min="15122" max="15122" width="11.7109375" style="64" bestFit="1" customWidth="1"/>
    <col min="15123" max="15123" width="12.85546875" style="64" bestFit="1" customWidth="1"/>
    <col min="15124" max="15124" width="11.5703125" style="64" bestFit="1" customWidth="1"/>
    <col min="15125" max="15125" width="12.5703125" style="64" bestFit="1" customWidth="1"/>
    <col min="15126" max="15360" width="9.140625" style="64"/>
    <col min="15361" max="15361" width="2.7109375" style="64" bestFit="1" customWidth="1"/>
    <col min="15362" max="15363" width="9.140625" style="64"/>
    <col min="15364" max="15364" width="10" style="64" customWidth="1"/>
    <col min="15365" max="15365" width="13" style="64" customWidth="1"/>
    <col min="15366" max="15366" width="13.85546875" style="64" customWidth="1"/>
    <col min="15367" max="15367" width="13.28515625" style="64" bestFit="1" customWidth="1"/>
    <col min="15368" max="15368" width="15.140625" style="64" customWidth="1"/>
    <col min="15369" max="15369" width="14.7109375" style="64" customWidth="1"/>
    <col min="15370" max="15370" width="13.42578125" style="64" customWidth="1"/>
    <col min="15371" max="15371" width="12.85546875" style="64" bestFit="1" customWidth="1"/>
    <col min="15372" max="15372" width="9.28515625" style="64" bestFit="1" customWidth="1"/>
    <col min="15373" max="15373" width="11.85546875" style="64" bestFit="1" customWidth="1"/>
    <col min="15374" max="15374" width="2.7109375" style="64" bestFit="1" customWidth="1"/>
    <col min="15375" max="15375" width="40.7109375" style="64" bestFit="1" customWidth="1"/>
    <col min="15376" max="15376" width="12.5703125" style="64" customWidth="1"/>
    <col min="15377" max="15377" width="7" style="64" bestFit="1" customWidth="1"/>
    <col min="15378" max="15378" width="11.7109375" style="64" bestFit="1" customWidth="1"/>
    <col min="15379" max="15379" width="12.85546875" style="64" bestFit="1" customWidth="1"/>
    <col min="15380" max="15380" width="11.5703125" style="64" bestFit="1" customWidth="1"/>
    <col min="15381" max="15381" width="12.5703125" style="64" bestFit="1" customWidth="1"/>
    <col min="15382" max="15616" width="9.140625" style="64"/>
    <col min="15617" max="15617" width="2.7109375" style="64" bestFit="1" customWidth="1"/>
    <col min="15618" max="15619" width="9.140625" style="64"/>
    <col min="15620" max="15620" width="10" style="64" customWidth="1"/>
    <col min="15621" max="15621" width="13" style="64" customWidth="1"/>
    <col min="15622" max="15622" width="13.85546875" style="64" customWidth="1"/>
    <col min="15623" max="15623" width="13.28515625" style="64" bestFit="1" customWidth="1"/>
    <col min="15624" max="15624" width="15.140625" style="64" customWidth="1"/>
    <col min="15625" max="15625" width="14.7109375" style="64" customWidth="1"/>
    <col min="15626" max="15626" width="13.42578125" style="64" customWidth="1"/>
    <col min="15627" max="15627" width="12.85546875" style="64" bestFit="1" customWidth="1"/>
    <col min="15628" max="15628" width="9.28515625" style="64" bestFit="1" customWidth="1"/>
    <col min="15629" max="15629" width="11.85546875" style="64" bestFit="1" customWidth="1"/>
    <col min="15630" max="15630" width="2.7109375" style="64" bestFit="1" customWidth="1"/>
    <col min="15631" max="15631" width="40.7109375" style="64" bestFit="1" customWidth="1"/>
    <col min="15632" max="15632" width="12.5703125" style="64" customWidth="1"/>
    <col min="15633" max="15633" width="7" style="64" bestFit="1" customWidth="1"/>
    <col min="15634" max="15634" width="11.7109375" style="64" bestFit="1" customWidth="1"/>
    <col min="15635" max="15635" width="12.85546875" style="64" bestFit="1" customWidth="1"/>
    <col min="15636" max="15636" width="11.5703125" style="64" bestFit="1" customWidth="1"/>
    <col min="15637" max="15637" width="12.5703125" style="64" bestFit="1" customWidth="1"/>
    <col min="15638" max="15872" width="9.140625" style="64"/>
    <col min="15873" max="15873" width="2.7109375" style="64" bestFit="1" customWidth="1"/>
    <col min="15874" max="15875" width="9.140625" style="64"/>
    <col min="15876" max="15876" width="10" style="64" customWidth="1"/>
    <col min="15877" max="15877" width="13" style="64" customWidth="1"/>
    <col min="15878" max="15878" width="13.85546875" style="64" customWidth="1"/>
    <col min="15879" max="15879" width="13.28515625" style="64" bestFit="1" customWidth="1"/>
    <col min="15880" max="15880" width="15.140625" style="64" customWidth="1"/>
    <col min="15881" max="15881" width="14.7109375" style="64" customWidth="1"/>
    <col min="15882" max="15882" width="13.42578125" style="64" customWidth="1"/>
    <col min="15883" max="15883" width="12.85546875" style="64" bestFit="1" customWidth="1"/>
    <col min="15884" max="15884" width="9.28515625" style="64" bestFit="1" customWidth="1"/>
    <col min="15885" max="15885" width="11.85546875" style="64" bestFit="1" customWidth="1"/>
    <col min="15886" max="15886" width="2.7109375" style="64" bestFit="1" customWidth="1"/>
    <col min="15887" max="15887" width="40.7109375" style="64" bestFit="1" customWidth="1"/>
    <col min="15888" max="15888" width="12.5703125" style="64" customWidth="1"/>
    <col min="15889" max="15889" width="7" style="64" bestFit="1" customWidth="1"/>
    <col min="15890" max="15890" width="11.7109375" style="64" bestFit="1" customWidth="1"/>
    <col min="15891" max="15891" width="12.85546875" style="64" bestFit="1" customWidth="1"/>
    <col min="15892" max="15892" width="11.5703125" style="64" bestFit="1" customWidth="1"/>
    <col min="15893" max="15893" width="12.5703125" style="64" bestFit="1" customWidth="1"/>
    <col min="15894" max="16128" width="9.140625" style="64"/>
    <col min="16129" max="16129" width="2.7109375" style="64" bestFit="1" customWidth="1"/>
    <col min="16130" max="16131" width="9.140625" style="64"/>
    <col min="16132" max="16132" width="10" style="64" customWidth="1"/>
    <col min="16133" max="16133" width="13" style="64" customWidth="1"/>
    <col min="16134" max="16134" width="13.85546875" style="64" customWidth="1"/>
    <col min="16135" max="16135" width="13.28515625" style="64" bestFit="1" customWidth="1"/>
    <col min="16136" max="16136" width="15.140625" style="64" customWidth="1"/>
    <col min="16137" max="16137" width="14.7109375" style="64" customWidth="1"/>
    <col min="16138" max="16138" width="13.42578125" style="64" customWidth="1"/>
    <col min="16139" max="16139" width="12.85546875" style="64" bestFit="1" customWidth="1"/>
    <col min="16140" max="16140" width="9.28515625" style="64" bestFit="1" customWidth="1"/>
    <col min="16141" max="16141" width="11.85546875" style="64" bestFit="1" customWidth="1"/>
    <col min="16142" max="16142" width="2.7109375" style="64" bestFit="1" customWidth="1"/>
    <col min="16143" max="16143" width="40.7109375" style="64" bestFit="1" customWidth="1"/>
    <col min="16144" max="16144" width="12.5703125" style="64" customWidth="1"/>
    <col min="16145" max="16145" width="7" style="64" bestFit="1" customWidth="1"/>
    <col min="16146" max="16146" width="11.7109375" style="64" bestFit="1" customWidth="1"/>
    <col min="16147" max="16147" width="12.85546875" style="64" bestFit="1" customWidth="1"/>
    <col min="16148" max="16148" width="11.5703125" style="64" bestFit="1" customWidth="1"/>
    <col min="16149" max="16149" width="12.5703125" style="64" bestFit="1" customWidth="1"/>
    <col min="16150" max="16384" width="9.140625" style="64"/>
  </cols>
  <sheetData>
    <row r="1" spans="1:21" x14ac:dyDescent="0.2">
      <c r="D1" s="64" t="s">
        <v>394</v>
      </c>
      <c r="F1" s="135"/>
      <c r="G1" s="266"/>
    </row>
    <row r="2" spans="1:21" x14ac:dyDescent="0.2">
      <c r="B2" s="202" t="s">
        <v>395</v>
      </c>
      <c r="C2" s="266" t="s">
        <v>396</v>
      </c>
      <c r="D2" s="135"/>
      <c r="E2" s="135" t="s">
        <v>397</v>
      </c>
    </row>
    <row r="3" spans="1:21" s="107" customFormat="1" ht="8.25" x14ac:dyDescent="0.15"/>
    <row r="4" spans="1:21" x14ac:dyDescent="0.2">
      <c r="D4" s="64" t="s">
        <v>398</v>
      </c>
    </row>
    <row r="5" spans="1:21" s="107" customFormat="1" ht="8.25" x14ac:dyDescent="0.15"/>
    <row r="6" spans="1:21" x14ac:dyDescent="0.2">
      <c r="D6" s="64" t="s">
        <v>399</v>
      </c>
      <c r="R6" s="107"/>
      <c r="S6" s="107"/>
      <c r="T6" s="107"/>
      <c r="U6" s="107"/>
    </row>
    <row r="7" spans="1:21" x14ac:dyDescent="0.2">
      <c r="F7" s="267" t="s">
        <v>400</v>
      </c>
      <c r="G7" s="267"/>
      <c r="H7" s="267"/>
      <c r="I7" s="267" t="s">
        <v>401</v>
      </c>
      <c r="R7" s="107"/>
      <c r="S7" s="107"/>
      <c r="T7" s="107"/>
      <c r="U7" s="107"/>
    </row>
    <row r="8" spans="1:21" s="182" customFormat="1" ht="12.75" customHeight="1" x14ac:dyDescent="0.2">
      <c r="A8" s="702" t="s">
        <v>402</v>
      </c>
      <c r="B8" s="703"/>
      <c r="C8" s="703"/>
      <c r="D8" s="268" t="s">
        <v>403</v>
      </c>
      <c r="E8" s="269"/>
      <c r="F8" s="270" t="s">
        <v>404</v>
      </c>
      <c r="G8" s="138" t="s">
        <v>405</v>
      </c>
      <c r="H8" s="270" t="s">
        <v>406</v>
      </c>
      <c r="I8" s="271" t="s">
        <v>407</v>
      </c>
      <c r="J8" s="270" t="s">
        <v>408</v>
      </c>
      <c r="K8" s="269" t="s">
        <v>409</v>
      </c>
      <c r="L8" s="272" t="s">
        <v>410</v>
      </c>
      <c r="R8" s="107"/>
      <c r="S8" s="107"/>
      <c r="T8" s="107"/>
      <c r="U8" s="107"/>
    </row>
    <row r="9" spans="1:21" s="182" customFormat="1" ht="12.75" customHeight="1" x14ac:dyDescent="0.2">
      <c r="A9" s="704" t="s">
        <v>411</v>
      </c>
      <c r="B9" s="705"/>
      <c r="C9" s="705"/>
      <c r="E9" s="273" t="s">
        <v>908</v>
      </c>
      <c r="F9" s="274" t="s">
        <v>412</v>
      </c>
      <c r="G9" s="275" t="s">
        <v>413</v>
      </c>
      <c r="H9" s="274" t="s">
        <v>414</v>
      </c>
      <c r="I9" s="275" t="s">
        <v>415</v>
      </c>
      <c r="J9" s="274" t="s">
        <v>306</v>
      </c>
      <c r="K9" s="276" t="s">
        <v>416</v>
      </c>
      <c r="L9" s="277" t="s">
        <v>417</v>
      </c>
      <c r="R9" s="107"/>
      <c r="S9" s="107"/>
      <c r="T9" s="107"/>
      <c r="U9" s="107"/>
    </row>
    <row r="10" spans="1:21" s="282" customFormat="1" x14ac:dyDescent="0.2">
      <c r="A10" s="69" t="s">
        <v>418</v>
      </c>
      <c r="B10" s="278" t="s">
        <v>419</v>
      </c>
      <c r="C10" s="279"/>
      <c r="D10" s="279"/>
      <c r="E10" s="279"/>
      <c r="F10" s="278" t="s">
        <v>420</v>
      </c>
      <c r="G10" s="280" t="s">
        <v>421</v>
      </c>
      <c r="H10" s="279" t="s">
        <v>422</v>
      </c>
      <c r="I10" s="280" t="s">
        <v>423</v>
      </c>
      <c r="J10" s="281" t="s">
        <v>424</v>
      </c>
      <c r="K10" s="281" t="s">
        <v>425</v>
      </c>
      <c r="L10" s="281" t="s">
        <v>426</v>
      </c>
      <c r="R10" s="107"/>
      <c r="S10" s="107"/>
      <c r="T10" s="107"/>
      <c r="U10" s="107"/>
    </row>
    <row r="11" spans="1:21" x14ac:dyDescent="0.2">
      <c r="A11" s="283">
        <v>1</v>
      </c>
      <c r="B11" s="284" t="s">
        <v>427</v>
      </c>
      <c r="C11" s="285"/>
      <c r="D11" s="285"/>
      <c r="E11" s="286"/>
      <c r="F11" s="287">
        <f>SUM(SUM(Cronogra!S4:AD4))</f>
        <v>4189000.0000000005</v>
      </c>
      <c r="G11" s="288">
        <f>Cronogra!AE24</f>
        <v>3516536.4399999995</v>
      </c>
      <c r="H11" s="289"/>
      <c r="I11" s="288">
        <f>3876200</f>
        <v>3876200</v>
      </c>
      <c r="J11" s="290">
        <f>F11-G11</f>
        <v>672463.56000000099</v>
      </c>
      <c r="K11" s="291">
        <f t="shared" ref="K11:K26" si="0">(J11/F11)*100</f>
        <v>16.053080926235399</v>
      </c>
      <c r="L11" s="291">
        <f>(G11/$G$27)*100</f>
        <v>2.5257913633580427</v>
      </c>
      <c r="O11" s="292"/>
      <c r="R11" s="107"/>
      <c r="S11" s="107"/>
      <c r="T11" s="107"/>
      <c r="U11" s="107"/>
    </row>
    <row r="12" spans="1:21" x14ac:dyDescent="0.2">
      <c r="A12" s="283">
        <v>2</v>
      </c>
      <c r="B12" s="293" t="s">
        <v>428</v>
      </c>
      <c r="C12" s="294"/>
      <c r="D12" s="294"/>
      <c r="E12" s="295"/>
      <c r="F12" s="287">
        <f>SUM(SUM(Cronogra!S5:AD5))</f>
        <v>2321581.4499999993</v>
      </c>
      <c r="G12" s="296">
        <f>Cronogra!AE25</f>
        <v>2232796.4700000007</v>
      </c>
      <c r="H12" s="289"/>
      <c r="I12" s="296">
        <v>3012006.97</v>
      </c>
      <c r="J12" s="290">
        <f t="shared" ref="J12:J26" si="1">F12-G12</f>
        <v>88784.979999998584</v>
      </c>
      <c r="K12" s="291">
        <f t="shared" si="0"/>
        <v>3.8243319009978571</v>
      </c>
      <c r="L12" s="291">
        <f t="shared" ref="L12:L26" si="2">(G12/$G$27)*100</f>
        <v>1.6037308687926828</v>
      </c>
      <c r="O12" s="292"/>
      <c r="R12" s="107"/>
      <c r="S12" s="107"/>
      <c r="T12" s="107"/>
      <c r="U12" s="107"/>
    </row>
    <row r="13" spans="1:21" x14ac:dyDescent="0.2">
      <c r="A13" s="283">
        <v>3</v>
      </c>
      <c r="B13" s="293" t="s">
        <v>429</v>
      </c>
      <c r="C13" s="294"/>
      <c r="D13" s="294"/>
      <c r="E13" s="295"/>
      <c r="F13" s="287">
        <f>SUM(SUM(Cronogra!S6:AD6))</f>
        <v>1262392.2999999998</v>
      </c>
      <c r="G13" s="296">
        <f>Cronogra!AE26</f>
        <v>774746.03999999992</v>
      </c>
      <c r="H13" s="289"/>
      <c r="I13" s="296">
        <f>1098716.61</f>
        <v>1098716.6100000001</v>
      </c>
      <c r="J13" s="290">
        <f t="shared" si="1"/>
        <v>487646.25999999989</v>
      </c>
      <c r="K13" s="291">
        <f t="shared" si="0"/>
        <v>38.628741636019164</v>
      </c>
      <c r="L13" s="291">
        <f t="shared" si="2"/>
        <v>0.55646994991123844</v>
      </c>
      <c r="O13" s="292"/>
      <c r="R13" s="107"/>
      <c r="S13" s="107"/>
      <c r="T13" s="107"/>
      <c r="U13" s="107"/>
    </row>
    <row r="14" spans="1:21" x14ac:dyDescent="0.2">
      <c r="A14" s="283">
        <v>4</v>
      </c>
      <c r="B14" s="293" t="s">
        <v>430</v>
      </c>
      <c r="C14" s="294"/>
      <c r="D14" s="294"/>
      <c r="E14" s="295"/>
      <c r="F14" s="287">
        <f>SUM(SUM(Cronogra!S7:AD7))</f>
        <v>1831204.7999999998</v>
      </c>
      <c r="G14" s="296">
        <f>Cronogra!AE27</f>
        <v>1866929.89</v>
      </c>
      <c r="H14" s="289"/>
      <c r="I14" s="296">
        <f>1888603.25</f>
        <v>1888603.25</v>
      </c>
      <c r="J14" s="290">
        <f t="shared" si="1"/>
        <v>-35725.090000000084</v>
      </c>
      <c r="K14" s="291">
        <f t="shared" si="0"/>
        <v>-1.9509063104247044</v>
      </c>
      <c r="L14" s="291">
        <f t="shared" si="2"/>
        <v>1.3409431332828676</v>
      </c>
      <c r="R14" s="107"/>
      <c r="S14" s="107"/>
      <c r="T14" s="107"/>
      <c r="U14" s="107"/>
    </row>
    <row r="15" spans="1:21" x14ac:dyDescent="0.2">
      <c r="A15" s="283">
        <v>5</v>
      </c>
      <c r="B15" s="293" t="s">
        <v>431</v>
      </c>
      <c r="C15" s="294"/>
      <c r="D15" s="294"/>
      <c r="E15" s="295"/>
      <c r="F15" s="287">
        <f>SUM(SUM(Cronogra!S8:AD8))</f>
        <v>7750365.629999998</v>
      </c>
      <c r="G15" s="296">
        <f>Cronogra!AE28</f>
        <v>8550055.0899999999</v>
      </c>
      <c r="H15" s="289"/>
      <c r="I15" s="296">
        <f>8588239</f>
        <v>8588239</v>
      </c>
      <c r="J15" s="290">
        <f t="shared" si="1"/>
        <v>-799689.46000000183</v>
      </c>
      <c r="K15" s="291">
        <f t="shared" si="0"/>
        <v>-10.318086890050399</v>
      </c>
      <c r="L15" s="291">
        <f t="shared" si="2"/>
        <v>6.1411720512577643</v>
      </c>
    </row>
    <row r="16" spans="1:21" x14ac:dyDescent="0.2">
      <c r="A16" s="283">
        <v>6</v>
      </c>
      <c r="B16" s="293" t="s">
        <v>432</v>
      </c>
      <c r="C16" s="294"/>
      <c r="D16" s="294"/>
      <c r="E16" s="295"/>
      <c r="F16" s="287">
        <f>SUM(SUM(Cronogra!S9:AD9))</f>
        <v>3547551.939999999</v>
      </c>
      <c r="G16" s="296">
        <f>Cronogra!AE29</f>
        <v>3425603.05</v>
      </c>
      <c r="H16" s="289">
        <f>116138981.43</f>
        <v>116138981.43000001</v>
      </c>
      <c r="I16" s="296">
        <f>3453406.57</f>
        <v>3453406.57</v>
      </c>
      <c r="J16" s="290">
        <f t="shared" si="1"/>
        <v>121948.8899999992</v>
      </c>
      <c r="K16" s="291">
        <f t="shared" si="0"/>
        <v>3.4375505154689638</v>
      </c>
      <c r="L16" s="291">
        <f t="shared" si="2"/>
        <v>2.4604774458082881</v>
      </c>
      <c r="O16" s="292"/>
      <c r="S16" s="292"/>
      <c r="T16" s="203"/>
      <c r="U16" s="292"/>
    </row>
    <row r="17" spans="1:18" x14ac:dyDescent="0.2">
      <c r="A17" s="283">
        <v>7</v>
      </c>
      <c r="B17" s="293" t="s">
        <v>433</v>
      </c>
      <c r="C17" s="294"/>
      <c r="D17" s="294"/>
      <c r="E17" s="295"/>
      <c r="F17" s="287">
        <f>SUM(SUM(Cronogra!S10:AD10))</f>
        <v>1229036.0799999996</v>
      </c>
      <c r="G17" s="296">
        <f>Cronogra!AE30</f>
        <v>1139193.42</v>
      </c>
      <c r="H17" s="289"/>
      <c r="I17" s="296">
        <f>1349626.92</f>
        <v>1349626.92</v>
      </c>
      <c r="J17" s="290">
        <f t="shared" si="1"/>
        <v>89842.659999999683</v>
      </c>
      <c r="K17" s="291">
        <f t="shared" si="0"/>
        <v>7.3100099713915405</v>
      </c>
      <c r="L17" s="291">
        <f t="shared" si="2"/>
        <v>0.81823832925510975</v>
      </c>
      <c r="O17" s="292"/>
    </row>
    <row r="18" spans="1:18" x14ac:dyDescent="0.2">
      <c r="A18" s="283">
        <v>8</v>
      </c>
      <c r="B18" s="293" t="s">
        <v>434</v>
      </c>
      <c r="C18" s="294"/>
      <c r="D18" s="294"/>
      <c r="E18" s="295"/>
      <c r="F18" s="287">
        <f>SUM(SUM(Cronogra!S11:AD11))</f>
        <v>12475764.299999997</v>
      </c>
      <c r="G18" s="296">
        <f>Cronogra!AE31</f>
        <v>12235712.089999998</v>
      </c>
      <c r="H18" s="289"/>
      <c r="I18" s="296">
        <f>14065820.32</f>
        <v>14065820.32</v>
      </c>
      <c r="J18" s="290">
        <f t="shared" si="1"/>
        <v>240052.20999999903</v>
      </c>
      <c r="K18" s="291">
        <f t="shared" si="0"/>
        <v>1.924148326527771</v>
      </c>
      <c r="L18" s="291">
        <f t="shared" si="2"/>
        <v>8.7884361356021046</v>
      </c>
      <c r="O18" s="292"/>
      <c r="P18" s="297"/>
    </row>
    <row r="19" spans="1:18" x14ac:dyDescent="0.2">
      <c r="A19" s="283">
        <v>9</v>
      </c>
      <c r="B19" s="293" t="s">
        <v>435</v>
      </c>
      <c r="C19" s="294"/>
      <c r="D19" s="294"/>
      <c r="E19" s="295"/>
      <c r="F19" s="287">
        <f>SUM(SUM(Cronogra!S12:AD12))</f>
        <v>38964505.889999993</v>
      </c>
      <c r="G19" s="296">
        <f>Cronogra!AE32</f>
        <v>36646031.68</v>
      </c>
      <c r="H19" s="289"/>
      <c r="I19" s="296">
        <f>45485941.82</f>
        <v>45485941.82</v>
      </c>
      <c r="J19" s="290">
        <f t="shared" si="1"/>
        <v>2318474.2099999934</v>
      </c>
      <c r="K19" s="291">
        <f t="shared" si="0"/>
        <v>5.9502209948337006</v>
      </c>
      <c r="L19" s="291">
        <f>(G19/$G$27)*100</f>
        <v>26.321419356225761</v>
      </c>
      <c r="O19" s="292"/>
    </row>
    <row r="20" spans="1:18" x14ac:dyDescent="0.2">
      <c r="A20" s="283">
        <v>10</v>
      </c>
      <c r="B20" s="293" t="s">
        <v>436</v>
      </c>
      <c r="C20" s="294"/>
      <c r="D20" s="294"/>
      <c r="E20" s="295"/>
      <c r="F20" s="287">
        <f>SUM(SUM(Cronogra!S13:AD13))</f>
        <v>27215844.709999997</v>
      </c>
      <c r="G20" s="296">
        <f>Cronogra!AE33</f>
        <v>29772720.330000002</v>
      </c>
      <c r="H20" s="289"/>
      <c r="I20" s="296">
        <f>32065952.8</f>
        <v>32065952.800000001</v>
      </c>
      <c r="J20" s="290">
        <f t="shared" si="1"/>
        <v>-2556875.6200000048</v>
      </c>
      <c r="K20" s="291">
        <f t="shared" si="0"/>
        <v>-9.394805295389288</v>
      </c>
      <c r="L20" s="291">
        <f>(G20/$G$27)*100</f>
        <v>21.384587123228684</v>
      </c>
    </row>
    <row r="21" spans="1:18" x14ac:dyDescent="0.2">
      <c r="A21" s="283">
        <v>11</v>
      </c>
      <c r="B21" s="293" t="s">
        <v>437</v>
      </c>
      <c r="C21" s="294"/>
      <c r="D21" s="294"/>
      <c r="E21" s="295"/>
      <c r="F21" s="287">
        <f>SUM(SUM(Cronogra!S14:AD14))</f>
        <v>4170062.0099999984</v>
      </c>
      <c r="G21" s="296">
        <f>Cronogra!AE34</f>
        <v>4205167.38</v>
      </c>
      <c r="H21" s="289"/>
      <c r="I21" s="296">
        <f>4946173.37</f>
        <v>4946173.37</v>
      </c>
      <c r="J21" s="290">
        <f t="shared" si="1"/>
        <v>-35105.370000001509</v>
      </c>
      <c r="K21" s="291">
        <f t="shared" si="0"/>
        <v>-0.84184287705595839</v>
      </c>
      <c r="L21" s="291">
        <f t="shared" si="2"/>
        <v>3.0204081860385812</v>
      </c>
    </row>
    <row r="22" spans="1:18" x14ac:dyDescent="0.2">
      <c r="A22" s="283">
        <v>12</v>
      </c>
      <c r="B22" s="293" t="s">
        <v>438</v>
      </c>
      <c r="C22" s="294"/>
      <c r="D22" s="294"/>
      <c r="E22" s="295"/>
      <c r="F22" s="287">
        <f>SUM(SUM(Cronogra!S15:AD15))</f>
        <v>1810655.7499999995</v>
      </c>
      <c r="G22" s="296">
        <f>Cronogra!AE35</f>
        <v>1718842.87</v>
      </c>
      <c r="H22" s="289"/>
      <c r="I22" s="296">
        <f>2420587.04</f>
        <v>2420587.04</v>
      </c>
      <c r="J22" s="290">
        <f t="shared" si="1"/>
        <v>91812.879999999423</v>
      </c>
      <c r="K22" s="291">
        <f t="shared" si="0"/>
        <v>5.0706977292618678</v>
      </c>
      <c r="L22" s="291">
        <f t="shared" si="2"/>
        <v>1.2345779860639101</v>
      </c>
      <c r="O22" s="292"/>
    </row>
    <row r="23" spans="1:18" x14ac:dyDescent="0.2">
      <c r="A23" s="283">
        <v>13</v>
      </c>
      <c r="B23" s="293" t="s">
        <v>439</v>
      </c>
      <c r="C23" s="294"/>
      <c r="D23" s="294"/>
      <c r="E23" s="295"/>
      <c r="F23" s="287">
        <f>SUM(SUM(Cronogra!S16:AD16))</f>
        <v>3009924.3399999994</v>
      </c>
      <c r="G23" s="296">
        <f>Cronogra!AE36</f>
        <v>3217716.4</v>
      </c>
      <c r="H23" s="298"/>
      <c r="I23" s="296">
        <f>3298701.34</f>
        <v>3298701.34</v>
      </c>
      <c r="J23" s="290">
        <f t="shared" si="1"/>
        <v>-207792.06000000052</v>
      </c>
      <c r="K23" s="291">
        <f t="shared" si="0"/>
        <v>-6.9035642271327173</v>
      </c>
      <c r="L23" s="291">
        <f t="shared" si="2"/>
        <v>2.3111605500256194</v>
      </c>
      <c r="O23" s="299"/>
      <c r="P23" s="292"/>
    </row>
    <row r="24" spans="1:18" x14ac:dyDescent="0.2">
      <c r="A24" s="283">
        <v>14</v>
      </c>
      <c r="B24" s="293" t="s">
        <v>440</v>
      </c>
      <c r="C24" s="294"/>
      <c r="D24" s="298"/>
      <c r="E24" s="295"/>
      <c r="F24" s="287">
        <f>SUM(SUM(Cronogra!S17:AD17))</f>
        <v>372483.17999999993</v>
      </c>
      <c r="G24" s="296">
        <f>Cronogra!AE37</f>
        <v>0</v>
      </c>
      <c r="H24" s="298"/>
      <c r="I24" s="296">
        <v>0.18</v>
      </c>
      <c r="J24" s="290">
        <f t="shared" si="1"/>
        <v>372483.17999999993</v>
      </c>
      <c r="K24" s="291">
        <f t="shared" si="0"/>
        <v>100</v>
      </c>
      <c r="L24" s="291">
        <f t="shared" si="2"/>
        <v>0</v>
      </c>
      <c r="O24" s="299"/>
      <c r="P24" s="292"/>
      <c r="R24" s="292"/>
    </row>
    <row r="25" spans="1:18" x14ac:dyDescent="0.2">
      <c r="A25" s="283">
        <v>15</v>
      </c>
      <c r="B25" s="293" t="s">
        <v>441</v>
      </c>
      <c r="C25" s="294"/>
      <c r="D25" s="298"/>
      <c r="E25" s="295"/>
      <c r="F25" s="287">
        <f>SUM(SUM(Cronogra!S18:AD18))</f>
        <v>25810700.559999995</v>
      </c>
      <c r="G25" s="296">
        <f>Cronogra!AE38</f>
        <v>24216286.520000003</v>
      </c>
      <c r="H25" s="199">
        <f>32953972.89</f>
        <v>32953972.890000001</v>
      </c>
      <c r="I25" s="296">
        <f>25810700.56</f>
        <v>25810700.559999999</v>
      </c>
      <c r="J25" s="290">
        <f t="shared" si="1"/>
        <v>1594414.0399999917</v>
      </c>
      <c r="K25" s="291">
        <f t="shared" si="0"/>
        <v>6.1773373267943255</v>
      </c>
      <c r="L25" s="291">
        <f>(G25/$G$27)*100</f>
        <v>17.393616812575903</v>
      </c>
      <c r="O25" s="292"/>
      <c r="P25" s="292"/>
      <c r="R25" s="292"/>
    </row>
    <row r="26" spans="1:18" x14ac:dyDescent="0.2">
      <c r="A26" s="300">
        <v>16</v>
      </c>
      <c r="B26" s="301" t="s">
        <v>442</v>
      </c>
      <c r="C26" s="302"/>
      <c r="D26" s="302"/>
      <c r="E26" s="303"/>
      <c r="F26" s="287">
        <f>SUM(SUM(Cronogra!S19:AD19))</f>
        <v>4416737.3299999982</v>
      </c>
      <c r="G26" s="304">
        <f>Cronogra!AE39</f>
        <v>5706797.5099999998</v>
      </c>
      <c r="H26" s="199">
        <f>4795705.11</f>
        <v>4795705.1100000003</v>
      </c>
      <c r="I26" s="304">
        <f>6318411.33</f>
        <v>6318411.3300000001</v>
      </c>
      <c r="J26" s="290">
        <f t="shared" si="1"/>
        <v>-1290060.1800000016</v>
      </c>
      <c r="K26" s="291">
        <f t="shared" si="0"/>
        <v>-29.208442422814446</v>
      </c>
      <c r="L26" s="291">
        <f t="shared" si="2"/>
        <v>4.0989707085734581</v>
      </c>
      <c r="O26" s="292"/>
    </row>
    <row r="27" spans="1:18" x14ac:dyDescent="0.2">
      <c r="A27" s="706" t="s">
        <v>443</v>
      </c>
      <c r="B27" s="707"/>
      <c r="C27" s="305"/>
      <c r="D27" s="305"/>
      <c r="E27" s="306"/>
      <c r="F27" s="307">
        <f>SUM(F11:F26)</f>
        <v>140377810.26999998</v>
      </c>
      <c r="G27" s="308">
        <f>SUM(G11:G26)</f>
        <v>139225135.17999998</v>
      </c>
      <c r="H27" s="165">
        <f>SUM(H11:H26)</f>
        <v>153888659.43000001</v>
      </c>
      <c r="I27" s="76">
        <f>SUM(I11:I26)</f>
        <v>157679088.08000004</v>
      </c>
      <c r="J27" s="165">
        <f>SUM(J11:J26)</f>
        <v>1152675.089999971</v>
      </c>
      <c r="K27" s="165"/>
      <c r="L27" s="82">
        <f>SUM(L11:L26)</f>
        <v>100.00000000000001</v>
      </c>
      <c r="O27" s="292"/>
    </row>
    <row r="28" spans="1:18" x14ac:dyDescent="0.2">
      <c r="B28" s="135" t="s">
        <v>444</v>
      </c>
      <c r="C28" s="135" t="s">
        <v>445</v>
      </c>
      <c r="I28" s="309">
        <f>157679088.08-I27</f>
        <v>0</v>
      </c>
      <c r="R28" s="292"/>
    </row>
    <row r="29" spans="1:18" s="107" customFormat="1" ht="8.25" x14ac:dyDescent="0.15">
      <c r="F29" s="91"/>
      <c r="G29" s="309">
        <f>G27-Cronogra!AE40</f>
        <v>0</v>
      </c>
      <c r="H29" s="309">
        <f>H27-Cronogra!D53</f>
        <v>0</v>
      </c>
      <c r="J29" s="60"/>
    </row>
    <row r="30" spans="1:18" x14ac:dyDescent="0.2">
      <c r="B30" s="79" t="s">
        <v>446</v>
      </c>
      <c r="C30" s="57" t="s">
        <v>447</v>
      </c>
      <c r="F30" s="199"/>
      <c r="G30" s="310"/>
    </row>
    <row r="31" spans="1:18" ht="14.25" x14ac:dyDescent="0.3">
      <c r="B31" s="311" t="s">
        <v>910</v>
      </c>
      <c r="C31" s="135"/>
      <c r="F31" s="199"/>
      <c r="G31" s="312"/>
    </row>
    <row r="32" spans="1:18" x14ac:dyDescent="0.2">
      <c r="B32" s="313" t="s">
        <v>448</v>
      </c>
      <c r="C32" s="57" t="s">
        <v>449</v>
      </c>
    </row>
    <row r="33" spans="2:15" x14ac:dyDescent="0.2">
      <c r="B33" s="57" t="s">
        <v>450</v>
      </c>
      <c r="M33" s="299"/>
    </row>
    <row r="34" spans="2:15" x14ac:dyDescent="0.2">
      <c r="B34" s="313" t="s">
        <v>451</v>
      </c>
      <c r="C34" s="64" t="str">
        <f>IF(H34&gt;0,"Superávit Orçamentário Consolidado apurado do período","Déficit Orçamentário Consolidado apurado do período")</f>
        <v>Superávit Orçamentário Consolidado apurado do período</v>
      </c>
      <c r="H34" s="314">
        <f>H27-G27</f>
        <v>14663524.25000003</v>
      </c>
      <c r="I34" s="292" t="s">
        <v>452</v>
      </c>
      <c r="M34" s="299"/>
    </row>
    <row r="35" spans="2:15" x14ac:dyDescent="0.2">
      <c r="B35" s="313" t="s">
        <v>453</v>
      </c>
      <c r="C35" s="315" t="str">
        <f>IF(H35&gt;0,"Superávit Orçamentário da Pref. Municipal apurado do período","Déficit Orçamentário da Pref. Municipal apurado do período")</f>
        <v>Superávit Orçamentário da Pref. Municipal apurado do período</v>
      </c>
      <c r="H35" s="297">
        <f>H16-SUM(G11:G24)</f>
        <v>6836930.2800000161</v>
      </c>
      <c r="I35" s="434"/>
      <c r="J35" s="317"/>
      <c r="K35" s="316"/>
      <c r="O35" s="292"/>
    </row>
    <row r="36" spans="2:15" x14ac:dyDescent="0.2">
      <c r="B36" s="313" t="s">
        <v>454</v>
      </c>
      <c r="C36" s="318" t="s">
        <v>909</v>
      </c>
      <c r="D36" s="298"/>
      <c r="E36" s="298"/>
      <c r="F36" s="298"/>
      <c r="G36" s="298"/>
      <c r="H36" s="297"/>
      <c r="J36" s="319">
        <f>Cronogra!J56</f>
        <v>7136871.6799999997</v>
      </c>
      <c r="K36" s="320"/>
    </row>
    <row r="37" spans="2:15" s="135" customFormat="1" ht="11.25" x14ac:dyDescent="0.2">
      <c r="B37" s="313"/>
      <c r="C37" s="141"/>
      <c r="E37" s="203"/>
      <c r="G37" s="203"/>
      <c r="H37" s="203"/>
      <c r="J37" s="266"/>
    </row>
    <row r="38" spans="2:15" s="135" customFormat="1" ht="11.25" x14ac:dyDescent="0.2">
      <c r="B38" s="57"/>
      <c r="G38" s="156"/>
      <c r="H38" s="360"/>
      <c r="I38" s="203"/>
      <c r="J38" s="203"/>
    </row>
    <row r="39" spans="2:15" s="135" customFormat="1" ht="11.25" x14ac:dyDescent="0.2">
      <c r="B39" s="54"/>
      <c r="C39" s="55" t="s">
        <v>99</v>
      </c>
      <c r="D39" s="54"/>
      <c r="E39" s="54"/>
      <c r="F39" s="56" t="s">
        <v>100</v>
      </c>
      <c r="G39" s="56"/>
      <c r="H39" s="156"/>
      <c r="I39" s="55"/>
      <c r="J39" s="58" t="s">
        <v>101</v>
      </c>
      <c r="K39" s="57"/>
    </row>
    <row r="40" spans="2:15" s="135" customFormat="1" ht="11.25" x14ac:dyDescent="0.2">
      <c r="B40" s="54"/>
      <c r="C40" s="55" t="s">
        <v>102</v>
      </c>
      <c r="D40" s="54"/>
      <c r="E40" s="54"/>
      <c r="F40" s="56" t="s">
        <v>103</v>
      </c>
      <c r="G40" s="56"/>
      <c r="H40" s="57"/>
      <c r="I40" s="55"/>
      <c r="J40" s="58" t="s">
        <v>104</v>
      </c>
      <c r="K40" s="57"/>
    </row>
    <row r="41" spans="2:15" x14ac:dyDescent="0.2">
      <c r="B41" s="59"/>
      <c r="C41" s="59"/>
      <c r="D41" s="59"/>
      <c r="E41" s="59"/>
      <c r="F41" s="59"/>
      <c r="G41" s="59"/>
      <c r="H41" s="60"/>
      <c r="I41" s="59"/>
      <c r="J41" s="59"/>
      <c r="K41" s="59"/>
    </row>
    <row r="42" spans="2:15" s="135" customFormat="1" ht="11.25" x14ac:dyDescent="0.2"/>
    <row r="43" spans="2:15" s="135" customFormat="1" ht="11.25" x14ac:dyDescent="0.2"/>
    <row r="44" spans="2:15" s="135" customFormat="1" ht="11.25" x14ac:dyDescent="0.2"/>
    <row r="45" spans="2:15" s="135" customFormat="1" ht="11.25" x14ac:dyDescent="0.2"/>
    <row r="46" spans="2:15" s="135" customFormat="1" ht="11.25" x14ac:dyDescent="0.2"/>
    <row r="47" spans="2:15" s="135" customFormat="1" ht="11.25" x14ac:dyDescent="0.2"/>
    <row r="48" spans="2:15" s="135" customFormat="1" ht="11.25" x14ac:dyDescent="0.2"/>
    <row r="49" s="135" customFormat="1" ht="11.25" x14ac:dyDescent="0.2"/>
    <row r="50" s="135" customFormat="1" ht="11.25" x14ac:dyDescent="0.2"/>
    <row r="51" s="135" customFormat="1" ht="11.25" x14ac:dyDescent="0.2"/>
    <row r="52" s="135" customFormat="1" ht="11.25" x14ac:dyDescent="0.2"/>
    <row r="53" s="135" customFormat="1" ht="11.25" x14ac:dyDescent="0.2"/>
    <row r="54" s="135" customFormat="1" ht="11.25" x14ac:dyDescent="0.2"/>
    <row r="55" s="135" customFormat="1" ht="11.25" x14ac:dyDescent="0.2"/>
    <row r="56" s="135" customFormat="1" ht="11.25" x14ac:dyDescent="0.2"/>
    <row r="57" s="135" customFormat="1" ht="11.25" x14ac:dyDescent="0.2"/>
    <row r="58" s="135" customFormat="1" ht="11.25" x14ac:dyDescent="0.2"/>
    <row r="59" s="135" customFormat="1" ht="11.25" x14ac:dyDescent="0.2"/>
    <row r="60" s="135" customFormat="1" ht="11.25" x14ac:dyDescent="0.2"/>
    <row r="61" s="135" customFormat="1" ht="11.25" x14ac:dyDescent="0.2"/>
    <row r="62" s="135" customFormat="1" ht="11.25" x14ac:dyDescent="0.2"/>
    <row r="63" s="135" customFormat="1" ht="11.25" x14ac:dyDescent="0.2"/>
    <row r="64" s="135" customFormat="1" ht="11.25" x14ac:dyDescent="0.2"/>
    <row r="65" spans="1:9" s="135" customFormat="1" ht="11.25" x14ac:dyDescent="0.2"/>
    <row r="66" spans="1:9" s="135" customFormat="1" ht="11.25" x14ac:dyDescent="0.2"/>
    <row r="67" spans="1:9" s="135" customFormat="1" ht="11.25" x14ac:dyDescent="0.2"/>
    <row r="68" spans="1:9" s="135" customFormat="1" ht="11.25" x14ac:dyDescent="0.2"/>
    <row r="69" spans="1:9" s="135" customFormat="1" ht="11.25" x14ac:dyDescent="0.2"/>
    <row r="70" spans="1:9" s="135" customFormat="1" ht="11.25" x14ac:dyDescent="0.2"/>
    <row r="71" spans="1:9" s="135" customFormat="1" ht="11.25" x14ac:dyDescent="0.2"/>
    <row r="72" spans="1:9" s="135" customFormat="1" ht="11.25" x14ac:dyDescent="0.2"/>
    <row r="73" spans="1:9" s="135" customFormat="1" ht="11.25" x14ac:dyDescent="0.2"/>
    <row r="74" spans="1:9" x14ac:dyDescent="0.2">
      <c r="B74" s="64" t="s">
        <v>455</v>
      </c>
    </row>
    <row r="75" spans="1:9" s="135" customFormat="1" ht="11.25" x14ac:dyDescent="0.2">
      <c r="B75" s="57" t="s">
        <v>456</v>
      </c>
    </row>
    <row r="76" spans="1:9" s="135" customFormat="1" ht="11.25" x14ac:dyDescent="0.2">
      <c r="B76" s="57" t="s">
        <v>457</v>
      </c>
    </row>
    <row r="77" spans="1:9" s="135" customFormat="1" ht="11.25" x14ac:dyDescent="0.2">
      <c r="B77" s="57" t="s">
        <v>458</v>
      </c>
    </row>
    <row r="78" spans="1:9" x14ac:dyDescent="0.2">
      <c r="A78" s="298"/>
      <c r="B78" s="135" t="s">
        <v>872</v>
      </c>
      <c r="I78" s="435">
        <f>Cronogra!AE56/RCL!C5</f>
        <v>1.0951781398260361</v>
      </c>
    </row>
    <row r="82" spans="2:11" x14ac:dyDescent="0.2">
      <c r="B82" s="54"/>
      <c r="C82" s="55" t="s">
        <v>99</v>
      </c>
      <c r="D82" s="54"/>
      <c r="E82" s="54"/>
      <c r="F82" s="56" t="s">
        <v>100</v>
      </c>
      <c r="G82" s="56"/>
      <c r="H82" s="57"/>
      <c r="I82" s="55"/>
      <c r="J82" s="58" t="s">
        <v>101</v>
      </c>
      <c r="K82" s="57"/>
    </row>
    <row r="83" spans="2:11" x14ac:dyDescent="0.2">
      <c r="B83" s="54"/>
      <c r="C83" s="55" t="s">
        <v>102</v>
      </c>
      <c r="D83" s="54"/>
      <c r="E83" s="54"/>
      <c r="F83" s="56" t="s">
        <v>103</v>
      </c>
      <c r="G83" s="56"/>
      <c r="H83" s="57"/>
      <c r="I83" s="55"/>
      <c r="J83" s="58" t="s">
        <v>104</v>
      </c>
      <c r="K83" s="59"/>
    </row>
    <row r="84" spans="2:11" x14ac:dyDescent="0.2">
      <c r="B84" s="59"/>
      <c r="C84" s="59"/>
      <c r="D84" s="59"/>
      <c r="E84" s="59"/>
      <c r="F84" s="59"/>
      <c r="G84" s="59"/>
      <c r="H84" s="60"/>
      <c r="I84" s="59"/>
      <c r="J84" s="59"/>
      <c r="K84" s="59"/>
    </row>
  </sheetData>
  <mergeCells count="3">
    <mergeCell ref="A8:C8"/>
    <mergeCell ref="A9:C9"/>
    <mergeCell ref="A27:B27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0"/>
  <sheetViews>
    <sheetView workbookViewId="0">
      <selection activeCell="L36" sqref="L36"/>
    </sheetView>
  </sheetViews>
  <sheetFormatPr defaultRowHeight="15" x14ac:dyDescent="0.25"/>
  <cols>
    <col min="1" max="1" width="3.5703125" customWidth="1"/>
    <col min="2" max="2" width="7.5703125" customWidth="1"/>
    <col min="3" max="3" width="12" bestFit="1" customWidth="1"/>
    <col min="4" max="4" width="11.85546875" bestFit="1" customWidth="1"/>
    <col min="5" max="5" width="13.140625" style="65" customWidth="1"/>
    <col min="6" max="6" width="12" customWidth="1"/>
    <col min="7" max="7" width="11" customWidth="1"/>
    <col min="8" max="8" width="11.28515625" customWidth="1"/>
    <col min="9" max="9" width="12" customWidth="1"/>
    <col min="10" max="10" width="10.42578125" customWidth="1"/>
    <col min="11" max="11" width="9.5703125" customWidth="1"/>
    <col min="12" max="12" width="10.85546875" customWidth="1"/>
    <col min="13" max="13" width="10.42578125" style="1" customWidth="1"/>
    <col min="14" max="14" width="3.7109375" style="1" bestFit="1" customWidth="1"/>
    <col min="15" max="15" width="10.5703125" style="1" bestFit="1" customWidth="1"/>
    <col min="16" max="17" width="11.42578125" style="1" bestFit="1" customWidth="1"/>
    <col min="18" max="18" width="4.7109375" bestFit="1" customWidth="1"/>
    <col min="20" max="21" width="11.42578125" bestFit="1" customWidth="1"/>
    <col min="22" max="22" width="10.28515625" bestFit="1" customWidth="1"/>
    <col min="23" max="23" width="10.5703125" bestFit="1" customWidth="1"/>
    <col min="24" max="24" width="12.7109375" bestFit="1" customWidth="1"/>
    <col min="258" max="258" width="4.140625" bestFit="1" customWidth="1"/>
    <col min="259" max="259" width="8.42578125" bestFit="1" customWidth="1"/>
    <col min="260" max="260" width="11.7109375" bestFit="1" customWidth="1"/>
    <col min="261" max="262" width="13.7109375" bestFit="1" customWidth="1"/>
    <col min="263" max="263" width="12.5703125" bestFit="1" customWidth="1"/>
    <col min="264" max="264" width="12.85546875" bestFit="1" customWidth="1"/>
    <col min="265" max="265" width="13.85546875" bestFit="1" customWidth="1"/>
    <col min="266" max="267" width="12.85546875" bestFit="1" customWidth="1"/>
    <col min="268" max="268" width="4.7109375" bestFit="1" customWidth="1"/>
    <col min="269" max="270" width="12.85546875" bestFit="1" customWidth="1"/>
    <col min="514" max="514" width="4.140625" bestFit="1" customWidth="1"/>
    <col min="515" max="515" width="8.42578125" bestFit="1" customWidth="1"/>
    <col min="516" max="516" width="11.7109375" bestFit="1" customWidth="1"/>
    <col min="517" max="518" width="13.7109375" bestFit="1" customWidth="1"/>
    <col min="519" max="519" width="12.5703125" bestFit="1" customWidth="1"/>
    <col min="520" max="520" width="12.85546875" bestFit="1" customWidth="1"/>
    <col min="521" max="521" width="13.85546875" bestFit="1" customWidth="1"/>
    <col min="522" max="523" width="12.85546875" bestFit="1" customWidth="1"/>
    <col min="524" max="524" width="4.7109375" bestFit="1" customWidth="1"/>
    <col min="525" max="526" width="12.85546875" bestFit="1" customWidth="1"/>
    <col min="770" max="770" width="4.140625" bestFit="1" customWidth="1"/>
    <col min="771" max="771" width="8.42578125" bestFit="1" customWidth="1"/>
    <col min="772" max="772" width="11.7109375" bestFit="1" customWidth="1"/>
    <col min="773" max="774" width="13.7109375" bestFit="1" customWidth="1"/>
    <col min="775" max="775" width="12.5703125" bestFit="1" customWidth="1"/>
    <col min="776" max="776" width="12.85546875" bestFit="1" customWidth="1"/>
    <col min="777" max="777" width="13.85546875" bestFit="1" customWidth="1"/>
    <col min="778" max="779" width="12.85546875" bestFit="1" customWidth="1"/>
    <col min="780" max="780" width="4.7109375" bestFit="1" customWidth="1"/>
    <col min="781" max="782" width="12.85546875" bestFit="1" customWidth="1"/>
    <col min="1026" max="1026" width="4.140625" bestFit="1" customWidth="1"/>
    <col min="1027" max="1027" width="8.42578125" bestFit="1" customWidth="1"/>
    <col min="1028" max="1028" width="11.7109375" bestFit="1" customWidth="1"/>
    <col min="1029" max="1030" width="13.7109375" bestFit="1" customWidth="1"/>
    <col min="1031" max="1031" width="12.5703125" bestFit="1" customWidth="1"/>
    <col min="1032" max="1032" width="12.85546875" bestFit="1" customWidth="1"/>
    <col min="1033" max="1033" width="13.85546875" bestFit="1" customWidth="1"/>
    <col min="1034" max="1035" width="12.85546875" bestFit="1" customWidth="1"/>
    <col min="1036" max="1036" width="4.7109375" bestFit="1" customWidth="1"/>
    <col min="1037" max="1038" width="12.85546875" bestFit="1" customWidth="1"/>
    <col min="1282" max="1282" width="4.140625" bestFit="1" customWidth="1"/>
    <col min="1283" max="1283" width="8.42578125" bestFit="1" customWidth="1"/>
    <col min="1284" max="1284" width="11.7109375" bestFit="1" customWidth="1"/>
    <col min="1285" max="1286" width="13.7109375" bestFit="1" customWidth="1"/>
    <col min="1287" max="1287" width="12.5703125" bestFit="1" customWidth="1"/>
    <col min="1288" max="1288" width="12.85546875" bestFit="1" customWidth="1"/>
    <col min="1289" max="1289" width="13.85546875" bestFit="1" customWidth="1"/>
    <col min="1290" max="1291" width="12.85546875" bestFit="1" customWidth="1"/>
    <col min="1292" max="1292" width="4.7109375" bestFit="1" customWidth="1"/>
    <col min="1293" max="1294" width="12.85546875" bestFit="1" customWidth="1"/>
    <col min="1538" max="1538" width="4.140625" bestFit="1" customWidth="1"/>
    <col min="1539" max="1539" width="8.42578125" bestFit="1" customWidth="1"/>
    <col min="1540" max="1540" width="11.7109375" bestFit="1" customWidth="1"/>
    <col min="1541" max="1542" width="13.7109375" bestFit="1" customWidth="1"/>
    <col min="1543" max="1543" width="12.5703125" bestFit="1" customWidth="1"/>
    <col min="1544" max="1544" width="12.85546875" bestFit="1" customWidth="1"/>
    <col min="1545" max="1545" width="13.85546875" bestFit="1" customWidth="1"/>
    <col min="1546" max="1547" width="12.85546875" bestFit="1" customWidth="1"/>
    <col min="1548" max="1548" width="4.7109375" bestFit="1" customWidth="1"/>
    <col min="1549" max="1550" width="12.85546875" bestFit="1" customWidth="1"/>
    <col min="1794" max="1794" width="4.140625" bestFit="1" customWidth="1"/>
    <col min="1795" max="1795" width="8.42578125" bestFit="1" customWidth="1"/>
    <col min="1796" max="1796" width="11.7109375" bestFit="1" customWidth="1"/>
    <col min="1797" max="1798" width="13.7109375" bestFit="1" customWidth="1"/>
    <col min="1799" max="1799" width="12.5703125" bestFit="1" customWidth="1"/>
    <col min="1800" max="1800" width="12.85546875" bestFit="1" customWidth="1"/>
    <col min="1801" max="1801" width="13.85546875" bestFit="1" customWidth="1"/>
    <col min="1802" max="1803" width="12.85546875" bestFit="1" customWidth="1"/>
    <col min="1804" max="1804" width="4.7109375" bestFit="1" customWidth="1"/>
    <col min="1805" max="1806" width="12.85546875" bestFit="1" customWidth="1"/>
    <col min="2050" max="2050" width="4.140625" bestFit="1" customWidth="1"/>
    <col min="2051" max="2051" width="8.42578125" bestFit="1" customWidth="1"/>
    <col min="2052" max="2052" width="11.7109375" bestFit="1" customWidth="1"/>
    <col min="2053" max="2054" width="13.7109375" bestFit="1" customWidth="1"/>
    <col min="2055" max="2055" width="12.5703125" bestFit="1" customWidth="1"/>
    <col min="2056" max="2056" width="12.85546875" bestFit="1" customWidth="1"/>
    <col min="2057" max="2057" width="13.85546875" bestFit="1" customWidth="1"/>
    <col min="2058" max="2059" width="12.85546875" bestFit="1" customWidth="1"/>
    <col min="2060" max="2060" width="4.7109375" bestFit="1" customWidth="1"/>
    <col min="2061" max="2062" width="12.85546875" bestFit="1" customWidth="1"/>
    <col min="2306" max="2306" width="4.140625" bestFit="1" customWidth="1"/>
    <col min="2307" max="2307" width="8.42578125" bestFit="1" customWidth="1"/>
    <col min="2308" max="2308" width="11.7109375" bestFit="1" customWidth="1"/>
    <col min="2309" max="2310" width="13.7109375" bestFit="1" customWidth="1"/>
    <col min="2311" max="2311" width="12.5703125" bestFit="1" customWidth="1"/>
    <col min="2312" max="2312" width="12.85546875" bestFit="1" customWidth="1"/>
    <col min="2313" max="2313" width="13.85546875" bestFit="1" customWidth="1"/>
    <col min="2314" max="2315" width="12.85546875" bestFit="1" customWidth="1"/>
    <col min="2316" max="2316" width="4.7109375" bestFit="1" customWidth="1"/>
    <col min="2317" max="2318" width="12.85546875" bestFit="1" customWidth="1"/>
    <col min="2562" max="2562" width="4.140625" bestFit="1" customWidth="1"/>
    <col min="2563" max="2563" width="8.42578125" bestFit="1" customWidth="1"/>
    <col min="2564" max="2564" width="11.7109375" bestFit="1" customWidth="1"/>
    <col min="2565" max="2566" width="13.7109375" bestFit="1" customWidth="1"/>
    <col min="2567" max="2567" width="12.5703125" bestFit="1" customWidth="1"/>
    <col min="2568" max="2568" width="12.85546875" bestFit="1" customWidth="1"/>
    <col min="2569" max="2569" width="13.85546875" bestFit="1" customWidth="1"/>
    <col min="2570" max="2571" width="12.85546875" bestFit="1" customWidth="1"/>
    <col min="2572" max="2572" width="4.7109375" bestFit="1" customWidth="1"/>
    <col min="2573" max="2574" width="12.85546875" bestFit="1" customWidth="1"/>
    <col min="2818" max="2818" width="4.140625" bestFit="1" customWidth="1"/>
    <col min="2819" max="2819" width="8.42578125" bestFit="1" customWidth="1"/>
    <col min="2820" max="2820" width="11.7109375" bestFit="1" customWidth="1"/>
    <col min="2821" max="2822" width="13.7109375" bestFit="1" customWidth="1"/>
    <col min="2823" max="2823" width="12.5703125" bestFit="1" customWidth="1"/>
    <col min="2824" max="2824" width="12.85546875" bestFit="1" customWidth="1"/>
    <col min="2825" max="2825" width="13.85546875" bestFit="1" customWidth="1"/>
    <col min="2826" max="2827" width="12.85546875" bestFit="1" customWidth="1"/>
    <col min="2828" max="2828" width="4.7109375" bestFit="1" customWidth="1"/>
    <col min="2829" max="2830" width="12.85546875" bestFit="1" customWidth="1"/>
    <col min="3074" max="3074" width="4.140625" bestFit="1" customWidth="1"/>
    <col min="3075" max="3075" width="8.42578125" bestFit="1" customWidth="1"/>
    <col min="3076" max="3076" width="11.7109375" bestFit="1" customWidth="1"/>
    <col min="3077" max="3078" width="13.7109375" bestFit="1" customWidth="1"/>
    <col min="3079" max="3079" width="12.5703125" bestFit="1" customWidth="1"/>
    <col min="3080" max="3080" width="12.85546875" bestFit="1" customWidth="1"/>
    <col min="3081" max="3081" width="13.85546875" bestFit="1" customWidth="1"/>
    <col min="3082" max="3083" width="12.85546875" bestFit="1" customWidth="1"/>
    <col min="3084" max="3084" width="4.7109375" bestFit="1" customWidth="1"/>
    <col min="3085" max="3086" width="12.85546875" bestFit="1" customWidth="1"/>
    <col min="3330" max="3330" width="4.140625" bestFit="1" customWidth="1"/>
    <col min="3331" max="3331" width="8.42578125" bestFit="1" customWidth="1"/>
    <col min="3332" max="3332" width="11.7109375" bestFit="1" customWidth="1"/>
    <col min="3333" max="3334" width="13.7109375" bestFit="1" customWidth="1"/>
    <col min="3335" max="3335" width="12.5703125" bestFit="1" customWidth="1"/>
    <col min="3336" max="3336" width="12.85546875" bestFit="1" customWidth="1"/>
    <col min="3337" max="3337" width="13.85546875" bestFit="1" customWidth="1"/>
    <col min="3338" max="3339" width="12.85546875" bestFit="1" customWidth="1"/>
    <col min="3340" max="3340" width="4.7109375" bestFit="1" customWidth="1"/>
    <col min="3341" max="3342" width="12.85546875" bestFit="1" customWidth="1"/>
    <col min="3586" max="3586" width="4.140625" bestFit="1" customWidth="1"/>
    <col min="3587" max="3587" width="8.42578125" bestFit="1" customWidth="1"/>
    <col min="3588" max="3588" width="11.7109375" bestFit="1" customWidth="1"/>
    <col min="3589" max="3590" width="13.7109375" bestFit="1" customWidth="1"/>
    <col min="3591" max="3591" width="12.5703125" bestFit="1" customWidth="1"/>
    <col min="3592" max="3592" width="12.85546875" bestFit="1" customWidth="1"/>
    <col min="3593" max="3593" width="13.85546875" bestFit="1" customWidth="1"/>
    <col min="3594" max="3595" width="12.85546875" bestFit="1" customWidth="1"/>
    <col min="3596" max="3596" width="4.7109375" bestFit="1" customWidth="1"/>
    <col min="3597" max="3598" width="12.85546875" bestFit="1" customWidth="1"/>
    <col min="3842" max="3842" width="4.140625" bestFit="1" customWidth="1"/>
    <col min="3843" max="3843" width="8.42578125" bestFit="1" customWidth="1"/>
    <col min="3844" max="3844" width="11.7109375" bestFit="1" customWidth="1"/>
    <col min="3845" max="3846" width="13.7109375" bestFit="1" customWidth="1"/>
    <col min="3847" max="3847" width="12.5703125" bestFit="1" customWidth="1"/>
    <col min="3848" max="3848" width="12.85546875" bestFit="1" customWidth="1"/>
    <col min="3849" max="3849" width="13.85546875" bestFit="1" customWidth="1"/>
    <col min="3850" max="3851" width="12.85546875" bestFit="1" customWidth="1"/>
    <col min="3852" max="3852" width="4.7109375" bestFit="1" customWidth="1"/>
    <col min="3853" max="3854" width="12.85546875" bestFit="1" customWidth="1"/>
    <col min="4098" max="4098" width="4.140625" bestFit="1" customWidth="1"/>
    <col min="4099" max="4099" width="8.42578125" bestFit="1" customWidth="1"/>
    <col min="4100" max="4100" width="11.7109375" bestFit="1" customWidth="1"/>
    <col min="4101" max="4102" width="13.7109375" bestFit="1" customWidth="1"/>
    <col min="4103" max="4103" width="12.5703125" bestFit="1" customWidth="1"/>
    <col min="4104" max="4104" width="12.85546875" bestFit="1" customWidth="1"/>
    <col min="4105" max="4105" width="13.85546875" bestFit="1" customWidth="1"/>
    <col min="4106" max="4107" width="12.85546875" bestFit="1" customWidth="1"/>
    <col min="4108" max="4108" width="4.7109375" bestFit="1" customWidth="1"/>
    <col min="4109" max="4110" width="12.85546875" bestFit="1" customWidth="1"/>
    <col min="4354" max="4354" width="4.140625" bestFit="1" customWidth="1"/>
    <col min="4355" max="4355" width="8.42578125" bestFit="1" customWidth="1"/>
    <col min="4356" max="4356" width="11.7109375" bestFit="1" customWidth="1"/>
    <col min="4357" max="4358" width="13.7109375" bestFit="1" customWidth="1"/>
    <col min="4359" max="4359" width="12.5703125" bestFit="1" customWidth="1"/>
    <col min="4360" max="4360" width="12.85546875" bestFit="1" customWidth="1"/>
    <col min="4361" max="4361" width="13.85546875" bestFit="1" customWidth="1"/>
    <col min="4362" max="4363" width="12.85546875" bestFit="1" customWidth="1"/>
    <col min="4364" max="4364" width="4.7109375" bestFit="1" customWidth="1"/>
    <col min="4365" max="4366" width="12.85546875" bestFit="1" customWidth="1"/>
    <col min="4610" max="4610" width="4.140625" bestFit="1" customWidth="1"/>
    <col min="4611" max="4611" width="8.42578125" bestFit="1" customWidth="1"/>
    <col min="4612" max="4612" width="11.7109375" bestFit="1" customWidth="1"/>
    <col min="4613" max="4614" width="13.7109375" bestFit="1" customWidth="1"/>
    <col min="4615" max="4615" width="12.5703125" bestFit="1" customWidth="1"/>
    <col min="4616" max="4616" width="12.85546875" bestFit="1" customWidth="1"/>
    <col min="4617" max="4617" width="13.85546875" bestFit="1" customWidth="1"/>
    <col min="4618" max="4619" width="12.85546875" bestFit="1" customWidth="1"/>
    <col min="4620" max="4620" width="4.7109375" bestFit="1" customWidth="1"/>
    <col min="4621" max="4622" width="12.85546875" bestFit="1" customWidth="1"/>
    <col min="4866" max="4866" width="4.140625" bestFit="1" customWidth="1"/>
    <col min="4867" max="4867" width="8.42578125" bestFit="1" customWidth="1"/>
    <col min="4868" max="4868" width="11.7109375" bestFit="1" customWidth="1"/>
    <col min="4869" max="4870" width="13.7109375" bestFit="1" customWidth="1"/>
    <col min="4871" max="4871" width="12.5703125" bestFit="1" customWidth="1"/>
    <col min="4872" max="4872" width="12.85546875" bestFit="1" customWidth="1"/>
    <col min="4873" max="4873" width="13.85546875" bestFit="1" customWidth="1"/>
    <col min="4874" max="4875" width="12.85546875" bestFit="1" customWidth="1"/>
    <col min="4876" max="4876" width="4.7109375" bestFit="1" customWidth="1"/>
    <col min="4877" max="4878" width="12.85546875" bestFit="1" customWidth="1"/>
    <col min="5122" max="5122" width="4.140625" bestFit="1" customWidth="1"/>
    <col min="5123" max="5123" width="8.42578125" bestFit="1" customWidth="1"/>
    <col min="5124" max="5124" width="11.7109375" bestFit="1" customWidth="1"/>
    <col min="5125" max="5126" width="13.7109375" bestFit="1" customWidth="1"/>
    <col min="5127" max="5127" width="12.5703125" bestFit="1" customWidth="1"/>
    <col min="5128" max="5128" width="12.85546875" bestFit="1" customWidth="1"/>
    <col min="5129" max="5129" width="13.85546875" bestFit="1" customWidth="1"/>
    <col min="5130" max="5131" width="12.85546875" bestFit="1" customWidth="1"/>
    <col min="5132" max="5132" width="4.7109375" bestFit="1" customWidth="1"/>
    <col min="5133" max="5134" width="12.85546875" bestFit="1" customWidth="1"/>
    <col min="5378" max="5378" width="4.140625" bestFit="1" customWidth="1"/>
    <col min="5379" max="5379" width="8.42578125" bestFit="1" customWidth="1"/>
    <col min="5380" max="5380" width="11.7109375" bestFit="1" customWidth="1"/>
    <col min="5381" max="5382" width="13.7109375" bestFit="1" customWidth="1"/>
    <col min="5383" max="5383" width="12.5703125" bestFit="1" customWidth="1"/>
    <col min="5384" max="5384" width="12.85546875" bestFit="1" customWidth="1"/>
    <col min="5385" max="5385" width="13.85546875" bestFit="1" customWidth="1"/>
    <col min="5386" max="5387" width="12.85546875" bestFit="1" customWidth="1"/>
    <col min="5388" max="5388" width="4.7109375" bestFit="1" customWidth="1"/>
    <col min="5389" max="5390" width="12.85546875" bestFit="1" customWidth="1"/>
    <col min="5634" max="5634" width="4.140625" bestFit="1" customWidth="1"/>
    <col min="5635" max="5635" width="8.42578125" bestFit="1" customWidth="1"/>
    <col min="5636" max="5636" width="11.7109375" bestFit="1" customWidth="1"/>
    <col min="5637" max="5638" width="13.7109375" bestFit="1" customWidth="1"/>
    <col min="5639" max="5639" width="12.5703125" bestFit="1" customWidth="1"/>
    <col min="5640" max="5640" width="12.85546875" bestFit="1" customWidth="1"/>
    <col min="5641" max="5641" width="13.85546875" bestFit="1" customWidth="1"/>
    <col min="5642" max="5643" width="12.85546875" bestFit="1" customWidth="1"/>
    <col min="5644" max="5644" width="4.7109375" bestFit="1" customWidth="1"/>
    <col min="5645" max="5646" width="12.85546875" bestFit="1" customWidth="1"/>
    <col min="5890" max="5890" width="4.140625" bestFit="1" customWidth="1"/>
    <col min="5891" max="5891" width="8.42578125" bestFit="1" customWidth="1"/>
    <col min="5892" max="5892" width="11.7109375" bestFit="1" customWidth="1"/>
    <col min="5893" max="5894" width="13.7109375" bestFit="1" customWidth="1"/>
    <col min="5895" max="5895" width="12.5703125" bestFit="1" customWidth="1"/>
    <col min="5896" max="5896" width="12.85546875" bestFit="1" customWidth="1"/>
    <col min="5897" max="5897" width="13.85546875" bestFit="1" customWidth="1"/>
    <col min="5898" max="5899" width="12.85546875" bestFit="1" customWidth="1"/>
    <col min="5900" max="5900" width="4.7109375" bestFit="1" customWidth="1"/>
    <col min="5901" max="5902" width="12.85546875" bestFit="1" customWidth="1"/>
    <col min="6146" max="6146" width="4.140625" bestFit="1" customWidth="1"/>
    <col min="6147" max="6147" width="8.42578125" bestFit="1" customWidth="1"/>
    <col min="6148" max="6148" width="11.7109375" bestFit="1" customWidth="1"/>
    <col min="6149" max="6150" width="13.7109375" bestFit="1" customWidth="1"/>
    <col min="6151" max="6151" width="12.5703125" bestFit="1" customWidth="1"/>
    <col min="6152" max="6152" width="12.85546875" bestFit="1" customWidth="1"/>
    <col min="6153" max="6153" width="13.85546875" bestFit="1" customWidth="1"/>
    <col min="6154" max="6155" width="12.85546875" bestFit="1" customWidth="1"/>
    <col min="6156" max="6156" width="4.7109375" bestFit="1" customWidth="1"/>
    <col min="6157" max="6158" width="12.85546875" bestFit="1" customWidth="1"/>
    <col min="6402" max="6402" width="4.140625" bestFit="1" customWidth="1"/>
    <col min="6403" max="6403" width="8.42578125" bestFit="1" customWidth="1"/>
    <col min="6404" max="6404" width="11.7109375" bestFit="1" customWidth="1"/>
    <col min="6405" max="6406" width="13.7109375" bestFit="1" customWidth="1"/>
    <col min="6407" max="6407" width="12.5703125" bestFit="1" customWidth="1"/>
    <col min="6408" max="6408" width="12.85546875" bestFit="1" customWidth="1"/>
    <col min="6409" max="6409" width="13.85546875" bestFit="1" customWidth="1"/>
    <col min="6410" max="6411" width="12.85546875" bestFit="1" customWidth="1"/>
    <col min="6412" max="6412" width="4.7109375" bestFit="1" customWidth="1"/>
    <col min="6413" max="6414" width="12.85546875" bestFit="1" customWidth="1"/>
    <col min="6658" max="6658" width="4.140625" bestFit="1" customWidth="1"/>
    <col min="6659" max="6659" width="8.42578125" bestFit="1" customWidth="1"/>
    <col min="6660" max="6660" width="11.7109375" bestFit="1" customWidth="1"/>
    <col min="6661" max="6662" width="13.7109375" bestFit="1" customWidth="1"/>
    <col min="6663" max="6663" width="12.5703125" bestFit="1" customWidth="1"/>
    <col min="6664" max="6664" width="12.85546875" bestFit="1" customWidth="1"/>
    <col min="6665" max="6665" width="13.85546875" bestFit="1" customWidth="1"/>
    <col min="6666" max="6667" width="12.85546875" bestFit="1" customWidth="1"/>
    <col min="6668" max="6668" width="4.7109375" bestFit="1" customWidth="1"/>
    <col min="6669" max="6670" width="12.85546875" bestFit="1" customWidth="1"/>
    <col min="6914" max="6914" width="4.140625" bestFit="1" customWidth="1"/>
    <col min="6915" max="6915" width="8.42578125" bestFit="1" customWidth="1"/>
    <col min="6916" max="6916" width="11.7109375" bestFit="1" customWidth="1"/>
    <col min="6917" max="6918" width="13.7109375" bestFit="1" customWidth="1"/>
    <col min="6919" max="6919" width="12.5703125" bestFit="1" customWidth="1"/>
    <col min="6920" max="6920" width="12.85546875" bestFit="1" customWidth="1"/>
    <col min="6921" max="6921" width="13.85546875" bestFit="1" customWidth="1"/>
    <col min="6922" max="6923" width="12.85546875" bestFit="1" customWidth="1"/>
    <col min="6924" max="6924" width="4.7109375" bestFit="1" customWidth="1"/>
    <col min="6925" max="6926" width="12.85546875" bestFit="1" customWidth="1"/>
    <col min="7170" max="7170" width="4.140625" bestFit="1" customWidth="1"/>
    <col min="7171" max="7171" width="8.42578125" bestFit="1" customWidth="1"/>
    <col min="7172" max="7172" width="11.7109375" bestFit="1" customWidth="1"/>
    <col min="7173" max="7174" width="13.7109375" bestFit="1" customWidth="1"/>
    <col min="7175" max="7175" width="12.5703125" bestFit="1" customWidth="1"/>
    <col min="7176" max="7176" width="12.85546875" bestFit="1" customWidth="1"/>
    <col min="7177" max="7177" width="13.85546875" bestFit="1" customWidth="1"/>
    <col min="7178" max="7179" width="12.85546875" bestFit="1" customWidth="1"/>
    <col min="7180" max="7180" width="4.7109375" bestFit="1" customWidth="1"/>
    <col min="7181" max="7182" width="12.85546875" bestFit="1" customWidth="1"/>
    <col min="7426" max="7426" width="4.140625" bestFit="1" customWidth="1"/>
    <col min="7427" max="7427" width="8.42578125" bestFit="1" customWidth="1"/>
    <col min="7428" max="7428" width="11.7109375" bestFit="1" customWidth="1"/>
    <col min="7429" max="7430" width="13.7109375" bestFit="1" customWidth="1"/>
    <col min="7431" max="7431" width="12.5703125" bestFit="1" customWidth="1"/>
    <col min="7432" max="7432" width="12.85546875" bestFit="1" customWidth="1"/>
    <col min="7433" max="7433" width="13.85546875" bestFit="1" customWidth="1"/>
    <col min="7434" max="7435" width="12.85546875" bestFit="1" customWidth="1"/>
    <col min="7436" max="7436" width="4.7109375" bestFit="1" customWidth="1"/>
    <col min="7437" max="7438" width="12.85546875" bestFit="1" customWidth="1"/>
    <col min="7682" max="7682" width="4.140625" bestFit="1" customWidth="1"/>
    <col min="7683" max="7683" width="8.42578125" bestFit="1" customWidth="1"/>
    <col min="7684" max="7684" width="11.7109375" bestFit="1" customWidth="1"/>
    <col min="7685" max="7686" width="13.7109375" bestFit="1" customWidth="1"/>
    <col min="7687" max="7687" width="12.5703125" bestFit="1" customWidth="1"/>
    <col min="7688" max="7688" width="12.85546875" bestFit="1" customWidth="1"/>
    <col min="7689" max="7689" width="13.85546875" bestFit="1" customWidth="1"/>
    <col min="7690" max="7691" width="12.85546875" bestFit="1" customWidth="1"/>
    <col min="7692" max="7692" width="4.7109375" bestFit="1" customWidth="1"/>
    <col min="7693" max="7694" width="12.85546875" bestFit="1" customWidth="1"/>
    <col min="7938" max="7938" width="4.140625" bestFit="1" customWidth="1"/>
    <col min="7939" max="7939" width="8.42578125" bestFit="1" customWidth="1"/>
    <col min="7940" max="7940" width="11.7109375" bestFit="1" customWidth="1"/>
    <col min="7941" max="7942" width="13.7109375" bestFit="1" customWidth="1"/>
    <col min="7943" max="7943" width="12.5703125" bestFit="1" customWidth="1"/>
    <col min="7944" max="7944" width="12.85546875" bestFit="1" customWidth="1"/>
    <col min="7945" max="7945" width="13.85546875" bestFit="1" customWidth="1"/>
    <col min="7946" max="7947" width="12.85546875" bestFit="1" customWidth="1"/>
    <col min="7948" max="7948" width="4.7109375" bestFit="1" customWidth="1"/>
    <col min="7949" max="7950" width="12.85546875" bestFit="1" customWidth="1"/>
    <col min="8194" max="8194" width="4.140625" bestFit="1" customWidth="1"/>
    <col min="8195" max="8195" width="8.42578125" bestFit="1" customWidth="1"/>
    <col min="8196" max="8196" width="11.7109375" bestFit="1" customWidth="1"/>
    <col min="8197" max="8198" width="13.7109375" bestFit="1" customWidth="1"/>
    <col min="8199" max="8199" width="12.5703125" bestFit="1" customWidth="1"/>
    <col min="8200" max="8200" width="12.85546875" bestFit="1" customWidth="1"/>
    <col min="8201" max="8201" width="13.85546875" bestFit="1" customWidth="1"/>
    <col min="8202" max="8203" width="12.85546875" bestFit="1" customWidth="1"/>
    <col min="8204" max="8204" width="4.7109375" bestFit="1" customWidth="1"/>
    <col min="8205" max="8206" width="12.85546875" bestFit="1" customWidth="1"/>
    <col min="8450" max="8450" width="4.140625" bestFit="1" customWidth="1"/>
    <col min="8451" max="8451" width="8.42578125" bestFit="1" customWidth="1"/>
    <col min="8452" max="8452" width="11.7109375" bestFit="1" customWidth="1"/>
    <col min="8453" max="8454" width="13.7109375" bestFit="1" customWidth="1"/>
    <col min="8455" max="8455" width="12.5703125" bestFit="1" customWidth="1"/>
    <col min="8456" max="8456" width="12.85546875" bestFit="1" customWidth="1"/>
    <col min="8457" max="8457" width="13.85546875" bestFit="1" customWidth="1"/>
    <col min="8458" max="8459" width="12.85546875" bestFit="1" customWidth="1"/>
    <col min="8460" max="8460" width="4.7109375" bestFit="1" customWidth="1"/>
    <col min="8461" max="8462" width="12.85546875" bestFit="1" customWidth="1"/>
    <col min="8706" max="8706" width="4.140625" bestFit="1" customWidth="1"/>
    <col min="8707" max="8707" width="8.42578125" bestFit="1" customWidth="1"/>
    <col min="8708" max="8708" width="11.7109375" bestFit="1" customWidth="1"/>
    <col min="8709" max="8710" width="13.7109375" bestFit="1" customWidth="1"/>
    <col min="8711" max="8711" width="12.5703125" bestFit="1" customWidth="1"/>
    <col min="8712" max="8712" width="12.85546875" bestFit="1" customWidth="1"/>
    <col min="8713" max="8713" width="13.85546875" bestFit="1" customWidth="1"/>
    <col min="8714" max="8715" width="12.85546875" bestFit="1" customWidth="1"/>
    <col min="8716" max="8716" width="4.7109375" bestFit="1" customWidth="1"/>
    <col min="8717" max="8718" width="12.85546875" bestFit="1" customWidth="1"/>
    <col min="8962" max="8962" width="4.140625" bestFit="1" customWidth="1"/>
    <col min="8963" max="8963" width="8.42578125" bestFit="1" customWidth="1"/>
    <col min="8964" max="8964" width="11.7109375" bestFit="1" customWidth="1"/>
    <col min="8965" max="8966" width="13.7109375" bestFit="1" customWidth="1"/>
    <col min="8967" max="8967" width="12.5703125" bestFit="1" customWidth="1"/>
    <col min="8968" max="8968" width="12.85546875" bestFit="1" customWidth="1"/>
    <col min="8969" max="8969" width="13.85546875" bestFit="1" customWidth="1"/>
    <col min="8970" max="8971" width="12.85546875" bestFit="1" customWidth="1"/>
    <col min="8972" max="8972" width="4.7109375" bestFit="1" customWidth="1"/>
    <col min="8973" max="8974" width="12.85546875" bestFit="1" customWidth="1"/>
    <col min="9218" max="9218" width="4.140625" bestFit="1" customWidth="1"/>
    <col min="9219" max="9219" width="8.42578125" bestFit="1" customWidth="1"/>
    <col min="9220" max="9220" width="11.7109375" bestFit="1" customWidth="1"/>
    <col min="9221" max="9222" width="13.7109375" bestFit="1" customWidth="1"/>
    <col min="9223" max="9223" width="12.5703125" bestFit="1" customWidth="1"/>
    <col min="9224" max="9224" width="12.85546875" bestFit="1" customWidth="1"/>
    <col min="9225" max="9225" width="13.85546875" bestFit="1" customWidth="1"/>
    <col min="9226" max="9227" width="12.85546875" bestFit="1" customWidth="1"/>
    <col min="9228" max="9228" width="4.7109375" bestFit="1" customWidth="1"/>
    <col min="9229" max="9230" width="12.85546875" bestFit="1" customWidth="1"/>
    <col min="9474" max="9474" width="4.140625" bestFit="1" customWidth="1"/>
    <col min="9475" max="9475" width="8.42578125" bestFit="1" customWidth="1"/>
    <col min="9476" max="9476" width="11.7109375" bestFit="1" customWidth="1"/>
    <col min="9477" max="9478" width="13.7109375" bestFit="1" customWidth="1"/>
    <col min="9479" max="9479" width="12.5703125" bestFit="1" customWidth="1"/>
    <col min="9480" max="9480" width="12.85546875" bestFit="1" customWidth="1"/>
    <col min="9481" max="9481" width="13.85546875" bestFit="1" customWidth="1"/>
    <col min="9482" max="9483" width="12.85546875" bestFit="1" customWidth="1"/>
    <col min="9484" max="9484" width="4.7109375" bestFit="1" customWidth="1"/>
    <col min="9485" max="9486" width="12.85546875" bestFit="1" customWidth="1"/>
    <col min="9730" max="9730" width="4.140625" bestFit="1" customWidth="1"/>
    <col min="9731" max="9731" width="8.42578125" bestFit="1" customWidth="1"/>
    <col min="9732" max="9732" width="11.7109375" bestFit="1" customWidth="1"/>
    <col min="9733" max="9734" width="13.7109375" bestFit="1" customWidth="1"/>
    <col min="9735" max="9735" width="12.5703125" bestFit="1" customWidth="1"/>
    <col min="9736" max="9736" width="12.85546875" bestFit="1" customWidth="1"/>
    <col min="9737" max="9737" width="13.85546875" bestFit="1" customWidth="1"/>
    <col min="9738" max="9739" width="12.85546875" bestFit="1" customWidth="1"/>
    <col min="9740" max="9740" width="4.7109375" bestFit="1" customWidth="1"/>
    <col min="9741" max="9742" width="12.85546875" bestFit="1" customWidth="1"/>
    <col min="9986" max="9986" width="4.140625" bestFit="1" customWidth="1"/>
    <col min="9987" max="9987" width="8.42578125" bestFit="1" customWidth="1"/>
    <col min="9988" max="9988" width="11.7109375" bestFit="1" customWidth="1"/>
    <col min="9989" max="9990" width="13.7109375" bestFit="1" customWidth="1"/>
    <col min="9991" max="9991" width="12.5703125" bestFit="1" customWidth="1"/>
    <col min="9992" max="9992" width="12.85546875" bestFit="1" customWidth="1"/>
    <col min="9993" max="9993" width="13.85546875" bestFit="1" customWidth="1"/>
    <col min="9994" max="9995" width="12.85546875" bestFit="1" customWidth="1"/>
    <col min="9996" max="9996" width="4.7109375" bestFit="1" customWidth="1"/>
    <col min="9997" max="9998" width="12.85546875" bestFit="1" customWidth="1"/>
    <col min="10242" max="10242" width="4.140625" bestFit="1" customWidth="1"/>
    <col min="10243" max="10243" width="8.42578125" bestFit="1" customWidth="1"/>
    <col min="10244" max="10244" width="11.7109375" bestFit="1" customWidth="1"/>
    <col min="10245" max="10246" width="13.7109375" bestFit="1" customWidth="1"/>
    <col min="10247" max="10247" width="12.5703125" bestFit="1" customWidth="1"/>
    <col min="10248" max="10248" width="12.85546875" bestFit="1" customWidth="1"/>
    <col min="10249" max="10249" width="13.85546875" bestFit="1" customWidth="1"/>
    <col min="10250" max="10251" width="12.85546875" bestFit="1" customWidth="1"/>
    <col min="10252" max="10252" width="4.7109375" bestFit="1" customWidth="1"/>
    <col min="10253" max="10254" width="12.85546875" bestFit="1" customWidth="1"/>
    <col min="10498" max="10498" width="4.140625" bestFit="1" customWidth="1"/>
    <col min="10499" max="10499" width="8.42578125" bestFit="1" customWidth="1"/>
    <col min="10500" max="10500" width="11.7109375" bestFit="1" customWidth="1"/>
    <col min="10501" max="10502" width="13.7109375" bestFit="1" customWidth="1"/>
    <col min="10503" max="10503" width="12.5703125" bestFit="1" customWidth="1"/>
    <col min="10504" max="10504" width="12.85546875" bestFit="1" customWidth="1"/>
    <col min="10505" max="10505" width="13.85546875" bestFit="1" customWidth="1"/>
    <col min="10506" max="10507" width="12.85546875" bestFit="1" customWidth="1"/>
    <col min="10508" max="10508" width="4.7109375" bestFit="1" customWidth="1"/>
    <col min="10509" max="10510" width="12.85546875" bestFit="1" customWidth="1"/>
    <col min="10754" max="10754" width="4.140625" bestFit="1" customWidth="1"/>
    <col min="10755" max="10755" width="8.42578125" bestFit="1" customWidth="1"/>
    <col min="10756" max="10756" width="11.7109375" bestFit="1" customWidth="1"/>
    <col min="10757" max="10758" width="13.7109375" bestFit="1" customWidth="1"/>
    <col min="10759" max="10759" width="12.5703125" bestFit="1" customWidth="1"/>
    <col min="10760" max="10760" width="12.85546875" bestFit="1" customWidth="1"/>
    <col min="10761" max="10761" width="13.85546875" bestFit="1" customWidth="1"/>
    <col min="10762" max="10763" width="12.85546875" bestFit="1" customWidth="1"/>
    <col min="10764" max="10764" width="4.7109375" bestFit="1" customWidth="1"/>
    <col min="10765" max="10766" width="12.85546875" bestFit="1" customWidth="1"/>
    <col min="11010" max="11010" width="4.140625" bestFit="1" customWidth="1"/>
    <col min="11011" max="11011" width="8.42578125" bestFit="1" customWidth="1"/>
    <col min="11012" max="11012" width="11.7109375" bestFit="1" customWidth="1"/>
    <col min="11013" max="11014" width="13.7109375" bestFit="1" customWidth="1"/>
    <col min="11015" max="11015" width="12.5703125" bestFit="1" customWidth="1"/>
    <col min="11016" max="11016" width="12.85546875" bestFit="1" customWidth="1"/>
    <col min="11017" max="11017" width="13.85546875" bestFit="1" customWidth="1"/>
    <col min="11018" max="11019" width="12.85546875" bestFit="1" customWidth="1"/>
    <col min="11020" max="11020" width="4.7109375" bestFit="1" customWidth="1"/>
    <col min="11021" max="11022" width="12.85546875" bestFit="1" customWidth="1"/>
    <col min="11266" max="11266" width="4.140625" bestFit="1" customWidth="1"/>
    <col min="11267" max="11267" width="8.42578125" bestFit="1" customWidth="1"/>
    <col min="11268" max="11268" width="11.7109375" bestFit="1" customWidth="1"/>
    <col min="11269" max="11270" width="13.7109375" bestFit="1" customWidth="1"/>
    <col min="11271" max="11271" width="12.5703125" bestFit="1" customWidth="1"/>
    <col min="11272" max="11272" width="12.85546875" bestFit="1" customWidth="1"/>
    <col min="11273" max="11273" width="13.85546875" bestFit="1" customWidth="1"/>
    <col min="11274" max="11275" width="12.85546875" bestFit="1" customWidth="1"/>
    <col min="11276" max="11276" width="4.7109375" bestFit="1" customWidth="1"/>
    <col min="11277" max="11278" width="12.85546875" bestFit="1" customWidth="1"/>
    <col min="11522" max="11522" width="4.140625" bestFit="1" customWidth="1"/>
    <col min="11523" max="11523" width="8.42578125" bestFit="1" customWidth="1"/>
    <col min="11524" max="11524" width="11.7109375" bestFit="1" customWidth="1"/>
    <col min="11525" max="11526" width="13.7109375" bestFit="1" customWidth="1"/>
    <col min="11527" max="11527" width="12.5703125" bestFit="1" customWidth="1"/>
    <col min="11528" max="11528" width="12.85546875" bestFit="1" customWidth="1"/>
    <col min="11529" max="11529" width="13.85546875" bestFit="1" customWidth="1"/>
    <col min="11530" max="11531" width="12.85546875" bestFit="1" customWidth="1"/>
    <col min="11532" max="11532" width="4.7109375" bestFit="1" customWidth="1"/>
    <col min="11533" max="11534" width="12.85546875" bestFit="1" customWidth="1"/>
    <col min="11778" max="11778" width="4.140625" bestFit="1" customWidth="1"/>
    <col min="11779" max="11779" width="8.42578125" bestFit="1" customWidth="1"/>
    <col min="11780" max="11780" width="11.7109375" bestFit="1" customWidth="1"/>
    <col min="11781" max="11782" width="13.7109375" bestFit="1" customWidth="1"/>
    <col min="11783" max="11783" width="12.5703125" bestFit="1" customWidth="1"/>
    <col min="11784" max="11784" width="12.85546875" bestFit="1" customWidth="1"/>
    <col min="11785" max="11785" width="13.85546875" bestFit="1" customWidth="1"/>
    <col min="11786" max="11787" width="12.85546875" bestFit="1" customWidth="1"/>
    <col min="11788" max="11788" width="4.7109375" bestFit="1" customWidth="1"/>
    <col min="11789" max="11790" width="12.85546875" bestFit="1" customWidth="1"/>
    <col min="12034" max="12034" width="4.140625" bestFit="1" customWidth="1"/>
    <col min="12035" max="12035" width="8.42578125" bestFit="1" customWidth="1"/>
    <col min="12036" max="12036" width="11.7109375" bestFit="1" customWidth="1"/>
    <col min="12037" max="12038" width="13.7109375" bestFit="1" customWidth="1"/>
    <col min="12039" max="12039" width="12.5703125" bestFit="1" customWidth="1"/>
    <col min="12040" max="12040" width="12.85546875" bestFit="1" customWidth="1"/>
    <col min="12041" max="12041" width="13.85546875" bestFit="1" customWidth="1"/>
    <col min="12042" max="12043" width="12.85546875" bestFit="1" customWidth="1"/>
    <col min="12044" max="12044" width="4.7109375" bestFit="1" customWidth="1"/>
    <col min="12045" max="12046" width="12.85546875" bestFit="1" customWidth="1"/>
    <col min="12290" max="12290" width="4.140625" bestFit="1" customWidth="1"/>
    <col min="12291" max="12291" width="8.42578125" bestFit="1" customWidth="1"/>
    <col min="12292" max="12292" width="11.7109375" bestFit="1" customWidth="1"/>
    <col min="12293" max="12294" width="13.7109375" bestFit="1" customWidth="1"/>
    <col min="12295" max="12295" width="12.5703125" bestFit="1" customWidth="1"/>
    <col min="12296" max="12296" width="12.85546875" bestFit="1" customWidth="1"/>
    <col min="12297" max="12297" width="13.85546875" bestFit="1" customWidth="1"/>
    <col min="12298" max="12299" width="12.85546875" bestFit="1" customWidth="1"/>
    <col min="12300" max="12300" width="4.7109375" bestFit="1" customWidth="1"/>
    <col min="12301" max="12302" width="12.85546875" bestFit="1" customWidth="1"/>
    <col min="12546" max="12546" width="4.140625" bestFit="1" customWidth="1"/>
    <col min="12547" max="12547" width="8.42578125" bestFit="1" customWidth="1"/>
    <col min="12548" max="12548" width="11.7109375" bestFit="1" customWidth="1"/>
    <col min="12549" max="12550" width="13.7109375" bestFit="1" customWidth="1"/>
    <col min="12551" max="12551" width="12.5703125" bestFit="1" customWidth="1"/>
    <col min="12552" max="12552" width="12.85546875" bestFit="1" customWidth="1"/>
    <col min="12553" max="12553" width="13.85546875" bestFit="1" customWidth="1"/>
    <col min="12554" max="12555" width="12.85546875" bestFit="1" customWidth="1"/>
    <col min="12556" max="12556" width="4.7109375" bestFit="1" customWidth="1"/>
    <col min="12557" max="12558" width="12.85546875" bestFit="1" customWidth="1"/>
    <col min="12802" max="12802" width="4.140625" bestFit="1" customWidth="1"/>
    <col min="12803" max="12803" width="8.42578125" bestFit="1" customWidth="1"/>
    <col min="12804" max="12804" width="11.7109375" bestFit="1" customWidth="1"/>
    <col min="12805" max="12806" width="13.7109375" bestFit="1" customWidth="1"/>
    <col min="12807" max="12807" width="12.5703125" bestFit="1" customWidth="1"/>
    <col min="12808" max="12808" width="12.85546875" bestFit="1" customWidth="1"/>
    <col min="12809" max="12809" width="13.85546875" bestFit="1" customWidth="1"/>
    <col min="12810" max="12811" width="12.85546875" bestFit="1" customWidth="1"/>
    <col min="12812" max="12812" width="4.7109375" bestFit="1" customWidth="1"/>
    <col min="12813" max="12814" width="12.85546875" bestFit="1" customWidth="1"/>
    <col min="13058" max="13058" width="4.140625" bestFit="1" customWidth="1"/>
    <col min="13059" max="13059" width="8.42578125" bestFit="1" customWidth="1"/>
    <col min="13060" max="13060" width="11.7109375" bestFit="1" customWidth="1"/>
    <col min="13061" max="13062" width="13.7109375" bestFit="1" customWidth="1"/>
    <col min="13063" max="13063" width="12.5703125" bestFit="1" customWidth="1"/>
    <col min="13064" max="13064" width="12.85546875" bestFit="1" customWidth="1"/>
    <col min="13065" max="13065" width="13.85546875" bestFit="1" customWidth="1"/>
    <col min="13066" max="13067" width="12.85546875" bestFit="1" customWidth="1"/>
    <col min="13068" max="13068" width="4.7109375" bestFit="1" customWidth="1"/>
    <col min="13069" max="13070" width="12.85546875" bestFit="1" customWidth="1"/>
    <col min="13314" max="13314" width="4.140625" bestFit="1" customWidth="1"/>
    <col min="13315" max="13315" width="8.42578125" bestFit="1" customWidth="1"/>
    <col min="13316" max="13316" width="11.7109375" bestFit="1" customWidth="1"/>
    <col min="13317" max="13318" width="13.7109375" bestFit="1" customWidth="1"/>
    <col min="13319" max="13319" width="12.5703125" bestFit="1" customWidth="1"/>
    <col min="13320" max="13320" width="12.85546875" bestFit="1" customWidth="1"/>
    <col min="13321" max="13321" width="13.85546875" bestFit="1" customWidth="1"/>
    <col min="13322" max="13323" width="12.85546875" bestFit="1" customWidth="1"/>
    <col min="13324" max="13324" width="4.7109375" bestFit="1" customWidth="1"/>
    <col min="13325" max="13326" width="12.85546875" bestFit="1" customWidth="1"/>
    <col min="13570" max="13570" width="4.140625" bestFit="1" customWidth="1"/>
    <col min="13571" max="13571" width="8.42578125" bestFit="1" customWidth="1"/>
    <col min="13572" max="13572" width="11.7109375" bestFit="1" customWidth="1"/>
    <col min="13573" max="13574" width="13.7109375" bestFit="1" customWidth="1"/>
    <col min="13575" max="13575" width="12.5703125" bestFit="1" customWidth="1"/>
    <col min="13576" max="13576" width="12.85546875" bestFit="1" customWidth="1"/>
    <col min="13577" max="13577" width="13.85546875" bestFit="1" customWidth="1"/>
    <col min="13578" max="13579" width="12.85546875" bestFit="1" customWidth="1"/>
    <col min="13580" max="13580" width="4.7109375" bestFit="1" customWidth="1"/>
    <col min="13581" max="13582" width="12.85546875" bestFit="1" customWidth="1"/>
    <col min="13826" max="13826" width="4.140625" bestFit="1" customWidth="1"/>
    <col min="13827" max="13827" width="8.42578125" bestFit="1" customWidth="1"/>
    <col min="13828" max="13828" width="11.7109375" bestFit="1" customWidth="1"/>
    <col min="13829" max="13830" width="13.7109375" bestFit="1" customWidth="1"/>
    <col min="13831" max="13831" width="12.5703125" bestFit="1" customWidth="1"/>
    <col min="13832" max="13832" width="12.85546875" bestFit="1" customWidth="1"/>
    <col min="13833" max="13833" width="13.85546875" bestFit="1" customWidth="1"/>
    <col min="13834" max="13835" width="12.85546875" bestFit="1" customWidth="1"/>
    <col min="13836" max="13836" width="4.7109375" bestFit="1" customWidth="1"/>
    <col min="13837" max="13838" width="12.85546875" bestFit="1" customWidth="1"/>
    <col min="14082" max="14082" width="4.140625" bestFit="1" customWidth="1"/>
    <col min="14083" max="14083" width="8.42578125" bestFit="1" customWidth="1"/>
    <col min="14084" max="14084" width="11.7109375" bestFit="1" customWidth="1"/>
    <col min="14085" max="14086" width="13.7109375" bestFit="1" customWidth="1"/>
    <col min="14087" max="14087" width="12.5703125" bestFit="1" customWidth="1"/>
    <col min="14088" max="14088" width="12.85546875" bestFit="1" customWidth="1"/>
    <col min="14089" max="14089" width="13.85546875" bestFit="1" customWidth="1"/>
    <col min="14090" max="14091" width="12.85546875" bestFit="1" customWidth="1"/>
    <col min="14092" max="14092" width="4.7109375" bestFit="1" customWidth="1"/>
    <col min="14093" max="14094" width="12.85546875" bestFit="1" customWidth="1"/>
    <col min="14338" max="14338" width="4.140625" bestFit="1" customWidth="1"/>
    <col min="14339" max="14339" width="8.42578125" bestFit="1" customWidth="1"/>
    <col min="14340" max="14340" width="11.7109375" bestFit="1" customWidth="1"/>
    <col min="14341" max="14342" width="13.7109375" bestFit="1" customWidth="1"/>
    <col min="14343" max="14343" width="12.5703125" bestFit="1" customWidth="1"/>
    <col min="14344" max="14344" width="12.85546875" bestFit="1" customWidth="1"/>
    <col min="14345" max="14345" width="13.85546875" bestFit="1" customWidth="1"/>
    <col min="14346" max="14347" width="12.85546875" bestFit="1" customWidth="1"/>
    <col min="14348" max="14348" width="4.7109375" bestFit="1" customWidth="1"/>
    <col min="14349" max="14350" width="12.85546875" bestFit="1" customWidth="1"/>
    <col min="14594" max="14594" width="4.140625" bestFit="1" customWidth="1"/>
    <col min="14595" max="14595" width="8.42578125" bestFit="1" customWidth="1"/>
    <col min="14596" max="14596" width="11.7109375" bestFit="1" customWidth="1"/>
    <col min="14597" max="14598" width="13.7109375" bestFit="1" customWidth="1"/>
    <col min="14599" max="14599" width="12.5703125" bestFit="1" customWidth="1"/>
    <col min="14600" max="14600" width="12.85546875" bestFit="1" customWidth="1"/>
    <col min="14601" max="14601" width="13.85546875" bestFit="1" customWidth="1"/>
    <col min="14602" max="14603" width="12.85546875" bestFit="1" customWidth="1"/>
    <col min="14604" max="14604" width="4.7109375" bestFit="1" customWidth="1"/>
    <col min="14605" max="14606" width="12.85546875" bestFit="1" customWidth="1"/>
    <col min="14850" max="14850" width="4.140625" bestFit="1" customWidth="1"/>
    <col min="14851" max="14851" width="8.42578125" bestFit="1" customWidth="1"/>
    <col min="14852" max="14852" width="11.7109375" bestFit="1" customWidth="1"/>
    <col min="14853" max="14854" width="13.7109375" bestFit="1" customWidth="1"/>
    <col min="14855" max="14855" width="12.5703125" bestFit="1" customWidth="1"/>
    <col min="14856" max="14856" width="12.85546875" bestFit="1" customWidth="1"/>
    <col min="14857" max="14857" width="13.85546875" bestFit="1" customWidth="1"/>
    <col min="14858" max="14859" width="12.85546875" bestFit="1" customWidth="1"/>
    <col min="14860" max="14860" width="4.7109375" bestFit="1" customWidth="1"/>
    <col min="14861" max="14862" width="12.85546875" bestFit="1" customWidth="1"/>
    <col min="15106" max="15106" width="4.140625" bestFit="1" customWidth="1"/>
    <col min="15107" max="15107" width="8.42578125" bestFit="1" customWidth="1"/>
    <col min="15108" max="15108" width="11.7109375" bestFit="1" customWidth="1"/>
    <col min="15109" max="15110" width="13.7109375" bestFit="1" customWidth="1"/>
    <col min="15111" max="15111" width="12.5703125" bestFit="1" customWidth="1"/>
    <col min="15112" max="15112" width="12.85546875" bestFit="1" customWidth="1"/>
    <col min="15113" max="15113" width="13.85546875" bestFit="1" customWidth="1"/>
    <col min="15114" max="15115" width="12.85546875" bestFit="1" customWidth="1"/>
    <col min="15116" max="15116" width="4.7109375" bestFit="1" customWidth="1"/>
    <col min="15117" max="15118" width="12.85546875" bestFit="1" customWidth="1"/>
    <col min="15362" max="15362" width="4.140625" bestFit="1" customWidth="1"/>
    <col min="15363" max="15363" width="8.42578125" bestFit="1" customWidth="1"/>
    <col min="15364" max="15364" width="11.7109375" bestFit="1" customWidth="1"/>
    <col min="15365" max="15366" width="13.7109375" bestFit="1" customWidth="1"/>
    <col min="15367" max="15367" width="12.5703125" bestFit="1" customWidth="1"/>
    <col min="15368" max="15368" width="12.85546875" bestFit="1" customWidth="1"/>
    <col min="15369" max="15369" width="13.85546875" bestFit="1" customWidth="1"/>
    <col min="15370" max="15371" width="12.85546875" bestFit="1" customWidth="1"/>
    <col min="15372" max="15372" width="4.7109375" bestFit="1" customWidth="1"/>
    <col min="15373" max="15374" width="12.85546875" bestFit="1" customWidth="1"/>
    <col min="15618" max="15618" width="4.140625" bestFit="1" customWidth="1"/>
    <col min="15619" max="15619" width="8.42578125" bestFit="1" customWidth="1"/>
    <col min="15620" max="15620" width="11.7109375" bestFit="1" customWidth="1"/>
    <col min="15621" max="15622" width="13.7109375" bestFit="1" customWidth="1"/>
    <col min="15623" max="15623" width="12.5703125" bestFit="1" customWidth="1"/>
    <col min="15624" max="15624" width="12.85546875" bestFit="1" customWidth="1"/>
    <col min="15625" max="15625" width="13.85546875" bestFit="1" customWidth="1"/>
    <col min="15626" max="15627" width="12.85546875" bestFit="1" customWidth="1"/>
    <col min="15628" max="15628" width="4.7109375" bestFit="1" customWidth="1"/>
    <col min="15629" max="15630" width="12.85546875" bestFit="1" customWidth="1"/>
    <col min="15874" max="15874" width="4.140625" bestFit="1" customWidth="1"/>
    <col min="15875" max="15875" width="8.42578125" bestFit="1" customWidth="1"/>
    <col min="15876" max="15876" width="11.7109375" bestFit="1" customWidth="1"/>
    <col min="15877" max="15878" width="13.7109375" bestFit="1" customWidth="1"/>
    <col min="15879" max="15879" width="12.5703125" bestFit="1" customWidth="1"/>
    <col min="15880" max="15880" width="12.85546875" bestFit="1" customWidth="1"/>
    <col min="15881" max="15881" width="13.85546875" bestFit="1" customWidth="1"/>
    <col min="15882" max="15883" width="12.85546875" bestFit="1" customWidth="1"/>
    <col min="15884" max="15884" width="4.7109375" bestFit="1" customWidth="1"/>
    <col min="15885" max="15886" width="12.85546875" bestFit="1" customWidth="1"/>
    <col min="16130" max="16130" width="4.140625" bestFit="1" customWidth="1"/>
    <col min="16131" max="16131" width="8.42578125" bestFit="1" customWidth="1"/>
    <col min="16132" max="16132" width="11.7109375" bestFit="1" customWidth="1"/>
    <col min="16133" max="16134" width="13.7109375" bestFit="1" customWidth="1"/>
    <col min="16135" max="16135" width="12.5703125" bestFit="1" customWidth="1"/>
    <col min="16136" max="16136" width="12.85546875" bestFit="1" customWidth="1"/>
    <col min="16137" max="16137" width="13.85546875" bestFit="1" customWidth="1"/>
    <col min="16138" max="16139" width="12.85546875" bestFit="1" customWidth="1"/>
    <col min="16140" max="16140" width="4.7109375" bestFit="1" customWidth="1"/>
    <col min="16141" max="16142" width="12.85546875" bestFit="1" customWidth="1"/>
  </cols>
  <sheetData>
    <row r="1" spans="1:24" x14ac:dyDescent="0.25">
      <c r="B1" s="64" t="s">
        <v>1012</v>
      </c>
      <c r="R1" s="1"/>
      <c r="S1" s="1"/>
      <c r="T1" s="1"/>
      <c r="U1" s="1"/>
      <c r="V1" s="1"/>
      <c r="W1" s="1"/>
      <c r="X1" s="1"/>
    </row>
    <row r="2" spans="1:24" s="67" customFormat="1" ht="11.25" x14ac:dyDescent="0.2">
      <c r="H2" s="708" t="s">
        <v>692</v>
      </c>
      <c r="I2" s="708"/>
      <c r="J2" s="708"/>
      <c r="K2" s="708"/>
      <c r="R2" s="1"/>
      <c r="S2" s="1"/>
      <c r="T2" s="1"/>
      <c r="U2" s="1"/>
      <c r="V2" s="1"/>
      <c r="W2" s="1"/>
      <c r="X2" s="1"/>
    </row>
    <row r="3" spans="1:24" s="1" customFormat="1" ht="12.75" x14ac:dyDescent="0.2">
      <c r="A3" s="68" t="s">
        <v>130</v>
      </c>
      <c r="B3" s="69" t="s">
        <v>131</v>
      </c>
      <c r="C3" s="70" t="s">
        <v>694</v>
      </c>
      <c r="D3" s="70" t="s">
        <v>723</v>
      </c>
      <c r="E3" s="71" t="s">
        <v>724</v>
      </c>
      <c r="F3" s="70" t="s">
        <v>725</v>
      </c>
      <c r="G3" s="70" t="s">
        <v>726</v>
      </c>
      <c r="H3" s="70" t="s">
        <v>727</v>
      </c>
      <c r="I3" s="70" t="s">
        <v>728</v>
      </c>
      <c r="J3" s="70" t="s">
        <v>729</v>
      </c>
      <c r="K3" s="70" t="s">
        <v>730</v>
      </c>
      <c r="L3" s="70" t="s">
        <v>894</v>
      </c>
      <c r="M3" s="67"/>
      <c r="N3" s="67"/>
      <c r="O3" s="67"/>
      <c r="P3" s="67"/>
      <c r="Q3" s="67"/>
    </row>
    <row r="4" spans="1:24" s="1" customFormat="1" ht="11.25" x14ac:dyDescent="0.2">
      <c r="A4" s="68">
        <v>1</v>
      </c>
      <c r="B4" s="72" t="s">
        <v>134</v>
      </c>
      <c r="C4" s="288">
        <f>Cruz!I11</f>
        <v>3876200</v>
      </c>
      <c r="D4" s="288">
        <f>3516536.44</f>
        <v>3516536.44</v>
      </c>
      <c r="E4" s="74">
        <f>Cruz!G11</f>
        <v>3516536.4399999995</v>
      </c>
      <c r="F4" s="75">
        <v>3514113.86</v>
      </c>
      <c r="G4" s="18">
        <f>E4-F4</f>
        <v>2422.5799999996088</v>
      </c>
      <c r="H4" s="13">
        <v>2150.91</v>
      </c>
      <c r="I4" s="13">
        <v>2150.91</v>
      </c>
      <c r="J4" s="13"/>
      <c r="K4" s="13">
        <v>2150.91</v>
      </c>
      <c r="L4" s="13">
        <f>I4-K4</f>
        <v>0</v>
      </c>
      <c r="M4" s="361">
        <f>I4-(K4+L4)</f>
        <v>0</v>
      </c>
      <c r="N4" s="361"/>
      <c r="O4" s="361"/>
      <c r="P4" s="361"/>
      <c r="Q4" s="361"/>
    </row>
    <row r="5" spans="1:24" s="1" customFormat="1" ht="11.25" x14ac:dyDescent="0.2">
      <c r="A5" s="68">
        <v>2</v>
      </c>
      <c r="B5" s="72" t="s">
        <v>135</v>
      </c>
      <c r="C5" s="288">
        <f>Cruz!I12</f>
        <v>3012006.97</v>
      </c>
      <c r="D5" s="288">
        <f>2232796.47</f>
        <v>2232796.4700000002</v>
      </c>
      <c r="E5" s="74">
        <f>Cruz!G12</f>
        <v>2232796.4700000007</v>
      </c>
      <c r="F5" s="75">
        <v>2178294.25</v>
      </c>
      <c r="G5" s="18">
        <f t="shared" ref="G5:G17" si="0">E5-F5</f>
        <v>54502.220000000671</v>
      </c>
      <c r="H5" s="13">
        <v>430609.76</v>
      </c>
      <c r="I5" s="13">
        <v>430609.76</v>
      </c>
      <c r="J5" s="13">
        <v>0.01</v>
      </c>
      <c r="K5" s="13">
        <f>127436.2</f>
        <v>127436.2</v>
      </c>
      <c r="L5" s="13">
        <f>I5-K5</f>
        <v>303173.56</v>
      </c>
      <c r="M5" s="361">
        <f>I5-(K5+L5)</f>
        <v>0</v>
      </c>
      <c r="N5" s="361">
        <f>303173.56-L5</f>
        <v>0</v>
      </c>
      <c r="O5" s="361"/>
      <c r="P5" s="361"/>
      <c r="Q5" s="361"/>
    </row>
    <row r="6" spans="1:24" s="1" customFormat="1" ht="11.25" x14ac:dyDescent="0.2">
      <c r="A6" s="68">
        <v>3</v>
      </c>
      <c r="B6" s="72" t="s">
        <v>136</v>
      </c>
      <c r="C6" s="288">
        <f>Cruz!I13</f>
        <v>1098716.6100000001</v>
      </c>
      <c r="D6" s="288">
        <f>774746.04</f>
        <v>774746.04</v>
      </c>
      <c r="E6" s="74">
        <f>Cruz!G13</f>
        <v>774746.03999999992</v>
      </c>
      <c r="F6" s="75">
        <v>720523.78</v>
      </c>
      <c r="G6" s="18">
        <f t="shared" si="0"/>
        <v>54222.259999999893</v>
      </c>
      <c r="H6" s="13">
        <v>282751.59000000003</v>
      </c>
      <c r="I6" s="13">
        <v>247832.9</v>
      </c>
      <c r="J6" s="13">
        <f>471.82</f>
        <v>471.82</v>
      </c>
      <c r="K6" s="13">
        <f>71835.36</f>
        <v>71835.360000000001</v>
      </c>
      <c r="L6" s="13">
        <f t="shared" ref="L6:L14" si="1">I6-K6</f>
        <v>175997.53999999998</v>
      </c>
      <c r="M6" s="361">
        <f t="shared" ref="M6:M19" si="2">I6-(K6+L6)</f>
        <v>0</v>
      </c>
      <c r="N6" s="361">
        <f>175997.54-L6</f>
        <v>0</v>
      </c>
      <c r="O6" s="361"/>
      <c r="P6" s="361"/>
      <c r="Q6" s="361"/>
    </row>
    <row r="7" spans="1:24" s="1" customFormat="1" ht="11.25" x14ac:dyDescent="0.2">
      <c r="A7" s="68">
        <v>4</v>
      </c>
      <c r="B7" s="72" t="s">
        <v>137</v>
      </c>
      <c r="C7" s="288">
        <f>Cruz!I14</f>
        <v>1888603.25</v>
      </c>
      <c r="D7" s="288">
        <f>1866929.89</f>
        <v>1866929.89</v>
      </c>
      <c r="E7" s="74">
        <f>Cruz!G14</f>
        <v>1866929.89</v>
      </c>
      <c r="F7" s="75">
        <v>1808279.07</v>
      </c>
      <c r="G7" s="18">
        <f t="shared" si="0"/>
        <v>58650.819999999832</v>
      </c>
      <c r="H7" s="13">
        <v>597406.06999999995</v>
      </c>
      <c r="I7" s="13">
        <v>597265.67000000004</v>
      </c>
      <c r="J7" s="13">
        <f>25199.31</f>
        <v>25199.31</v>
      </c>
      <c r="K7" s="13">
        <f>184006.85</f>
        <v>184006.85</v>
      </c>
      <c r="L7" s="13">
        <f t="shared" si="1"/>
        <v>413258.82000000007</v>
      </c>
      <c r="M7" s="361">
        <f t="shared" si="2"/>
        <v>0</v>
      </c>
      <c r="N7" s="361">
        <f>413258.82-L7</f>
        <v>0</v>
      </c>
      <c r="O7" s="361"/>
      <c r="P7" s="361"/>
      <c r="Q7" s="361"/>
    </row>
    <row r="8" spans="1:24" s="1" customFormat="1" ht="11.25" x14ac:dyDescent="0.2">
      <c r="A8" s="68">
        <v>5</v>
      </c>
      <c r="B8" s="72" t="s">
        <v>138</v>
      </c>
      <c r="C8" s="288">
        <f>Cruz!I15</f>
        <v>8588239</v>
      </c>
      <c r="D8" s="288">
        <f>8571862.49</f>
        <v>8571862.4900000002</v>
      </c>
      <c r="E8" s="74">
        <f>Cruz!G15</f>
        <v>8550055.0899999999</v>
      </c>
      <c r="F8" s="75">
        <v>8055007.4199999999</v>
      </c>
      <c r="G8" s="18">
        <f t="shared" si="0"/>
        <v>495047.66999999993</v>
      </c>
      <c r="H8" s="13">
        <v>5985138.8899999997</v>
      </c>
      <c r="I8" s="13">
        <f>5924122.99+38828.3</f>
        <v>5962951.29</v>
      </c>
      <c r="J8" s="13"/>
      <c r="K8" s="13">
        <f>968325.22</f>
        <v>968325.22</v>
      </c>
      <c r="L8" s="13">
        <f>I8-K8</f>
        <v>4994626.07</v>
      </c>
      <c r="M8" s="361">
        <f t="shared" si="2"/>
        <v>0</v>
      </c>
      <c r="N8" s="361">
        <f>4994626.07-L8</f>
        <v>0</v>
      </c>
      <c r="O8" s="361"/>
      <c r="P8" s="361"/>
      <c r="Q8" s="361"/>
    </row>
    <row r="9" spans="1:24" s="1" customFormat="1" ht="11.25" x14ac:dyDescent="0.2">
      <c r="A9" s="68">
        <v>6</v>
      </c>
      <c r="B9" s="72" t="s">
        <v>139</v>
      </c>
      <c r="C9" s="288">
        <f>Cruz!I16</f>
        <v>3453406.57</v>
      </c>
      <c r="D9" s="288">
        <v>3425603.05</v>
      </c>
      <c r="E9" s="74">
        <f>Cruz!G16</f>
        <v>3425603.05</v>
      </c>
      <c r="F9" s="75">
        <v>3208521.71</v>
      </c>
      <c r="G9" s="18">
        <f t="shared" si="0"/>
        <v>217081.33999999985</v>
      </c>
      <c r="H9" s="13">
        <v>1143866.05</v>
      </c>
      <c r="I9" s="13">
        <v>1143866.05</v>
      </c>
      <c r="J9" s="13"/>
      <c r="K9" s="13">
        <f>301773.6</f>
        <v>301773.59999999998</v>
      </c>
      <c r="L9" s="13">
        <f t="shared" si="1"/>
        <v>842092.45000000007</v>
      </c>
      <c r="M9" s="361">
        <f t="shared" si="2"/>
        <v>0</v>
      </c>
      <c r="N9" s="361">
        <f>842092.45-L9</f>
        <v>0</v>
      </c>
      <c r="O9" s="361"/>
      <c r="P9" s="361"/>
      <c r="Q9" s="361"/>
    </row>
    <row r="10" spans="1:24" s="1" customFormat="1" ht="11.25" x14ac:dyDescent="0.2">
      <c r="A10" s="68">
        <v>7</v>
      </c>
      <c r="B10" s="72" t="s">
        <v>140</v>
      </c>
      <c r="C10" s="288">
        <f>Cruz!I17</f>
        <v>1349626.92</v>
      </c>
      <c r="D10" s="288">
        <v>1139517.42</v>
      </c>
      <c r="E10" s="74">
        <f>Cruz!G17</f>
        <v>1139193.42</v>
      </c>
      <c r="F10" s="75">
        <v>1054828.77</v>
      </c>
      <c r="G10" s="18">
        <f t="shared" si="0"/>
        <v>84364.649999999907</v>
      </c>
      <c r="H10" s="13">
        <v>220135.97</v>
      </c>
      <c r="I10" s="13">
        <v>220079.47</v>
      </c>
      <c r="J10" s="13">
        <f>271.4</f>
        <v>271.39999999999998</v>
      </c>
      <c r="K10" s="13">
        <f>73829.99</f>
        <v>73829.990000000005</v>
      </c>
      <c r="L10" s="13">
        <f t="shared" si="1"/>
        <v>146249.47999999998</v>
      </c>
      <c r="M10" s="361">
        <f t="shared" si="2"/>
        <v>0</v>
      </c>
      <c r="N10" s="361">
        <f>146249.48-L10</f>
        <v>0</v>
      </c>
      <c r="O10" s="361"/>
      <c r="P10" s="361"/>
      <c r="Q10" s="361"/>
    </row>
    <row r="11" spans="1:24" s="1" customFormat="1" ht="11.25" x14ac:dyDescent="0.2">
      <c r="A11" s="68">
        <v>8</v>
      </c>
      <c r="B11" s="72" t="s">
        <v>141</v>
      </c>
      <c r="C11" s="288">
        <f>Cruz!I18</f>
        <v>14065820.32</v>
      </c>
      <c r="D11" s="288">
        <v>12400885.609999999</v>
      </c>
      <c r="E11" s="74">
        <f>Cruz!G18</f>
        <v>12235712.089999998</v>
      </c>
      <c r="F11" s="75">
        <v>11257571.49</v>
      </c>
      <c r="G11" s="18">
        <f t="shared" si="0"/>
        <v>978140.59999999776</v>
      </c>
      <c r="H11" s="13">
        <v>5336045.92</v>
      </c>
      <c r="I11" s="393">
        <f>4117681.06</f>
        <v>4117681.06</v>
      </c>
      <c r="J11" s="13">
        <f>8901.78</f>
        <v>8901.7800000000007</v>
      </c>
      <c r="K11" s="450">
        <f>1648855.62</f>
        <v>1648855.62</v>
      </c>
      <c r="L11" s="13">
        <f>I11-K11</f>
        <v>2468825.44</v>
      </c>
      <c r="M11" s="361">
        <f t="shared" si="2"/>
        <v>0</v>
      </c>
      <c r="N11" s="361">
        <f>2468825.44-L11</f>
        <v>0</v>
      </c>
      <c r="O11" s="361"/>
      <c r="P11" s="361"/>
      <c r="Q11" s="361"/>
    </row>
    <row r="12" spans="1:24" s="1" customFormat="1" ht="11.25" x14ac:dyDescent="0.2">
      <c r="A12" s="68">
        <v>9</v>
      </c>
      <c r="B12" s="72" t="s">
        <v>142</v>
      </c>
      <c r="C12" s="288">
        <f>Cruz!I19</f>
        <v>45485941.82</v>
      </c>
      <c r="D12" s="288">
        <v>38114242.439999998</v>
      </c>
      <c r="E12" s="74">
        <f>Cruz!G19</f>
        <v>36646031.68</v>
      </c>
      <c r="F12" s="75">
        <v>34901057.340000004</v>
      </c>
      <c r="G12" s="18">
        <f t="shared" si="0"/>
        <v>1744974.3399999961</v>
      </c>
      <c r="H12" s="13">
        <v>5866343.0800000001</v>
      </c>
      <c r="I12" s="393">
        <f>5814405.2</f>
        <v>5814405.2000000002</v>
      </c>
      <c r="J12" s="13">
        <f>8128.34</f>
        <v>8128.34</v>
      </c>
      <c r="K12" s="450">
        <f>1790377.46</f>
        <v>1790377.46</v>
      </c>
      <c r="L12" s="13">
        <f>I12-K12</f>
        <v>4024027.74</v>
      </c>
      <c r="M12" s="361">
        <f t="shared" si="2"/>
        <v>0</v>
      </c>
      <c r="N12" s="361">
        <f>4024027.74-L12</f>
        <v>0</v>
      </c>
      <c r="O12" s="361"/>
      <c r="P12" s="361"/>
      <c r="Q12" s="361"/>
    </row>
    <row r="13" spans="1:24" s="1" customFormat="1" ht="11.25" x14ac:dyDescent="0.2">
      <c r="A13" s="68">
        <v>10</v>
      </c>
      <c r="B13" s="72" t="s">
        <v>143</v>
      </c>
      <c r="C13" s="288">
        <f>Cruz!I20</f>
        <v>32065952.800000001</v>
      </c>
      <c r="D13" s="288">
        <v>29905704.559999999</v>
      </c>
      <c r="E13" s="74">
        <f>Cruz!G20</f>
        <v>29772720.330000002</v>
      </c>
      <c r="F13" s="75">
        <v>28316525.82</v>
      </c>
      <c r="G13" s="18">
        <f t="shared" si="0"/>
        <v>1456194.5100000016</v>
      </c>
      <c r="H13" s="13">
        <v>7766012.7999999998</v>
      </c>
      <c r="I13" s="13">
        <v>7764842.7800000003</v>
      </c>
      <c r="J13" s="393">
        <f>742.69</f>
        <v>742.69</v>
      </c>
      <c r="K13" s="450">
        <f>2669246.04</f>
        <v>2669246.04</v>
      </c>
      <c r="L13" s="13">
        <f t="shared" si="1"/>
        <v>5095596.74</v>
      </c>
      <c r="M13" s="361">
        <f t="shared" si="2"/>
        <v>0</v>
      </c>
      <c r="N13" s="361">
        <f>5095596.74-L13</f>
        <v>0</v>
      </c>
      <c r="O13" s="361"/>
      <c r="P13" s="361"/>
      <c r="Q13" s="361"/>
    </row>
    <row r="14" spans="1:24" s="1" customFormat="1" ht="11.25" x14ac:dyDescent="0.2">
      <c r="A14" s="68">
        <v>11</v>
      </c>
      <c r="B14" s="72" t="s">
        <v>144</v>
      </c>
      <c r="C14" s="288">
        <f>Cruz!I21</f>
        <v>4946173.37</v>
      </c>
      <c r="D14" s="288">
        <v>4208852.38</v>
      </c>
      <c r="E14" s="74">
        <f>Cruz!G21</f>
        <v>4205167.38</v>
      </c>
      <c r="F14" s="75">
        <v>4014899.53</v>
      </c>
      <c r="G14" s="18">
        <f t="shared" si="0"/>
        <v>190267.85000000009</v>
      </c>
      <c r="H14" s="13">
        <v>1003608.34</v>
      </c>
      <c r="I14" s="13">
        <v>1002924.31</v>
      </c>
      <c r="J14" s="13"/>
      <c r="K14" s="13">
        <f>294735.33</f>
        <v>294735.33</v>
      </c>
      <c r="L14" s="13">
        <f t="shared" si="1"/>
        <v>708188.98</v>
      </c>
      <c r="M14" s="361">
        <f t="shared" si="2"/>
        <v>0</v>
      </c>
      <c r="N14" s="361">
        <f>708188.98-L14</f>
        <v>0</v>
      </c>
      <c r="O14" s="361"/>
      <c r="P14" s="361"/>
      <c r="Q14" s="361"/>
    </row>
    <row r="15" spans="1:24" s="1" customFormat="1" ht="11.25" x14ac:dyDescent="0.2">
      <c r="A15" s="68">
        <v>12</v>
      </c>
      <c r="B15" s="72" t="s">
        <v>145</v>
      </c>
      <c r="C15" s="288">
        <f>Cruz!I22</f>
        <v>2420587.04</v>
      </c>
      <c r="D15" s="288">
        <v>1748412.67</v>
      </c>
      <c r="E15" s="74">
        <f>Cruz!G22</f>
        <v>1718842.87</v>
      </c>
      <c r="F15" s="75">
        <v>1454113.7</v>
      </c>
      <c r="G15" s="18">
        <f t="shared" si="0"/>
        <v>264729.17000000016</v>
      </c>
      <c r="H15" s="13">
        <v>386792.28</v>
      </c>
      <c r="I15" s="13">
        <v>385992.62</v>
      </c>
      <c r="J15" s="13">
        <v>495.16</v>
      </c>
      <c r="K15" s="13">
        <f>123656.02</f>
        <v>123656.02</v>
      </c>
      <c r="L15" s="13">
        <f>I15-K15</f>
        <v>262336.59999999998</v>
      </c>
      <c r="M15" s="361">
        <f t="shared" si="2"/>
        <v>0</v>
      </c>
      <c r="N15" s="361">
        <f>262336.6-L15</f>
        <v>0</v>
      </c>
      <c r="O15" s="361"/>
      <c r="P15" s="361"/>
      <c r="Q15" s="361"/>
    </row>
    <row r="16" spans="1:24" s="1" customFormat="1" ht="11.25" x14ac:dyDescent="0.2">
      <c r="A16" s="68">
        <v>13</v>
      </c>
      <c r="B16" s="72" t="s">
        <v>146</v>
      </c>
      <c r="C16" s="288">
        <f>Cruz!I23</f>
        <v>3298701.34</v>
      </c>
      <c r="D16" s="288">
        <v>3217716.4</v>
      </c>
      <c r="E16" s="74">
        <f>Cruz!G23</f>
        <v>3217716.4</v>
      </c>
      <c r="F16" s="75">
        <v>3112340.67</v>
      </c>
      <c r="G16" s="18">
        <f t="shared" si="0"/>
        <v>105375.72999999998</v>
      </c>
      <c r="H16" s="13">
        <v>336914.37</v>
      </c>
      <c r="I16" s="13">
        <v>334958.02</v>
      </c>
      <c r="J16" s="13">
        <v>986.83</v>
      </c>
      <c r="K16" s="13">
        <f>183117.25</f>
        <v>183117.25</v>
      </c>
      <c r="L16" s="393">
        <f>I16-K16</f>
        <v>151840.77000000002</v>
      </c>
      <c r="M16" s="361">
        <f t="shared" si="2"/>
        <v>0</v>
      </c>
      <c r="N16" s="361">
        <f>151840.77-L16</f>
        <v>0</v>
      </c>
      <c r="O16" s="361"/>
      <c r="P16" s="361"/>
      <c r="Q16" s="361"/>
    </row>
    <row r="17" spans="1:18" s="1" customFormat="1" ht="11.25" x14ac:dyDescent="0.2">
      <c r="A17" s="68">
        <v>15</v>
      </c>
      <c r="B17" s="72" t="s">
        <v>147</v>
      </c>
      <c r="C17" s="73">
        <f>Cruz!I25</f>
        <v>25810700.559999999</v>
      </c>
      <c r="D17" s="73">
        <v>24226086.52</v>
      </c>
      <c r="E17" s="74">
        <f>Cruz!G25</f>
        <v>24216286.520000003</v>
      </c>
      <c r="F17" s="75">
        <v>24214397.41</v>
      </c>
      <c r="G17" s="18">
        <f t="shared" si="0"/>
        <v>1889.1100000031292</v>
      </c>
      <c r="H17" s="13">
        <v>33584.9</v>
      </c>
      <c r="I17" s="13">
        <v>33584.9</v>
      </c>
      <c r="J17" s="13"/>
      <c r="K17" s="13">
        <f>654</f>
        <v>654</v>
      </c>
      <c r="L17" s="13">
        <f>I17-K17</f>
        <v>32930.9</v>
      </c>
      <c r="M17" s="361">
        <f t="shared" si="2"/>
        <v>0</v>
      </c>
      <c r="N17" s="361">
        <f>32930.9-L17</f>
        <v>0</v>
      </c>
      <c r="O17" s="361"/>
      <c r="P17" s="361"/>
      <c r="Q17" s="361"/>
    </row>
    <row r="18" spans="1:18" s="1" customFormat="1" ht="11.25" x14ac:dyDescent="0.2">
      <c r="A18" s="68">
        <v>16</v>
      </c>
      <c r="B18" s="72" t="s">
        <v>148</v>
      </c>
      <c r="C18" s="73">
        <f>Cruz!I26</f>
        <v>6318411.3300000001</v>
      </c>
      <c r="D18" s="73">
        <v>5706797.5099999998</v>
      </c>
      <c r="E18" s="74">
        <f>Cruz!G26</f>
        <v>5706797.5099999998</v>
      </c>
      <c r="F18" s="75">
        <v>5670514.3499999996</v>
      </c>
      <c r="G18" s="18">
        <f>E18-F18</f>
        <v>36283.160000000149</v>
      </c>
      <c r="H18" s="13">
        <v>49278.400000000001</v>
      </c>
      <c r="I18" s="13">
        <v>49278.400000000001</v>
      </c>
      <c r="J18" s="13"/>
      <c r="K18" s="13">
        <v>49278.400000000001</v>
      </c>
      <c r="L18" s="13">
        <f>I18-K18</f>
        <v>0</v>
      </c>
      <c r="M18" s="361">
        <f t="shared" si="2"/>
        <v>0</v>
      </c>
      <c r="N18" s="361"/>
      <c r="O18" s="361"/>
      <c r="P18" s="361"/>
      <c r="Q18" s="361"/>
    </row>
    <row r="19" spans="1:18" s="1" customFormat="1" ht="11.25" x14ac:dyDescent="0.2">
      <c r="C19" s="380">
        <f t="shared" ref="C19:G19" si="3">SUM(C4:C18)</f>
        <v>157679087.90000004</v>
      </c>
      <c r="D19" s="380">
        <f t="shared" si="3"/>
        <v>141056689.88999999</v>
      </c>
      <c r="E19" s="386">
        <f>SUM(E4:E18)</f>
        <v>139225135.17999998</v>
      </c>
      <c r="F19" s="386">
        <f t="shared" si="3"/>
        <v>133480989.17</v>
      </c>
      <c r="G19" s="386">
        <f t="shared" si="3"/>
        <v>5744146.0099999979</v>
      </c>
      <c r="H19" s="430">
        <f>SUM(H4:H18)</f>
        <v>29440639.330000002</v>
      </c>
      <c r="I19" s="13">
        <f t="shared" ref="I19" si="4">SUM(I4:I18)</f>
        <v>28108423.34</v>
      </c>
      <c r="J19" s="13">
        <f t="shared" ref="J19" si="5">SUM(J4:J18)</f>
        <v>45197.340000000011</v>
      </c>
      <c r="K19" s="453">
        <f>SUM(K4:K18)</f>
        <v>8489278.25</v>
      </c>
      <c r="L19" s="450">
        <f>SUM(L4:L18)</f>
        <v>19619145.09</v>
      </c>
      <c r="M19" s="361">
        <f t="shared" si="2"/>
        <v>0</v>
      </c>
      <c r="N19" s="361"/>
      <c r="O19" s="361"/>
      <c r="P19" s="361"/>
      <c r="Q19" s="361"/>
    </row>
    <row r="20" spans="1:18" s="1" customFormat="1" ht="11.25" x14ac:dyDescent="0.2">
      <c r="A20" s="5"/>
      <c r="B20" s="383" t="s">
        <v>231</v>
      </c>
      <c r="C20" s="13">
        <f>C19+Cruz!I24-Cruz!I27</f>
        <v>0</v>
      </c>
      <c r="D20" s="13">
        <f>141056689.89-D19</f>
        <v>0</v>
      </c>
      <c r="E20" s="75">
        <f>139225135.18-E19</f>
        <v>0</v>
      </c>
      <c r="F20" s="75">
        <f>133480989.17-F19</f>
        <v>0</v>
      </c>
      <c r="G20" s="75">
        <f>5744146.01-G19</f>
        <v>0</v>
      </c>
      <c r="H20" s="13">
        <f>29440639.33-H19</f>
        <v>0</v>
      </c>
      <c r="I20" s="13">
        <f>28108423.34-I19</f>
        <v>0</v>
      </c>
      <c r="J20" s="13">
        <f>45197.34-J19</f>
        <v>0</v>
      </c>
      <c r="K20" s="13">
        <f>8489278.25-K19</f>
        <v>0</v>
      </c>
      <c r="L20" s="13">
        <f>19619145.09-L19</f>
        <v>0</v>
      </c>
      <c r="M20" s="361"/>
      <c r="N20" s="361"/>
      <c r="O20" s="361"/>
      <c r="P20" s="361"/>
      <c r="Q20" s="361"/>
    </row>
    <row r="21" spans="1:18" s="1" customFormat="1" ht="11.25" x14ac:dyDescent="0.2">
      <c r="B21" s="77" t="s">
        <v>1013</v>
      </c>
      <c r="E21" s="78"/>
      <c r="F21" s="78"/>
      <c r="G21" s="78"/>
      <c r="H21" s="375"/>
      <c r="I21" s="387"/>
      <c r="J21" s="379"/>
      <c r="K21" s="384"/>
      <c r="L21" s="379"/>
      <c r="M21" s="361"/>
      <c r="N21" s="361"/>
      <c r="O21" s="361"/>
      <c r="P21" s="361"/>
      <c r="Q21" s="361"/>
      <c r="R21" s="361"/>
    </row>
    <row r="22" spans="1:18" s="1" customFormat="1" ht="11.25" x14ac:dyDescent="0.2">
      <c r="B22" s="375" t="s">
        <v>827</v>
      </c>
      <c r="E22" s="78"/>
      <c r="F22" s="78"/>
      <c r="G22" s="78"/>
      <c r="H22" s="375"/>
      <c r="I22" s="387"/>
      <c r="J22" s="375"/>
      <c r="K22" s="384"/>
      <c r="L22" s="379"/>
      <c r="M22" s="361"/>
      <c r="N22" s="361"/>
      <c r="O22" s="361"/>
      <c r="P22" s="361"/>
      <c r="Q22" s="361"/>
      <c r="R22" s="361"/>
    </row>
    <row r="23" spans="1:18" s="1" customFormat="1" ht="11.25" x14ac:dyDescent="0.2">
      <c r="B23" s="79"/>
      <c r="E23" s="78"/>
      <c r="F23" s="80" t="s">
        <v>717</v>
      </c>
      <c r="G23" s="78"/>
      <c r="H23" s="375"/>
      <c r="I23" s="387"/>
      <c r="J23" s="375"/>
      <c r="K23" s="384"/>
      <c r="L23" s="379"/>
      <c r="M23" s="361"/>
      <c r="N23" s="361"/>
      <c r="O23" s="361"/>
      <c r="P23" s="361"/>
      <c r="Q23" s="361"/>
      <c r="R23" s="361"/>
    </row>
    <row r="24" spans="1:18" s="1" customFormat="1" ht="11.25" x14ac:dyDescent="0.2">
      <c r="B24" s="79"/>
      <c r="E24" s="78"/>
      <c r="G24" s="78"/>
      <c r="H24" s="361">
        <f>29440639.33-H19</f>
        <v>0</v>
      </c>
      <c r="I24" s="375" t="s">
        <v>916</v>
      </c>
      <c r="M24" s="361"/>
      <c r="N24" s="361"/>
      <c r="O24" s="361"/>
      <c r="P24" s="361"/>
      <c r="Q24" s="361"/>
      <c r="R24" s="361"/>
    </row>
    <row r="25" spans="1:18" s="1" customFormat="1" ht="11.25" x14ac:dyDescent="0.2">
      <c r="B25" s="79"/>
      <c r="E25" s="78"/>
      <c r="F25" s="78"/>
      <c r="G25" s="395" t="s">
        <v>915</v>
      </c>
      <c r="H25" s="391">
        <f>19586352.53-L19</f>
        <v>-32792.559999998659</v>
      </c>
      <c r="I25" s="1" t="s">
        <v>700</v>
      </c>
      <c r="J25" s="375"/>
      <c r="K25" s="375"/>
      <c r="L25" s="361"/>
      <c r="M25" s="361"/>
      <c r="N25" s="361"/>
      <c r="O25" s="361"/>
      <c r="P25" s="361"/>
      <c r="Q25" s="361"/>
      <c r="R25" s="361"/>
    </row>
    <row r="26" spans="1:18" s="1" customFormat="1" ht="11.25" x14ac:dyDescent="0.2">
      <c r="B26" s="79"/>
      <c r="C26" s="497" t="s">
        <v>1011</v>
      </c>
      <c r="D26" s="375">
        <f>E26+H26</f>
        <v>17622.439999999711</v>
      </c>
      <c r="E26" s="78">
        <f>1370029.01</f>
        <v>1370029.01</v>
      </c>
      <c r="F26" s="78"/>
      <c r="G26" s="385" t="s">
        <v>703</v>
      </c>
      <c r="H26" s="361">
        <f>7136871.68-K19</f>
        <v>-1352406.5700000003</v>
      </c>
      <c r="I26" s="375" t="s">
        <v>699</v>
      </c>
      <c r="J26" s="375"/>
      <c r="K26" s="375"/>
      <c r="L26" s="379">
        <f>K19+H26</f>
        <v>7136871.6799999997</v>
      </c>
      <c r="M26" s="361"/>
      <c r="N26" s="361"/>
      <c r="O26" s="361"/>
      <c r="P26" s="361"/>
      <c r="Q26" s="361"/>
      <c r="R26" s="361"/>
    </row>
    <row r="27" spans="1:18" s="1" customFormat="1" ht="12.75" x14ac:dyDescent="0.2">
      <c r="B27" s="79"/>
      <c r="D27" s="379">
        <f>12404.78+H27</f>
        <v>0</v>
      </c>
      <c r="E27" s="377"/>
      <c r="F27" s="377"/>
      <c r="G27" s="388" t="s">
        <v>702</v>
      </c>
      <c r="H27" s="389">
        <f>(26343.05+6449.51)-J19</f>
        <v>-12404.780000000013</v>
      </c>
      <c r="I27" s="378" t="s">
        <v>701</v>
      </c>
      <c r="J27" s="378"/>
      <c r="K27" s="378"/>
      <c r="L27" s="390">
        <f>J19+H27</f>
        <v>32792.559999999998</v>
      </c>
      <c r="M27" s="361">
        <f>32792.56-L27</f>
        <v>0</v>
      </c>
      <c r="N27" s="361"/>
      <c r="O27" s="361"/>
      <c r="P27" s="361"/>
      <c r="Q27" s="361"/>
      <c r="R27" s="361"/>
    </row>
    <row r="28" spans="1:18" s="1" customFormat="1" ht="11.25" x14ac:dyDescent="0.2">
      <c r="B28" s="79"/>
      <c r="E28" s="78"/>
      <c r="F28" s="78"/>
      <c r="G28" s="78"/>
      <c r="H28" s="361"/>
      <c r="I28" s="375"/>
      <c r="J28" s="375"/>
      <c r="K28" s="375"/>
      <c r="L28" s="379"/>
      <c r="M28" s="361"/>
      <c r="N28" s="361"/>
      <c r="O28" s="361"/>
      <c r="P28" s="361"/>
      <c r="Q28" s="361"/>
      <c r="R28" s="361"/>
    </row>
    <row r="29" spans="1:18" s="1" customFormat="1" ht="11.25" x14ac:dyDescent="0.2">
      <c r="B29" s="454"/>
      <c r="C29" s="455"/>
      <c r="D29" s="455" t="s">
        <v>911</v>
      </c>
      <c r="E29" s="377"/>
      <c r="F29" s="377"/>
      <c r="G29" s="456"/>
      <c r="H29" s="324"/>
      <c r="I29" s="455" t="s">
        <v>912</v>
      </c>
      <c r="J29" s="455"/>
      <c r="K29" s="378"/>
      <c r="L29" s="457"/>
      <c r="M29" s="458"/>
      <c r="N29" s="361"/>
      <c r="O29" s="361"/>
      <c r="P29" s="361"/>
      <c r="Q29" s="361"/>
      <c r="R29" s="361"/>
    </row>
    <row r="30" spans="1:18" x14ac:dyDescent="0.25">
      <c r="B30" s="446" t="s">
        <v>491</v>
      </c>
      <c r="C30" s="447"/>
      <c r="D30" s="445" t="s">
        <v>720</v>
      </c>
      <c r="E30" s="71" t="s">
        <v>718</v>
      </c>
      <c r="F30" s="444" t="s">
        <v>719</v>
      </c>
      <c r="G30" s="71" t="s">
        <v>721</v>
      </c>
      <c r="H30" s="70" t="s">
        <v>722</v>
      </c>
      <c r="I30" s="70" t="s">
        <v>892</v>
      </c>
      <c r="J30" s="70" t="s">
        <v>893</v>
      </c>
      <c r="K30" s="70" t="s">
        <v>730</v>
      </c>
      <c r="L30" s="451" t="s">
        <v>913</v>
      </c>
      <c r="M30" s="70" t="s">
        <v>914</v>
      </c>
      <c r="O30" s="361"/>
      <c r="P30" s="361"/>
      <c r="Q30" s="361"/>
      <c r="R30" s="373"/>
    </row>
    <row r="31" spans="1:18" x14ac:dyDescent="0.25">
      <c r="B31" s="5" t="s">
        <v>150</v>
      </c>
      <c r="C31" s="81">
        <f>Cruz!H16</f>
        <v>116138981.43000001</v>
      </c>
      <c r="D31" s="346">
        <f>SUM(D4:D16)</f>
        <v>111123805.86</v>
      </c>
      <c r="E31" s="18">
        <f>SUM(E4:E16)</f>
        <v>109302051.14999999</v>
      </c>
      <c r="F31" s="18">
        <f>SUM(F4:F16)</f>
        <v>103596077.41000001</v>
      </c>
      <c r="G31" s="449">
        <f>C31-F31</f>
        <v>12542904.019999996</v>
      </c>
      <c r="H31" s="18">
        <f>E31-F31</f>
        <v>5705973.7399999797</v>
      </c>
      <c r="I31" s="18">
        <f>SUM(H4:H16)</f>
        <v>29357776.030000005</v>
      </c>
      <c r="J31" s="346">
        <f>SUM(I4:I16)</f>
        <v>28025560.040000003</v>
      </c>
      <c r="K31" s="449">
        <f>SUM(K4:K16)</f>
        <v>8439345.8499999996</v>
      </c>
      <c r="L31" s="449">
        <f>SUM(L4:L16)</f>
        <v>19586214.190000001</v>
      </c>
      <c r="M31" s="13">
        <f>C31-(F31+K31)</f>
        <v>4103558.1700000018</v>
      </c>
    </row>
    <row r="32" spans="1:18" x14ac:dyDescent="0.25">
      <c r="B32" s="5" t="s">
        <v>147</v>
      </c>
      <c r="C32" s="82">
        <f>Cruz!H25</f>
        <v>32953972.890000001</v>
      </c>
      <c r="D32" s="18">
        <f t="shared" ref="D32:F33" si="6">D17</f>
        <v>24226086.52</v>
      </c>
      <c r="E32" s="18">
        <f t="shared" si="6"/>
        <v>24216286.520000003</v>
      </c>
      <c r="F32" s="18">
        <f t="shared" si="6"/>
        <v>24214397.41</v>
      </c>
      <c r="G32" s="18">
        <f>C32-F32</f>
        <v>8739575.4800000004</v>
      </c>
      <c r="H32" s="18">
        <f>E32-F32</f>
        <v>1889.1100000031292</v>
      </c>
      <c r="I32" s="18">
        <f>H17</f>
        <v>33584.9</v>
      </c>
      <c r="J32" s="18">
        <f t="shared" ref="J32" si="7">I17</f>
        <v>33584.9</v>
      </c>
      <c r="K32" s="18">
        <f>K17</f>
        <v>654</v>
      </c>
      <c r="L32" s="18">
        <f>L17</f>
        <v>32930.9</v>
      </c>
      <c r="M32" s="460">
        <f>C32-(F32+K32)</f>
        <v>8738921.4800000004</v>
      </c>
    </row>
    <row r="33" spans="1:13" x14ac:dyDescent="0.25">
      <c r="B33" s="5" t="s">
        <v>148</v>
      </c>
      <c r="C33" s="199">
        <f>Cruz!H26</f>
        <v>4795705.1100000003</v>
      </c>
      <c r="D33" s="18">
        <f t="shared" si="6"/>
        <v>5706797.5099999998</v>
      </c>
      <c r="E33" s="18">
        <f t="shared" si="6"/>
        <v>5706797.5099999998</v>
      </c>
      <c r="F33" s="18">
        <f t="shared" si="6"/>
        <v>5670514.3499999996</v>
      </c>
      <c r="G33" s="18">
        <f>C33-F33</f>
        <v>-874809.23999999929</v>
      </c>
      <c r="H33" s="18">
        <f>E33-F33</f>
        <v>36283.160000000149</v>
      </c>
      <c r="I33" s="18">
        <f>H18</f>
        <v>49278.400000000001</v>
      </c>
      <c r="J33" s="18">
        <f t="shared" ref="J33" si="8">I18</f>
        <v>49278.400000000001</v>
      </c>
      <c r="K33" s="18">
        <f>K18</f>
        <v>49278.400000000001</v>
      </c>
      <c r="L33" s="18">
        <f>L18</f>
        <v>0</v>
      </c>
      <c r="M33" s="13">
        <f>C33-(F33+K33)</f>
        <v>-924087.63999999966</v>
      </c>
    </row>
    <row r="34" spans="1:13" x14ac:dyDescent="0.25">
      <c r="B34" s="5" t="s">
        <v>151</v>
      </c>
      <c r="C34" s="83">
        <f t="shared" ref="C34:J34" si="9">SUM(C31:C33)</f>
        <v>153888659.43000001</v>
      </c>
      <c r="D34" s="83">
        <f t="shared" si="9"/>
        <v>141056689.88999999</v>
      </c>
      <c r="E34" s="83">
        <f t="shared" si="9"/>
        <v>139225135.17999998</v>
      </c>
      <c r="F34" s="83">
        <f t="shared" si="9"/>
        <v>133480989.17</v>
      </c>
      <c r="G34" s="483">
        <f>SUM(G31:G33)</f>
        <v>20407670.259999998</v>
      </c>
      <c r="H34" s="83">
        <f t="shared" si="9"/>
        <v>5744146.009999983</v>
      </c>
      <c r="I34" s="83">
        <f t="shared" si="9"/>
        <v>29440639.330000002</v>
      </c>
      <c r="J34" s="121">
        <f t="shared" si="9"/>
        <v>28108423.34</v>
      </c>
      <c r="K34" s="459">
        <f>SUM(K31:K33)</f>
        <v>8489278.25</v>
      </c>
      <c r="L34" s="452">
        <f>SUM(L31:L33)</f>
        <v>19619145.09</v>
      </c>
      <c r="M34" s="482">
        <f>SUM(M31:M33)</f>
        <v>11918392.010000002</v>
      </c>
    </row>
    <row r="35" spans="1:13" s="1" customFormat="1" ht="11.25" x14ac:dyDescent="0.2">
      <c r="B35" s="1" t="s">
        <v>1007</v>
      </c>
      <c r="E35" s="78"/>
    </row>
    <row r="36" spans="1:13" s="1" customFormat="1" ht="11.25" x14ac:dyDescent="0.2">
      <c r="B36" s="343" t="s">
        <v>1010</v>
      </c>
      <c r="C36" s="343"/>
      <c r="D36" s="343"/>
      <c r="E36" s="495"/>
      <c r="F36" s="343"/>
      <c r="G36" s="343"/>
      <c r="H36" s="496">
        <f>C34-E34</f>
        <v>14663524.25000003</v>
      </c>
      <c r="I36" s="343" t="s">
        <v>1014</v>
      </c>
      <c r="J36" s="343"/>
      <c r="K36" s="343"/>
      <c r="L36" s="496">
        <f>D19-F19+(H19-(J19+K19))</f>
        <v>28481864.459999986</v>
      </c>
      <c r="M36" s="375"/>
    </row>
    <row r="37" spans="1:13" s="392" customFormat="1" x14ac:dyDescent="0.25">
      <c r="B37"/>
      <c r="E37" s="65"/>
      <c r="M37" s="500"/>
    </row>
    <row r="38" spans="1:13" s="392" customFormat="1" x14ac:dyDescent="0.25">
      <c r="A38"/>
      <c r="E38" s="65"/>
      <c r="M38" s="500"/>
    </row>
    <row r="39" spans="1:13" s="1" customFormat="1" ht="11.25" x14ac:dyDescent="0.2">
      <c r="C39" s="55" t="s">
        <v>99</v>
      </c>
      <c r="F39" s="55" t="s">
        <v>100</v>
      </c>
      <c r="I39" s="397" t="s">
        <v>101</v>
      </c>
    </row>
    <row r="40" spans="1:13" s="1" customFormat="1" ht="11.25" x14ac:dyDescent="0.2">
      <c r="C40" s="55" t="s">
        <v>102</v>
      </c>
      <c r="F40" s="55" t="s">
        <v>103</v>
      </c>
      <c r="I40" s="58" t="s">
        <v>104</v>
      </c>
    </row>
  </sheetData>
  <mergeCells count="1">
    <mergeCell ref="H2:K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87"/>
  <sheetViews>
    <sheetView topLeftCell="A27" workbookViewId="0">
      <selection activeCell="F12" sqref="F12"/>
    </sheetView>
  </sheetViews>
  <sheetFormatPr defaultRowHeight="11.25" x14ac:dyDescent="0.2"/>
  <cols>
    <col min="1" max="1" width="10.28515625" style="57" customWidth="1"/>
    <col min="2" max="2" width="10.42578125" style="57" customWidth="1"/>
    <col min="3" max="3" width="12.7109375" style="57" customWidth="1"/>
    <col min="4" max="4" width="11.85546875" style="57" customWidth="1"/>
    <col min="5" max="5" width="11" style="57" customWidth="1"/>
    <col min="6" max="6" width="11.7109375" style="57" customWidth="1"/>
    <col min="7" max="7" width="10.140625" style="57" customWidth="1"/>
    <col min="8" max="8" width="11.5703125" style="57" customWidth="1"/>
    <col min="9" max="9" width="11.42578125" style="57" customWidth="1"/>
    <col min="10" max="10" width="11.85546875" style="57" customWidth="1"/>
    <col min="11" max="11" width="11" style="57" customWidth="1"/>
    <col min="12" max="12" width="12" style="57" customWidth="1"/>
    <col min="13" max="13" width="12.85546875" style="57" bestFit="1" customWidth="1"/>
    <col min="14" max="14" width="13.85546875" style="57" customWidth="1"/>
    <col min="15" max="15" width="11.140625" style="57" bestFit="1" customWidth="1"/>
    <col min="16" max="16" width="12" style="57" bestFit="1" customWidth="1"/>
    <col min="17" max="17" width="10.85546875" style="57" customWidth="1"/>
    <col min="18" max="18" width="12.140625" style="57" customWidth="1"/>
    <col min="19" max="19" width="10.85546875" style="57" bestFit="1" customWidth="1"/>
    <col min="20" max="20" width="10.5703125" style="57" bestFit="1" customWidth="1"/>
    <col min="21" max="21" width="11.85546875" style="57" customWidth="1"/>
    <col min="22" max="22" width="10.85546875" style="57" bestFit="1" customWidth="1"/>
    <col min="23" max="23" width="11.140625" style="57" bestFit="1" customWidth="1"/>
    <col min="24" max="256" width="9.140625" style="57"/>
    <col min="257" max="257" width="10.28515625" style="57" customWidth="1"/>
    <col min="258" max="258" width="10.42578125" style="57" customWidth="1"/>
    <col min="259" max="259" width="12.7109375" style="57" customWidth="1"/>
    <col min="260" max="260" width="11.28515625" style="57" customWidth="1"/>
    <col min="261" max="261" width="11.85546875" style="57" customWidth="1"/>
    <col min="262" max="262" width="11.7109375" style="57" customWidth="1"/>
    <col min="263" max="263" width="10.7109375" style="57" customWidth="1"/>
    <col min="264" max="264" width="11.85546875" style="57" customWidth="1"/>
    <col min="265" max="265" width="11.42578125" style="57" customWidth="1"/>
    <col min="266" max="266" width="12.28515625" style="57" customWidth="1"/>
    <col min="267" max="267" width="11" style="57" customWidth="1"/>
    <col min="268" max="268" width="12" style="57" customWidth="1"/>
    <col min="269" max="269" width="12.85546875" style="57" bestFit="1" customWidth="1"/>
    <col min="270" max="270" width="13.85546875" style="57" customWidth="1"/>
    <col min="271" max="271" width="4.85546875" style="57" bestFit="1" customWidth="1"/>
    <col min="272" max="272" width="12" style="57" bestFit="1" customWidth="1"/>
    <col min="273" max="273" width="10.28515625" style="57" bestFit="1" customWidth="1"/>
    <col min="274" max="274" width="12" style="57" bestFit="1" customWidth="1"/>
    <col min="275" max="275" width="12.5703125" style="57" bestFit="1" customWidth="1"/>
    <col min="276" max="276" width="12" style="57" bestFit="1" customWidth="1"/>
    <col min="277" max="278" width="11.7109375" style="57" bestFit="1" customWidth="1"/>
    <col min="279" max="279" width="11.140625" style="57" bestFit="1" customWidth="1"/>
    <col min="280" max="512" width="9.140625" style="57"/>
    <col min="513" max="513" width="10.28515625" style="57" customWidth="1"/>
    <col min="514" max="514" width="10.42578125" style="57" customWidth="1"/>
    <col min="515" max="515" width="12.7109375" style="57" customWidth="1"/>
    <col min="516" max="516" width="11.28515625" style="57" customWidth="1"/>
    <col min="517" max="517" width="11.85546875" style="57" customWidth="1"/>
    <col min="518" max="518" width="11.7109375" style="57" customWidth="1"/>
    <col min="519" max="519" width="10.7109375" style="57" customWidth="1"/>
    <col min="520" max="520" width="11.85546875" style="57" customWidth="1"/>
    <col min="521" max="521" width="11.42578125" style="57" customWidth="1"/>
    <col min="522" max="522" width="12.28515625" style="57" customWidth="1"/>
    <col min="523" max="523" width="11" style="57" customWidth="1"/>
    <col min="524" max="524" width="12" style="57" customWidth="1"/>
    <col min="525" max="525" width="12.85546875" style="57" bestFit="1" customWidth="1"/>
    <col min="526" max="526" width="13.85546875" style="57" customWidth="1"/>
    <col min="527" max="527" width="4.85546875" style="57" bestFit="1" customWidth="1"/>
    <col min="528" max="528" width="12" style="57" bestFit="1" customWidth="1"/>
    <col min="529" max="529" width="10.28515625" style="57" bestFit="1" customWidth="1"/>
    <col min="530" max="530" width="12" style="57" bestFit="1" customWidth="1"/>
    <col min="531" max="531" width="12.5703125" style="57" bestFit="1" customWidth="1"/>
    <col min="532" max="532" width="12" style="57" bestFit="1" customWidth="1"/>
    <col min="533" max="534" width="11.7109375" style="57" bestFit="1" customWidth="1"/>
    <col min="535" max="535" width="11.140625" style="57" bestFit="1" customWidth="1"/>
    <col min="536" max="768" width="9.140625" style="57"/>
    <col min="769" max="769" width="10.28515625" style="57" customWidth="1"/>
    <col min="770" max="770" width="10.42578125" style="57" customWidth="1"/>
    <col min="771" max="771" width="12.7109375" style="57" customWidth="1"/>
    <col min="772" max="772" width="11.28515625" style="57" customWidth="1"/>
    <col min="773" max="773" width="11.85546875" style="57" customWidth="1"/>
    <col min="774" max="774" width="11.7109375" style="57" customWidth="1"/>
    <col min="775" max="775" width="10.7109375" style="57" customWidth="1"/>
    <col min="776" max="776" width="11.85546875" style="57" customWidth="1"/>
    <col min="777" max="777" width="11.42578125" style="57" customWidth="1"/>
    <col min="778" max="778" width="12.28515625" style="57" customWidth="1"/>
    <col min="779" max="779" width="11" style="57" customWidth="1"/>
    <col min="780" max="780" width="12" style="57" customWidth="1"/>
    <col min="781" max="781" width="12.85546875" style="57" bestFit="1" customWidth="1"/>
    <col min="782" max="782" width="13.85546875" style="57" customWidth="1"/>
    <col min="783" max="783" width="4.85546875" style="57" bestFit="1" customWidth="1"/>
    <col min="784" max="784" width="12" style="57" bestFit="1" customWidth="1"/>
    <col min="785" max="785" width="10.28515625" style="57" bestFit="1" customWidth="1"/>
    <col min="786" max="786" width="12" style="57" bestFit="1" customWidth="1"/>
    <col min="787" max="787" width="12.5703125" style="57" bestFit="1" customWidth="1"/>
    <col min="788" max="788" width="12" style="57" bestFit="1" customWidth="1"/>
    <col min="789" max="790" width="11.7109375" style="57" bestFit="1" customWidth="1"/>
    <col min="791" max="791" width="11.140625" style="57" bestFit="1" customWidth="1"/>
    <col min="792" max="1024" width="9.140625" style="57"/>
    <col min="1025" max="1025" width="10.28515625" style="57" customWidth="1"/>
    <col min="1026" max="1026" width="10.42578125" style="57" customWidth="1"/>
    <col min="1027" max="1027" width="12.7109375" style="57" customWidth="1"/>
    <col min="1028" max="1028" width="11.28515625" style="57" customWidth="1"/>
    <col min="1029" max="1029" width="11.85546875" style="57" customWidth="1"/>
    <col min="1030" max="1030" width="11.7109375" style="57" customWidth="1"/>
    <col min="1031" max="1031" width="10.7109375" style="57" customWidth="1"/>
    <col min="1032" max="1032" width="11.85546875" style="57" customWidth="1"/>
    <col min="1033" max="1033" width="11.42578125" style="57" customWidth="1"/>
    <col min="1034" max="1034" width="12.28515625" style="57" customWidth="1"/>
    <col min="1035" max="1035" width="11" style="57" customWidth="1"/>
    <col min="1036" max="1036" width="12" style="57" customWidth="1"/>
    <col min="1037" max="1037" width="12.85546875" style="57" bestFit="1" customWidth="1"/>
    <col min="1038" max="1038" width="13.85546875" style="57" customWidth="1"/>
    <col min="1039" max="1039" width="4.85546875" style="57" bestFit="1" customWidth="1"/>
    <col min="1040" max="1040" width="12" style="57" bestFit="1" customWidth="1"/>
    <col min="1041" max="1041" width="10.28515625" style="57" bestFit="1" customWidth="1"/>
    <col min="1042" max="1042" width="12" style="57" bestFit="1" customWidth="1"/>
    <col min="1043" max="1043" width="12.5703125" style="57" bestFit="1" customWidth="1"/>
    <col min="1044" max="1044" width="12" style="57" bestFit="1" customWidth="1"/>
    <col min="1045" max="1046" width="11.7109375" style="57" bestFit="1" customWidth="1"/>
    <col min="1047" max="1047" width="11.140625" style="57" bestFit="1" customWidth="1"/>
    <col min="1048" max="1280" width="9.140625" style="57"/>
    <col min="1281" max="1281" width="10.28515625" style="57" customWidth="1"/>
    <col min="1282" max="1282" width="10.42578125" style="57" customWidth="1"/>
    <col min="1283" max="1283" width="12.7109375" style="57" customWidth="1"/>
    <col min="1284" max="1284" width="11.28515625" style="57" customWidth="1"/>
    <col min="1285" max="1285" width="11.85546875" style="57" customWidth="1"/>
    <col min="1286" max="1286" width="11.7109375" style="57" customWidth="1"/>
    <col min="1287" max="1287" width="10.7109375" style="57" customWidth="1"/>
    <col min="1288" max="1288" width="11.85546875" style="57" customWidth="1"/>
    <col min="1289" max="1289" width="11.42578125" style="57" customWidth="1"/>
    <col min="1290" max="1290" width="12.28515625" style="57" customWidth="1"/>
    <col min="1291" max="1291" width="11" style="57" customWidth="1"/>
    <col min="1292" max="1292" width="12" style="57" customWidth="1"/>
    <col min="1293" max="1293" width="12.85546875" style="57" bestFit="1" customWidth="1"/>
    <col min="1294" max="1294" width="13.85546875" style="57" customWidth="1"/>
    <col min="1295" max="1295" width="4.85546875" style="57" bestFit="1" customWidth="1"/>
    <col min="1296" max="1296" width="12" style="57" bestFit="1" customWidth="1"/>
    <col min="1297" max="1297" width="10.28515625" style="57" bestFit="1" customWidth="1"/>
    <col min="1298" max="1298" width="12" style="57" bestFit="1" customWidth="1"/>
    <col min="1299" max="1299" width="12.5703125" style="57" bestFit="1" customWidth="1"/>
    <col min="1300" max="1300" width="12" style="57" bestFit="1" customWidth="1"/>
    <col min="1301" max="1302" width="11.7109375" style="57" bestFit="1" customWidth="1"/>
    <col min="1303" max="1303" width="11.140625" style="57" bestFit="1" customWidth="1"/>
    <col min="1304" max="1536" width="9.140625" style="57"/>
    <col min="1537" max="1537" width="10.28515625" style="57" customWidth="1"/>
    <col min="1538" max="1538" width="10.42578125" style="57" customWidth="1"/>
    <col min="1539" max="1539" width="12.7109375" style="57" customWidth="1"/>
    <col min="1540" max="1540" width="11.28515625" style="57" customWidth="1"/>
    <col min="1541" max="1541" width="11.85546875" style="57" customWidth="1"/>
    <col min="1542" max="1542" width="11.7109375" style="57" customWidth="1"/>
    <col min="1543" max="1543" width="10.7109375" style="57" customWidth="1"/>
    <col min="1544" max="1544" width="11.85546875" style="57" customWidth="1"/>
    <col min="1545" max="1545" width="11.42578125" style="57" customWidth="1"/>
    <col min="1546" max="1546" width="12.28515625" style="57" customWidth="1"/>
    <col min="1547" max="1547" width="11" style="57" customWidth="1"/>
    <col min="1548" max="1548" width="12" style="57" customWidth="1"/>
    <col min="1549" max="1549" width="12.85546875" style="57" bestFit="1" customWidth="1"/>
    <col min="1550" max="1550" width="13.85546875" style="57" customWidth="1"/>
    <col min="1551" max="1551" width="4.85546875" style="57" bestFit="1" customWidth="1"/>
    <col min="1552" max="1552" width="12" style="57" bestFit="1" customWidth="1"/>
    <col min="1553" max="1553" width="10.28515625" style="57" bestFit="1" customWidth="1"/>
    <col min="1554" max="1554" width="12" style="57" bestFit="1" customWidth="1"/>
    <col min="1555" max="1555" width="12.5703125" style="57" bestFit="1" customWidth="1"/>
    <col min="1556" max="1556" width="12" style="57" bestFit="1" customWidth="1"/>
    <col min="1557" max="1558" width="11.7109375" style="57" bestFit="1" customWidth="1"/>
    <col min="1559" max="1559" width="11.140625" style="57" bestFit="1" customWidth="1"/>
    <col min="1560" max="1792" width="9.140625" style="57"/>
    <col min="1793" max="1793" width="10.28515625" style="57" customWidth="1"/>
    <col min="1794" max="1794" width="10.42578125" style="57" customWidth="1"/>
    <col min="1795" max="1795" width="12.7109375" style="57" customWidth="1"/>
    <col min="1796" max="1796" width="11.28515625" style="57" customWidth="1"/>
    <col min="1797" max="1797" width="11.85546875" style="57" customWidth="1"/>
    <col min="1798" max="1798" width="11.7109375" style="57" customWidth="1"/>
    <col min="1799" max="1799" width="10.7109375" style="57" customWidth="1"/>
    <col min="1800" max="1800" width="11.85546875" style="57" customWidth="1"/>
    <col min="1801" max="1801" width="11.42578125" style="57" customWidth="1"/>
    <col min="1802" max="1802" width="12.28515625" style="57" customWidth="1"/>
    <col min="1803" max="1803" width="11" style="57" customWidth="1"/>
    <col min="1804" max="1804" width="12" style="57" customWidth="1"/>
    <col min="1805" max="1805" width="12.85546875" style="57" bestFit="1" customWidth="1"/>
    <col min="1806" max="1806" width="13.85546875" style="57" customWidth="1"/>
    <col min="1807" max="1807" width="4.85546875" style="57" bestFit="1" customWidth="1"/>
    <col min="1808" max="1808" width="12" style="57" bestFit="1" customWidth="1"/>
    <col min="1809" max="1809" width="10.28515625" style="57" bestFit="1" customWidth="1"/>
    <col min="1810" max="1810" width="12" style="57" bestFit="1" customWidth="1"/>
    <col min="1811" max="1811" width="12.5703125" style="57" bestFit="1" customWidth="1"/>
    <col min="1812" max="1812" width="12" style="57" bestFit="1" customWidth="1"/>
    <col min="1813" max="1814" width="11.7109375" style="57" bestFit="1" customWidth="1"/>
    <col min="1815" max="1815" width="11.140625" style="57" bestFit="1" customWidth="1"/>
    <col min="1816" max="2048" width="9.140625" style="57"/>
    <col min="2049" max="2049" width="10.28515625" style="57" customWidth="1"/>
    <col min="2050" max="2050" width="10.42578125" style="57" customWidth="1"/>
    <col min="2051" max="2051" width="12.7109375" style="57" customWidth="1"/>
    <col min="2052" max="2052" width="11.28515625" style="57" customWidth="1"/>
    <col min="2053" max="2053" width="11.85546875" style="57" customWidth="1"/>
    <col min="2054" max="2054" width="11.7109375" style="57" customWidth="1"/>
    <col min="2055" max="2055" width="10.7109375" style="57" customWidth="1"/>
    <col min="2056" max="2056" width="11.85546875" style="57" customWidth="1"/>
    <col min="2057" max="2057" width="11.42578125" style="57" customWidth="1"/>
    <col min="2058" max="2058" width="12.28515625" style="57" customWidth="1"/>
    <col min="2059" max="2059" width="11" style="57" customWidth="1"/>
    <col min="2060" max="2060" width="12" style="57" customWidth="1"/>
    <col min="2061" max="2061" width="12.85546875" style="57" bestFit="1" customWidth="1"/>
    <col min="2062" max="2062" width="13.85546875" style="57" customWidth="1"/>
    <col min="2063" max="2063" width="4.85546875" style="57" bestFit="1" customWidth="1"/>
    <col min="2064" max="2064" width="12" style="57" bestFit="1" customWidth="1"/>
    <col min="2065" max="2065" width="10.28515625" style="57" bestFit="1" customWidth="1"/>
    <col min="2066" max="2066" width="12" style="57" bestFit="1" customWidth="1"/>
    <col min="2067" max="2067" width="12.5703125" style="57" bestFit="1" customWidth="1"/>
    <col min="2068" max="2068" width="12" style="57" bestFit="1" customWidth="1"/>
    <col min="2069" max="2070" width="11.7109375" style="57" bestFit="1" customWidth="1"/>
    <col min="2071" max="2071" width="11.140625" style="57" bestFit="1" customWidth="1"/>
    <col min="2072" max="2304" width="9.140625" style="57"/>
    <col min="2305" max="2305" width="10.28515625" style="57" customWidth="1"/>
    <col min="2306" max="2306" width="10.42578125" style="57" customWidth="1"/>
    <col min="2307" max="2307" width="12.7109375" style="57" customWidth="1"/>
    <col min="2308" max="2308" width="11.28515625" style="57" customWidth="1"/>
    <col min="2309" max="2309" width="11.85546875" style="57" customWidth="1"/>
    <col min="2310" max="2310" width="11.7109375" style="57" customWidth="1"/>
    <col min="2311" max="2311" width="10.7109375" style="57" customWidth="1"/>
    <col min="2312" max="2312" width="11.85546875" style="57" customWidth="1"/>
    <col min="2313" max="2313" width="11.42578125" style="57" customWidth="1"/>
    <col min="2314" max="2314" width="12.28515625" style="57" customWidth="1"/>
    <col min="2315" max="2315" width="11" style="57" customWidth="1"/>
    <col min="2316" max="2316" width="12" style="57" customWidth="1"/>
    <col min="2317" max="2317" width="12.85546875" style="57" bestFit="1" customWidth="1"/>
    <col min="2318" max="2318" width="13.85546875" style="57" customWidth="1"/>
    <col min="2319" max="2319" width="4.85546875" style="57" bestFit="1" customWidth="1"/>
    <col min="2320" max="2320" width="12" style="57" bestFit="1" customWidth="1"/>
    <col min="2321" max="2321" width="10.28515625" style="57" bestFit="1" customWidth="1"/>
    <col min="2322" max="2322" width="12" style="57" bestFit="1" customWidth="1"/>
    <col min="2323" max="2323" width="12.5703125" style="57" bestFit="1" customWidth="1"/>
    <col min="2324" max="2324" width="12" style="57" bestFit="1" customWidth="1"/>
    <col min="2325" max="2326" width="11.7109375" style="57" bestFit="1" customWidth="1"/>
    <col min="2327" max="2327" width="11.140625" style="57" bestFit="1" customWidth="1"/>
    <col min="2328" max="2560" width="9.140625" style="57"/>
    <col min="2561" max="2561" width="10.28515625" style="57" customWidth="1"/>
    <col min="2562" max="2562" width="10.42578125" style="57" customWidth="1"/>
    <col min="2563" max="2563" width="12.7109375" style="57" customWidth="1"/>
    <col min="2564" max="2564" width="11.28515625" style="57" customWidth="1"/>
    <col min="2565" max="2565" width="11.85546875" style="57" customWidth="1"/>
    <col min="2566" max="2566" width="11.7109375" style="57" customWidth="1"/>
    <col min="2567" max="2567" width="10.7109375" style="57" customWidth="1"/>
    <col min="2568" max="2568" width="11.85546875" style="57" customWidth="1"/>
    <col min="2569" max="2569" width="11.42578125" style="57" customWidth="1"/>
    <col min="2570" max="2570" width="12.28515625" style="57" customWidth="1"/>
    <col min="2571" max="2571" width="11" style="57" customWidth="1"/>
    <col min="2572" max="2572" width="12" style="57" customWidth="1"/>
    <col min="2573" max="2573" width="12.85546875" style="57" bestFit="1" customWidth="1"/>
    <col min="2574" max="2574" width="13.85546875" style="57" customWidth="1"/>
    <col min="2575" max="2575" width="4.85546875" style="57" bestFit="1" customWidth="1"/>
    <col min="2576" max="2576" width="12" style="57" bestFit="1" customWidth="1"/>
    <col min="2577" max="2577" width="10.28515625" style="57" bestFit="1" customWidth="1"/>
    <col min="2578" max="2578" width="12" style="57" bestFit="1" customWidth="1"/>
    <col min="2579" max="2579" width="12.5703125" style="57" bestFit="1" customWidth="1"/>
    <col min="2580" max="2580" width="12" style="57" bestFit="1" customWidth="1"/>
    <col min="2581" max="2582" width="11.7109375" style="57" bestFit="1" customWidth="1"/>
    <col min="2583" max="2583" width="11.140625" style="57" bestFit="1" customWidth="1"/>
    <col min="2584" max="2816" width="9.140625" style="57"/>
    <col min="2817" max="2817" width="10.28515625" style="57" customWidth="1"/>
    <col min="2818" max="2818" width="10.42578125" style="57" customWidth="1"/>
    <col min="2819" max="2819" width="12.7109375" style="57" customWidth="1"/>
    <col min="2820" max="2820" width="11.28515625" style="57" customWidth="1"/>
    <col min="2821" max="2821" width="11.85546875" style="57" customWidth="1"/>
    <col min="2822" max="2822" width="11.7109375" style="57" customWidth="1"/>
    <col min="2823" max="2823" width="10.7109375" style="57" customWidth="1"/>
    <col min="2824" max="2824" width="11.85546875" style="57" customWidth="1"/>
    <col min="2825" max="2825" width="11.42578125" style="57" customWidth="1"/>
    <col min="2826" max="2826" width="12.28515625" style="57" customWidth="1"/>
    <col min="2827" max="2827" width="11" style="57" customWidth="1"/>
    <col min="2828" max="2828" width="12" style="57" customWidth="1"/>
    <col min="2829" max="2829" width="12.85546875" style="57" bestFit="1" customWidth="1"/>
    <col min="2830" max="2830" width="13.85546875" style="57" customWidth="1"/>
    <col min="2831" max="2831" width="4.85546875" style="57" bestFit="1" customWidth="1"/>
    <col min="2832" max="2832" width="12" style="57" bestFit="1" customWidth="1"/>
    <col min="2833" max="2833" width="10.28515625" style="57" bestFit="1" customWidth="1"/>
    <col min="2834" max="2834" width="12" style="57" bestFit="1" customWidth="1"/>
    <col min="2835" max="2835" width="12.5703125" style="57" bestFit="1" customWidth="1"/>
    <col min="2836" max="2836" width="12" style="57" bestFit="1" customWidth="1"/>
    <col min="2837" max="2838" width="11.7109375" style="57" bestFit="1" customWidth="1"/>
    <col min="2839" max="2839" width="11.140625" style="57" bestFit="1" customWidth="1"/>
    <col min="2840" max="3072" width="9.140625" style="57"/>
    <col min="3073" max="3073" width="10.28515625" style="57" customWidth="1"/>
    <col min="3074" max="3074" width="10.42578125" style="57" customWidth="1"/>
    <col min="3075" max="3075" width="12.7109375" style="57" customWidth="1"/>
    <col min="3076" max="3076" width="11.28515625" style="57" customWidth="1"/>
    <col min="3077" max="3077" width="11.85546875" style="57" customWidth="1"/>
    <col min="3078" max="3078" width="11.7109375" style="57" customWidth="1"/>
    <col min="3079" max="3079" width="10.7109375" style="57" customWidth="1"/>
    <col min="3080" max="3080" width="11.85546875" style="57" customWidth="1"/>
    <col min="3081" max="3081" width="11.42578125" style="57" customWidth="1"/>
    <col min="3082" max="3082" width="12.28515625" style="57" customWidth="1"/>
    <col min="3083" max="3083" width="11" style="57" customWidth="1"/>
    <col min="3084" max="3084" width="12" style="57" customWidth="1"/>
    <col min="3085" max="3085" width="12.85546875" style="57" bestFit="1" customWidth="1"/>
    <col min="3086" max="3086" width="13.85546875" style="57" customWidth="1"/>
    <col min="3087" max="3087" width="4.85546875" style="57" bestFit="1" customWidth="1"/>
    <col min="3088" max="3088" width="12" style="57" bestFit="1" customWidth="1"/>
    <col min="3089" max="3089" width="10.28515625" style="57" bestFit="1" customWidth="1"/>
    <col min="3090" max="3090" width="12" style="57" bestFit="1" customWidth="1"/>
    <col min="3091" max="3091" width="12.5703125" style="57" bestFit="1" customWidth="1"/>
    <col min="3092" max="3092" width="12" style="57" bestFit="1" customWidth="1"/>
    <col min="3093" max="3094" width="11.7109375" style="57" bestFit="1" customWidth="1"/>
    <col min="3095" max="3095" width="11.140625" style="57" bestFit="1" customWidth="1"/>
    <col min="3096" max="3328" width="9.140625" style="57"/>
    <col min="3329" max="3329" width="10.28515625" style="57" customWidth="1"/>
    <col min="3330" max="3330" width="10.42578125" style="57" customWidth="1"/>
    <col min="3331" max="3331" width="12.7109375" style="57" customWidth="1"/>
    <col min="3332" max="3332" width="11.28515625" style="57" customWidth="1"/>
    <col min="3333" max="3333" width="11.85546875" style="57" customWidth="1"/>
    <col min="3334" max="3334" width="11.7109375" style="57" customWidth="1"/>
    <col min="3335" max="3335" width="10.7109375" style="57" customWidth="1"/>
    <col min="3336" max="3336" width="11.85546875" style="57" customWidth="1"/>
    <col min="3337" max="3337" width="11.42578125" style="57" customWidth="1"/>
    <col min="3338" max="3338" width="12.28515625" style="57" customWidth="1"/>
    <col min="3339" max="3339" width="11" style="57" customWidth="1"/>
    <col min="3340" max="3340" width="12" style="57" customWidth="1"/>
    <col min="3341" max="3341" width="12.85546875" style="57" bestFit="1" customWidth="1"/>
    <col min="3342" max="3342" width="13.85546875" style="57" customWidth="1"/>
    <col min="3343" max="3343" width="4.85546875" style="57" bestFit="1" customWidth="1"/>
    <col min="3344" max="3344" width="12" style="57" bestFit="1" customWidth="1"/>
    <col min="3345" max="3345" width="10.28515625" style="57" bestFit="1" customWidth="1"/>
    <col min="3346" max="3346" width="12" style="57" bestFit="1" customWidth="1"/>
    <col min="3347" max="3347" width="12.5703125" style="57" bestFit="1" customWidth="1"/>
    <col min="3348" max="3348" width="12" style="57" bestFit="1" customWidth="1"/>
    <col min="3349" max="3350" width="11.7109375" style="57" bestFit="1" customWidth="1"/>
    <col min="3351" max="3351" width="11.140625" style="57" bestFit="1" customWidth="1"/>
    <col min="3352" max="3584" width="9.140625" style="57"/>
    <col min="3585" max="3585" width="10.28515625" style="57" customWidth="1"/>
    <col min="3586" max="3586" width="10.42578125" style="57" customWidth="1"/>
    <col min="3587" max="3587" width="12.7109375" style="57" customWidth="1"/>
    <col min="3588" max="3588" width="11.28515625" style="57" customWidth="1"/>
    <col min="3589" max="3589" width="11.85546875" style="57" customWidth="1"/>
    <col min="3590" max="3590" width="11.7109375" style="57" customWidth="1"/>
    <col min="3591" max="3591" width="10.7109375" style="57" customWidth="1"/>
    <col min="3592" max="3592" width="11.85546875" style="57" customWidth="1"/>
    <col min="3593" max="3593" width="11.42578125" style="57" customWidth="1"/>
    <col min="3594" max="3594" width="12.28515625" style="57" customWidth="1"/>
    <col min="3595" max="3595" width="11" style="57" customWidth="1"/>
    <col min="3596" max="3596" width="12" style="57" customWidth="1"/>
    <col min="3597" max="3597" width="12.85546875" style="57" bestFit="1" customWidth="1"/>
    <col min="3598" max="3598" width="13.85546875" style="57" customWidth="1"/>
    <col min="3599" max="3599" width="4.85546875" style="57" bestFit="1" customWidth="1"/>
    <col min="3600" max="3600" width="12" style="57" bestFit="1" customWidth="1"/>
    <col min="3601" max="3601" width="10.28515625" style="57" bestFit="1" customWidth="1"/>
    <col min="3602" max="3602" width="12" style="57" bestFit="1" customWidth="1"/>
    <col min="3603" max="3603" width="12.5703125" style="57" bestFit="1" customWidth="1"/>
    <col min="3604" max="3604" width="12" style="57" bestFit="1" customWidth="1"/>
    <col min="3605" max="3606" width="11.7109375" style="57" bestFit="1" customWidth="1"/>
    <col min="3607" max="3607" width="11.140625" style="57" bestFit="1" customWidth="1"/>
    <col min="3608" max="3840" width="9.140625" style="57"/>
    <col min="3841" max="3841" width="10.28515625" style="57" customWidth="1"/>
    <col min="3842" max="3842" width="10.42578125" style="57" customWidth="1"/>
    <col min="3843" max="3843" width="12.7109375" style="57" customWidth="1"/>
    <col min="3844" max="3844" width="11.28515625" style="57" customWidth="1"/>
    <col min="3845" max="3845" width="11.85546875" style="57" customWidth="1"/>
    <col min="3846" max="3846" width="11.7109375" style="57" customWidth="1"/>
    <col min="3847" max="3847" width="10.7109375" style="57" customWidth="1"/>
    <col min="3848" max="3848" width="11.85546875" style="57" customWidth="1"/>
    <col min="3849" max="3849" width="11.42578125" style="57" customWidth="1"/>
    <col min="3850" max="3850" width="12.28515625" style="57" customWidth="1"/>
    <col min="3851" max="3851" width="11" style="57" customWidth="1"/>
    <col min="3852" max="3852" width="12" style="57" customWidth="1"/>
    <col min="3853" max="3853" width="12.85546875" style="57" bestFit="1" customWidth="1"/>
    <col min="3854" max="3854" width="13.85546875" style="57" customWidth="1"/>
    <col min="3855" max="3855" width="4.85546875" style="57" bestFit="1" customWidth="1"/>
    <col min="3856" max="3856" width="12" style="57" bestFit="1" customWidth="1"/>
    <col min="3857" max="3857" width="10.28515625" style="57" bestFit="1" customWidth="1"/>
    <col min="3858" max="3858" width="12" style="57" bestFit="1" customWidth="1"/>
    <col min="3859" max="3859" width="12.5703125" style="57" bestFit="1" customWidth="1"/>
    <col min="3860" max="3860" width="12" style="57" bestFit="1" customWidth="1"/>
    <col min="3861" max="3862" width="11.7109375" style="57" bestFit="1" customWidth="1"/>
    <col min="3863" max="3863" width="11.140625" style="57" bestFit="1" customWidth="1"/>
    <col min="3864" max="4096" width="9.140625" style="57"/>
    <col min="4097" max="4097" width="10.28515625" style="57" customWidth="1"/>
    <col min="4098" max="4098" width="10.42578125" style="57" customWidth="1"/>
    <col min="4099" max="4099" width="12.7109375" style="57" customWidth="1"/>
    <col min="4100" max="4100" width="11.28515625" style="57" customWidth="1"/>
    <col min="4101" max="4101" width="11.85546875" style="57" customWidth="1"/>
    <col min="4102" max="4102" width="11.7109375" style="57" customWidth="1"/>
    <col min="4103" max="4103" width="10.7109375" style="57" customWidth="1"/>
    <col min="4104" max="4104" width="11.85546875" style="57" customWidth="1"/>
    <col min="4105" max="4105" width="11.42578125" style="57" customWidth="1"/>
    <col min="4106" max="4106" width="12.28515625" style="57" customWidth="1"/>
    <col min="4107" max="4107" width="11" style="57" customWidth="1"/>
    <col min="4108" max="4108" width="12" style="57" customWidth="1"/>
    <col min="4109" max="4109" width="12.85546875" style="57" bestFit="1" customWidth="1"/>
    <col min="4110" max="4110" width="13.85546875" style="57" customWidth="1"/>
    <col min="4111" max="4111" width="4.85546875" style="57" bestFit="1" customWidth="1"/>
    <col min="4112" max="4112" width="12" style="57" bestFit="1" customWidth="1"/>
    <col min="4113" max="4113" width="10.28515625" style="57" bestFit="1" customWidth="1"/>
    <col min="4114" max="4114" width="12" style="57" bestFit="1" customWidth="1"/>
    <col min="4115" max="4115" width="12.5703125" style="57" bestFit="1" customWidth="1"/>
    <col min="4116" max="4116" width="12" style="57" bestFit="1" customWidth="1"/>
    <col min="4117" max="4118" width="11.7109375" style="57" bestFit="1" customWidth="1"/>
    <col min="4119" max="4119" width="11.140625" style="57" bestFit="1" customWidth="1"/>
    <col min="4120" max="4352" width="9.140625" style="57"/>
    <col min="4353" max="4353" width="10.28515625" style="57" customWidth="1"/>
    <col min="4354" max="4354" width="10.42578125" style="57" customWidth="1"/>
    <col min="4355" max="4355" width="12.7109375" style="57" customWidth="1"/>
    <col min="4356" max="4356" width="11.28515625" style="57" customWidth="1"/>
    <col min="4357" max="4357" width="11.85546875" style="57" customWidth="1"/>
    <col min="4358" max="4358" width="11.7109375" style="57" customWidth="1"/>
    <col min="4359" max="4359" width="10.7109375" style="57" customWidth="1"/>
    <col min="4360" max="4360" width="11.85546875" style="57" customWidth="1"/>
    <col min="4361" max="4361" width="11.42578125" style="57" customWidth="1"/>
    <col min="4362" max="4362" width="12.28515625" style="57" customWidth="1"/>
    <col min="4363" max="4363" width="11" style="57" customWidth="1"/>
    <col min="4364" max="4364" width="12" style="57" customWidth="1"/>
    <col min="4365" max="4365" width="12.85546875" style="57" bestFit="1" customWidth="1"/>
    <col min="4366" max="4366" width="13.85546875" style="57" customWidth="1"/>
    <col min="4367" max="4367" width="4.85546875" style="57" bestFit="1" customWidth="1"/>
    <col min="4368" max="4368" width="12" style="57" bestFit="1" customWidth="1"/>
    <col min="4369" max="4369" width="10.28515625" style="57" bestFit="1" customWidth="1"/>
    <col min="4370" max="4370" width="12" style="57" bestFit="1" customWidth="1"/>
    <col min="4371" max="4371" width="12.5703125" style="57" bestFit="1" customWidth="1"/>
    <col min="4372" max="4372" width="12" style="57" bestFit="1" customWidth="1"/>
    <col min="4373" max="4374" width="11.7109375" style="57" bestFit="1" customWidth="1"/>
    <col min="4375" max="4375" width="11.140625" style="57" bestFit="1" customWidth="1"/>
    <col min="4376" max="4608" width="9.140625" style="57"/>
    <col min="4609" max="4609" width="10.28515625" style="57" customWidth="1"/>
    <col min="4610" max="4610" width="10.42578125" style="57" customWidth="1"/>
    <col min="4611" max="4611" width="12.7109375" style="57" customWidth="1"/>
    <col min="4612" max="4612" width="11.28515625" style="57" customWidth="1"/>
    <col min="4613" max="4613" width="11.85546875" style="57" customWidth="1"/>
    <col min="4614" max="4614" width="11.7109375" style="57" customWidth="1"/>
    <col min="4615" max="4615" width="10.7109375" style="57" customWidth="1"/>
    <col min="4616" max="4616" width="11.85546875" style="57" customWidth="1"/>
    <col min="4617" max="4617" width="11.42578125" style="57" customWidth="1"/>
    <col min="4618" max="4618" width="12.28515625" style="57" customWidth="1"/>
    <col min="4619" max="4619" width="11" style="57" customWidth="1"/>
    <col min="4620" max="4620" width="12" style="57" customWidth="1"/>
    <col min="4621" max="4621" width="12.85546875" style="57" bestFit="1" customWidth="1"/>
    <col min="4622" max="4622" width="13.85546875" style="57" customWidth="1"/>
    <col min="4623" max="4623" width="4.85546875" style="57" bestFit="1" customWidth="1"/>
    <col min="4624" max="4624" width="12" style="57" bestFit="1" customWidth="1"/>
    <col min="4625" max="4625" width="10.28515625" style="57" bestFit="1" customWidth="1"/>
    <col min="4626" max="4626" width="12" style="57" bestFit="1" customWidth="1"/>
    <col min="4627" max="4627" width="12.5703125" style="57" bestFit="1" customWidth="1"/>
    <col min="4628" max="4628" width="12" style="57" bestFit="1" customWidth="1"/>
    <col min="4629" max="4630" width="11.7109375" style="57" bestFit="1" customWidth="1"/>
    <col min="4631" max="4631" width="11.140625" style="57" bestFit="1" customWidth="1"/>
    <col min="4632" max="4864" width="9.140625" style="57"/>
    <col min="4865" max="4865" width="10.28515625" style="57" customWidth="1"/>
    <col min="4866" max="4866" width="10.42578125" style="57" customWidth="1"/>
    <col min="4867" max="4867" width="12.7109375" style="57" customWidth="1"/>
    <col min="4868" max="4868" width="11.28515625" style="57" customWidth="1"/>
    <col min="4869" max="4869" width="11.85546875" style="57" customWidth="1"/>
    <col min="4870" max="4870" width="11.7109375" style="57" customWidth="1"/>
    <col min="4871" max="4871" width="10.7109375" style="57" customWidth="1"/>
    <col min="4872" max="4872" width="11.85546875" style="57" customWidth="1"/>
    <col min="4873" max="4873" width="11.42578125" style="57" customWidth="1"/>
    <col min="4874" max="4874" width="12.28515625" style="57" customWidth="1"/>
    <col min="4875" max="4875" width="11" style="57" customWidth="1"/>
    <col min="4876" max="4876" width="12" style="57" customWidth="1"/>
    <col min="4877" max="4877" width="12.85546875" style="57" bestFit="1" customWidth="1"/>
    <col min="4878" max="4878" width="13.85546875" style="57" customWidth="1"/>
    <col min="4879" max="4879" width="4.85546875" style="57" bestFit="1" customWidth="1"/>
    <col min="4880" max="4880" width="12" style="57" bestFit="1" customWidth="1"/>
    <col min="4881" max="4881" width="10.28515625" style="57" bestFit="1" customWidth="1"/>
    <col min="4882" max="4882" width="12" style="57" bestFit="1" customWidth="1"/>
    <col min="4883" max="4883" width="12.5703125" style="57" bestFit="1" customWidth="1"/>
    <col min="4884" max="4884" width="12" style="57" bestFit="1" customWidth="1"/>
    <col min="4885" max="4886" width="11.7109375" style="57" bestFit="1" customWidth="1"/>
    <col min="4887" max="4887" width="11.140625" style="57" bestFit="1" customWidth="1"/>
    <col min="4888" max="5120" width="9.140625" style="57"/>
    <col min="5121" max="5121" width="10.28515625" style="57" customWidth="1"/>
    <col min="5122" max="5122" width="10.42578125" style="57" customWidth="1"/>
    <col min="5123" max="5123" width="12.7109375" style="57" customWidth="1"/>
    <col min="5124" max="5124" width="11.28515625" style="57" customWidth="1"/>
    <col min="5125" max="5125" width="11.85546875" style="57" customWidth="1"/>
    <col min="5126" max="5126" width="11.7109375" style="57" customWidth="1"/>
    <col min="5127" max="5127" width="10.7109375" style="57" customWidth="1"/>
    <col min="5128" max="5128" width="11.85546875" style="57" customWidth="1"/>
    <col min="5129" max="5129" width="11.42578125" style="57" customWidth="1"/>
    <col min="5130" max="5130" width="12.28515625" style="57" customWidth="1"/>
    <col min="5131" max="5131" width="11" style="57" customWidth="1"/>
    <col min="5132" max="5132" width="12" style="57" customWidth="1"/>
    <col min="5133" max="5133" width="12.85546875" style="57" bestFit="1" customWidth="1"/>
    <col min="5134" max="5134" width="13.85546875" style="57" customWidth="1"/>
    <col min="5135" max="5135" width="4.85546875" style="57" bestFit="1" customWidth="1"/>
    <col min="5136" max="5136" width="12" style="57" bestFit="1" customWidth="1"/>
    <col min="5137" max="5137" width="10.28515625" style="57" bestFit="1" customWidth="1"/>
    <col min="5138" max="5138" width="12" style="57" bestFit="1" customWidth="1"/>
    <col min="5139" max="5139" width="12.5703125" style="57" bestFit="1" customWidth="1"/>
    <col min="5140" max="5140" width="12" style="57" bestFit="1" customWidth="1"/>
    <col min="5141" max="5142" width="11.7109375" style="57" bestFit="1" customWidth="1"/>
    <col min="5143" max="5143" width="11.140625" style="57" bestFit="1" customWidth="1"/>
    <col min="5144" max="5376" width="9.140625" style="57"/>
    <col min="5377" max="5377" width="10.28515625" style="57" customWidth="1"/>
    <col min="5378" max="5378" width="10.42578125" style="57" customWidth="1"/>
    <col min="5379" max="5379" width="12.7109375" style="57" customWidth="1"/>
    <col min="5380" max="5380" width="11.28515625" style="57" customWidth="1"/>
    <col min="5381" max="5381" width="11.85546875" style="57" customWidth="1"/>
    <col min="5382" max="5382" width="11.7109375" style="57" customWidth="1"/>
    <col min="5383" max="5383" width="10.7109375" style="57" customWidth="1"/>
    <col min="5384" max="5384" width="11.85546875" style="57" customWidth="1"/>
    <col min="5385" max="5385" width="11.42578125" style="57" customWidth="1"/>
    <col min="5386" max="5386" width="12.28515625" style="57" customWidth="1"/>
    <col min="5387" max="5387" width="11" style="57" customWidth="1"/>
    <col min="5388" max="5388" width="12" style="57" customWidth="1"/>
    <col min="5389" max="5389" width="12.85546875" style="57" bestFit="1" customWidth="1"/>
    <col min="5390" max="5390" width="13.85546875" style="57" customWidth="1"/>
    <col min="5391" max="5391" width="4.85546875" style="57" bestFit="1" customWidth="1"/>
    <col min="5392" max="5392" width="12" style="57" bestFit="1" customWidth="1"/>
    <col min="5393" max="5393" width="10.28515625" style="57" bestFit="1" customWidth="1"/>
    <col min="5394" max="5394" width="12" style="57" bestFit="1" customWidth="1"/>
    <col min="5395" max="5395" width="12.5703125" style="57" bestFit="1" customWidth="1"/>
    <col min="5396" max="5396" width="12" style="57" bestFit="1" customWidth="1"/>
    <col min="5397" max="5398" width="11.7109375" style="57" bestFit="1" customWidth="1"/>
    <col min="5399" max="5399" width="11.140625" style="57" bestFit="1" customWidth="1"/>
    <col min="5400" max="5632" width="9.140625" style="57"/>
    <col min="5633" max="5633" width="10.28515625" style="57" customWidth="1"/>
    <col min="5634" max="5634" width="10.42578125" style="57" customWidth="1"/>
    <col min="5635" max="5635" width="12.7109375" style="57" customWidth="1"/>
    <col min="5636" max="5636" width="11.28515625" style="57" customWidth="1"/>
    <col min="5637" max="5637" width="11.85546875" style="57" customWidth="1"/>
    <col min="5638" max="5638" width="11.7109375" style="57" customWidth="1"/>
    <col min="5639" max="5639" width="10.7109375" style="57" customWidth="1"/>
    <col min="5640" max="5640" width="11.85546875" style="57" customWidth="1"/>
    <col min="5641" max="5641" width="11.42578125" style="57" customWidth="1"/>
    <col min="5642" max="5642" width="12.28515625" style="57" customWidth="1"/>
    <col min="5643" max="5643" width="11" style="57" customWidth="1"/>
    <col min="5644" max="5644" width="12" style="57" customWidth="1"/>
    <col min="5645" max="5645" width="12.85546875" style="57" bestFit="1" customWidth="1"/>
    <col min="5646" max="5646" width="13.85546875" style="57" customWidth="1"/>
    <col min="5647" max="5647" width="4.85546875" style="57" bestFit="1" customWidth="1"/>
    <col min="5648" max="5648" width="12" style="57" bestFit="1" customWidth="1"/>
    <col min="5649" max="5649" width="10.28515625" style="57" bestFit="1" customWidth="1"/>
    <col min="5650" max="5650" width="12" style="57" bestFit="1" customWidth="1"/>
    <col min="5651" max="5651" width="12.5703125" style="57" bestFit="1" customWidth="1"/>
    <col min="5652" max="5652" width="12" style="57" bestFit="1" customWidth="1"/>
    <col min="5653" max="5654" width="11.7109375" style="57" bestFit="1" customWidth="1"/>
    <col min="5655" max="5655" width="11.140625" style="57" bestFit="1" customWidth="1"/>
    <col min="5656" max="5888" width="9.140625" style="57"/>
    <col min="5889" max="5889" width="10.28515625" style="57" customWidth="1"/>
    <col min="5890" max="5890" width="10.42578125" style="57" customWidth="1"/>
    <col min="5891" max="5891" width="12.7109375" style="57" customWidth="1"/>
    <col min="5892" max="5892" width="11.28515625" style="57" customWidth="1"/>
    <col min="5893" max="5893" width="11.85546875" style="57" customWidth="1"/>
    <col min="5894" max="5894" width="11.7109375" style="57" customWidth="1"/>
    <col min="5895" max="5895" width="10.7109375" style="57" customWidth="1"/>
    <col min="5896" max="5896" width="11.85546875" style="57" customWidth="1"/>
    <col min="5897" max="5897" width="11.42578125" style="57" customWidth="1"/>
    <col min="5898" max="5898" width="12.28515625" style="57" customWidth="1"/>
    <col min="5899" max="5899" width="11" style="57" customWidth="1"/>
    <col min="5900" max="5900" width="12" style="57" customWidth="1"/>
    <col min="5901" max="5901" width="12.85546875" style="57" bestFit="1" customWidth="1"/>
    <col min="5902" max="5902" width="13.85546875" style="57" customWidth="1"/>
    <col min="5903" max="5903" width="4.85546875" style="57" bestFit="1" customWidth="1"/>
    <col min="5904" max="5904" width="12" style="57" bestFit="1" customWidth="1"/>
    <col min="5905" max="5905" width="10.28515625" style="57" bestFit="1" customWidth="1"/>
    <col min="5906" max="5906" width="12" style="57" bestFit="1" customWidth="1"/>
    <col min="5907" max="5907" width="12.5703125" style="57" bestFit="1" customWidth="1"/>
    <col min="5908" max="5908" width="12" style="57" bestFit="1" customWidth="1"/>
    <col min="5909" max="5910" width="11.7109375" style="57" bestFit="1" customWidth="1"/>
    <col min="5911" max="5911" width="11.140625" style="57" bestFit="1" customWidth="1"/>
    <col min="5912" max="6144" width="9.140625" style="57"/>
    <col min="6145" max="6145" width="10.28515625" style="57" customWidth="1"/>
    <col min="6146" max="6146" width="10.42578125" style="57" customWidth="1"/>
    <col min="6147" max="6147" width="12.7109375" style="57" customWidth="1"/>
    <col min="6148" max="6148" width="11.28515625" style="57" customWidth="1"/>
    <col min="6149" max="6149" width="11.85546875" style="57" customWidth="1"/>
    <col min="6150" max="6150" width="11.7109375" style="57" customWidth="1"/>
    <col min="6151" max="6151" width="10.7109375" style="57" customWidth="1"/>
    <col min="6152" max="6152" width="11.85546875" style="57" customWidth="1"/>
    <col min="6153" max="6153" width="11.42578125" style="57" customWidth="1"/>
    <col min="6154" max="6154" width="12.28515625" style="57" customWidth="1"/>
    <col min="6155" max="6155" width="11" style="57" customWidth="1"/>
    <col min="6156" max="6156" width="12" style="57" customWidth="1"/>
    <col min="6157" max="6157" width="12.85546875" style="57" bestFit="1" customWidth="1"/>
    <col min="6158" max="6158" width="13.85546875" style="57" customWidth="1"/>
    <col min="6159" max="6159" width="4.85546875" style="57" bestFit="1" customWidth="1"/>
    <col min="6160" max="6160" width="12" style="57" bestFit="1" customWidth="1"/>
    <col min="6161" max="6161" width="10.28515625" style="57" bestFit="1" customWidth="1"/>
    <col min="6162" max="6162" width="12" style="57" bestFit="1" customWidth="1"/>
    <col min="6163" max="6163" width="12.5703125" style="57" bestFit="1" customWidth="1"/>
    <col min="6164" max="6164" width="12" style="57" bestFit="1" customWidth="1"/>
    <col min="6165" max="6166" width="11.7109375" style="57" bestFit="1" customWidth="1"/>
    <col min="6167" max="6167" width="11.140625" style="57" bestFit="1" customWidth="1"/>
    <col min="6168" max="6400" width="9.140625" style="57"/>
    <col min="6401" max="6401" width="10.28515625" style="57" customWidth="1"/>
    <col min="6402" max="6402" width="10.42578125" style="57" customWidth="1"/>
    <col min="6403" max="6403" width="12.7109375" style="57" customWidth="1"/>
    <col min="6404" max="6404" width="11.28515625" style="57" customWidth="1"/>
    <col min="6405" max="6405" width="11.85546875" style="57" customWidth="1"/>
    <col min="6406" max="6406" width="11.7109375" style="57" customWidth="1"/>
    <col min="6407" max="6407" width="10.7109375" style="57" customWidth="1"/>
    <col min="6408" max="6408" width="11.85546875" style="57" customWidth="1"/>
    <col min="6409" max="6409" width="11.42578125" style="57" customWidth="1"/>
    <col min="6410" max="6410" width="12.28515625" style="57" customWidth="1"/>
    <col min="6411" max="6411" width="11" style="57" customWidth="1"/>
    <col min="6412" max="6412" width="12" style="57" customWidth="1"/>
    <col min="6413" max="6413" width="12.85546875" style="57" bestFit="1" customWidth="1"/>
    <col min="6414" max="6414" width="13.85546875" style="57" customWidth="1"/>
    <col min="6415" max="6415" width="4.85546875" style="57" bestFit="1" customWidth="1"/>
    <col min="6416" max="6416" width="12" style="57" bestFit="1" customWidth="1"/>
    <col min="6417" max="6417" width="10.28515625" style="57" bestFit="1" customWidth="1"/>
    <col min="6418" max="6418" width="12" style="57" bestFit="1" customWidth="1"/>
    <col min="6419" max="6419" width="12.5703125" style="57" bestFit="1" customWidth="1"/>
    <col min="6420" max="6420" width="12" style="57" bestFit="1" customWidth="1"/>
    <col min="6421" max="6422" width="11.7109375" style="57" bestFit="1" customWidth="1"/>
    <col min="6423" max="6423" width="11.140625" style="57" bestFit="1" customWidth="1"/>
    <col min="6424" max="6656" width="9.140625" style="57"/>
    <col min="6657" max="6657" width="10.28515625" style="57" customWidth="1"/>
    <col min="6658" max="6658" width="10.42578125" style="57" customWidth="1"/>
    <col min="6659" max="6659" width="12.7109375" style="57" customWidth="1"/>
    <col min="6660" max="6660" width="11.28515625" style="57" customWidth="1"/>
    <col min="6661" max="6661" width="11.85546875" style="57" customWidth="1"/>
    <col min="6662" max="6662" width="11.7109375" style="57" customWidth="1"/>
    <col min="6663" max="6663" width="10.7109375" style="57" customWidth="1"/>
    <col min="6664" max="6664" width="11.85546875" style="57" customWidth="1"/>
    <col min="6665" max="6665" width="11.42578125" style="57" customWidth="1"/>
    <col min="6666" max="6666" width="12.28515625" style="57" customWidth="1"/>
    <col min="6667" max="6667" width="11" style="57" customWidth="1"/>
    <col min="6668" max="6668" width="12" style="57" customWidth="1"/>
    <col min="6669" max="6669" width="12.85546875" style="57" bestFit="1" customWidth="1"/>
    <col min="6670" max="6670" width="13.85546875" style="57" customWidth="1"/>
    <col min="6671" max="6671" width="4.85546875" style="57" bestFit="1" customWidth="1"/>
    <col min="6672" max="6672" width="12" style="57" bestFit="1" customWidth="1"/>
    <col min="6673" max="6673" width="10.28515625" style="57" bestFit="1" customWidth="1"/>
    <col min="6674" max="6674" width="12" style="57" bestFit="1" customWidth="1"/>
    <col min="6675" max="6675" width="12.5703125" style="57" bestFit="1" customWidth="1"/>
    <col min="6676" max="6676" width="12" style="57" bestFit="1" customWidth="1"/>
    <col min="6677" max="6678" width="11.7109375" style="57" bestFit="1" customWidth="1"/>
    <col min="6679" max="6679" width="11.140625" style="57" bestFit="1" customWidth="1"/>
    <col min="6680" max="6912" width="9.140625" style="57"/>
    <col min="6913" max="6913" width="10.28515625" style="57" customWidth="1"/>
    <col min="6914" max="6914" width="10.42578125" style="57" customWidth="1"/>
    <col min="6915" max="6915" width="12.7109375" style="57" customWidth="1"/>
    <col min="6916" max="6916" width="11.28515625" style="57" customWidth="1"/>
    <col min="6917" max="6917" width="11.85546875" style="57" customWidth="1"/>
    <col min="6918" max="6918" width="11.7109375" style="57" customWidth="1"/>
    <col min="6919" max="6919" width="10.7109375" style="57" customWidth="1"/>
    <col min="6920" max="6920" width="11.85546875" style="57" customWidth="1"/>
    <col min="6921" max="6921" width="11.42578125" style="57" customWidth="1"/>
    <col min="6922" max="6922" width="12.28515625" style="57" customWidth="1"/>
    <col min="6923" max="6923" width="11" style="57" customWidth="1"/>
    <col min="6924" max="6924" width="12" style="57" customWidth="1"/>
    <col min="6925" max="6925" width="12.85546875" style="57" bestFit="1" customWidth="1"/>
    <col min="6926" max="6926" width="13.85546875" style="57" customWidth="1"/>
    <col min="6927" max="6927" width="4.85546875" style="57" bestFit="1" customWidth="1"/>
    <col min="6928" max="6928" width="12" style="57" bestFit="1" customWidth="1"/>
    <col min="6929" max="6929" width="10.28515625" style="57" bestFit="1" customWidth="1"/>
    <col min="6930" max="6930" width="12" style="57" bestFit="1" customWidth="1"/>
    <col min="6931" max="6931" width="12.5703125" style="57" bestFit="1" customWidth="1"/>
    <col min="6932" max="6932" width="12" style="57" bestFit="1" customWidth="1"/>
    <col min="6933" max="6934" width="11.7109375" style="57" bestFit="1" customWidth="1"/>
    <col min="6935" max="6935" width="11.140625" style="57" bestFit="1" customWidth="1"/>
    <col min="6936" max="7168" width="9.140625" style="57"/>
    <col min="7169" max="7169" width="10.28515625" style="57" customWidth="1"/>
    <col min="7170" max="7170" width="10.42578125" style="57" customWidth="1"/>
    <col min="7171" max="7171" width="12.7109375" style="57" customWidth="1"/>
    <col min="7172" max="7172" width="11.28515625" style="57" customWidth="1"/>
    <col min="7173" max="7173" width="11.85546875" style="57" customWidth="1"/>
    <col min="7174" max="7174" width="11.7109375" style="57" customWidth="1"/>
    <col min="7175" max="7175" width="10.7109375" style="57" customWidth="1"/>
    <col min="7176" max="7176" width="11.85546875" style="57" customWidth="1"/>
    <col min="7177" max="7177" width="11.42578125" style="57" customWidth="1"/>
    <col min="7178" max="7178" width="12.28515625" style="57" customWidth="1"/>
    <col min="7179" max="7179" width="11" style="57" customWidth="1"/>
    <col min="7180" max="7180" width="12" style="57" customWidth="1"/>
    <col min="7181" max="7181" width="12.85546875" style="57" bestFit="1" customWidth="1"/>
    <col min="7182" max="7182" width="13.85546875" style="57" customWidth="1"/>
    <col min="7183" max="7183" width="4.85546875" style="57" bestFit="1" customWidth="1"/>
    <col min="7184" max="7184" width="12" style="57" bestFit="1" customWidth="1"/>
    <col min="7185" max="7185" width="10.28515625" style="57" bestFit="1" customWidth="1"/>
    <col min="7186" max="7186" width="12" style="57" bestFit="1" customWidth="1"/>
    <col min="7187" max="7187" width="12.5703125" style="57" bestFit="1" customWidth="1"/>
    <col min="7188" max="7188" width="12" style="57" bestFit="1" customWidth="1"/>
    <col min="7189" max="7190" width="11.7109375" style="57" bestFit="1" customWidth="1"/>
    <col min="7191" max="7191" width="11.140625" style="57" bestFit="1" customWidth="1"/>
    <col min="7192" max="7424" width="9.140625" style="57"/>
    <col min="7425" max="7425" width="10.28515625" style="57" customWidth="1"/>
    <col min="7426" max="7426" width="10.42578125" style="57" customWidth="1"/>
    <col min="7427" max="7427" width="12.7109375" style="57" customWidth="1"/>
    <col min="7428" max="7428" width="11.28515625" style="57" customWidth="1"/>
    <col min="7429" max="7429" width="11.85546875" style="57" customWidth="1"/>
    <col min="7430" max="7430" width="11.7109375" style="57" customWidth="1"/>
    <col min="7431" max="7431" width="10.7109375" style="57" customWidth="1"/>
    <col min="7432" max="7432" width="11.85546875" style="57" customWidth="1"/>
    <col min="7433" max="7433" width="11.42578125" style="57" customWidth="1"/>
    <col min="7434" max="7434" width="12.28515625" style="57" customWidth="1"/>
    <col min="7435" max="7435" width="11" style="57" customWidth="1"/>
    <col min="7436" max="7436" width="12" style="57" customWidth="1"/>
    <col min="7437" max="7437" width="12.85546875" style="57" bestFit="1" customWidth="1"/>
    <col min="7438" max="7438" width="13.85546875" style="57" customWidth="1"/>
    <col min="7439" max="7439" width="4.85546875" style="57" bestFit="1" customWidth="1"/>
    <col min="7440" max="7440" width="12" style="57" bestFit="1" customWidth="1"/>
    <col min="7441" max="7441" width="10.28515625" style="57" bestFit="1" customWidth="1"/>
    <col min="7442" max="7442" width="12" style="57" bestFit="1" customWidth="1"/>
    <col min="7443" max="7443" width="12.5703125" style="57" bestFit="1" customWidth="1"/>
    <col min="7444" max="7444" width="12" style="57" bestFit="1" customWidth="1"/>
    <col min="7445" max="7446" width="11.7109375" style="57" bestFit="1" customWidth="1"/>
    <col min="7447" max="7447" width="11.140625" style="57" bestFit="1" customWidth="1"/>
    <col min="7448" max="7680" width="9.140625" style="57"/>
    <col min="7681" max="7681" width="10.28515625" style="57" customWidth="1"/>
    <col min="7682" max="7682" width="10.42578125" style="57" customWidth="1"/>
    <col min="7683" max="7683" width="12.7109375" style="57" customWidth="1"/>
    <col min="7684" max="7684" width="11.28515625" style="57" customWidth="1"/>
    <col min="7685" max="7685" width="11.85546875" style="57" customWidth="1"/>
    <col min="7686" max="7686" width="11.7109375" style="57" customWidth="1"/>
    <col min="7687" max="7687" width="10.7109375" style="57" customWidth="1"/>
    <col min="7688" max="7688" width="11.85546875" style="57" customWidth="1"/>
    <col min="7689" max="7689" width="11.42578125" style="57" customWidth="1"/>
    <col min="7690" max="7690" width="12.28515625" style="57" customWidth="1"/>
    <col min="7691" max="7691" width="11" style="57" customWidth="1"/>
    <col min="7692" max="7692" width="12" style="57" customWidth="1"/>
    <col min="7693" max="7693" width="12.85546875" style="57" bestFit="1" customWidth="1"/>
    <col min="7694" max="7694" width="13.85546875" style="57" customWidth="1"/>
    <col min="7695" max="7695" width="4.85546875" style="57" bestFit="1" customWidth="1"/>
    <col min="7696" max="7696" width="12" style="57" bestFit="1" customWidth="1"/>
    <col min="7697" max="7697" width="10.28515625" style="57" bestFit="1" customWidth="1"/>
    <col min="7698" max="7698" width="12" style="57" bestFit="1" customWidth="1"/>
    <col min="7699" max="7699" width="12.5703125" style="57" bestFit="1" customWidth="1"/>
    <col min="7700" max="7700" width="12" style="57" bestFit="1" customWidth="1"/>
    <col min="7701" max="7702" width="11.7109375" style="57" bestFit="1" customWidth="1"/>
    <col min="7703" max="7703" width="11.140625" style="57" bestFit="1" customWidth="1"/>
    <col min="7704" max="7936" width="9.140625" style="57"/>
    <col min="7937" max="7937" width="10.28515625" style="57" customWidth="1"/>
    <col min="7938" max="7938" width="10.42578125" style="57" customWidth="1"/>
    <col min="7939" max="7939" width="12.7109375" style="57" customWidth="1"/>
    <col min="7940" max="7940" width="11.28515625" style="57" customWidth="1"/>
    <col min="7941" max="7941" width="11.85546875" style="57" customWidth="1"/>
    <col min="7942" max="7942" width="11.7109375" style="57" customWidth="1"/>
    <col min="7943" max="7943" width="10.7109375" style="57" customWidth="1"/>
    <col min="7944" max="7944" width="11.85546875" style="57" customWidth="1"/>
    <col min="7945" max="7945" width="11.42578125" style="57" customWidth="1"/>
    <col min="7946" max="7946" width="12.28515625" style="57" customWidth="1"/>
    <col min="7947" max="7947" width="11" style="57" customWidth="1"/>
    <col min="7948" max="7948" width="12" style="57" customWidth="1"/>
    <col min="7949" max="7949" width="12.85546875" style="57" bestFit="1" customWidth="1"/>
    <col min="7950" max="7950" width="13.85546875" style="57" customWidth="1"/>
    <col min="7951" max="7951" width="4.85546875" style="57" bestFit="1" customWidth="1"/>
    <col min="7952" max="7952" width="12" style="57" bestFit="1" customWidth="1"/>
    <col min="7953" max="7953" width="10.28515625" style="57" bestFit="1" customWidth="1"/>
    <col min="7954" max="7954" width="12" style="57" bestFit="1" customWidth="1"/>
    <col min="7955" max="7955" width="12.5703125" style="57" bestFit="1" customWidth="1"/>
    <col min="7956" max="7956" width="12" style="57" bestFit="1" customWidth="1"/>
    <col min="7957" max="7958" width="11.7109375" style="57" bestFit="1" customWidth="1"/>
    <col min="7959" max="7959" width="11.140625" style="57" bestFit="1" customWidth="1"/>
    <col min="7960" max="8192" width="9.140625" style="57"/>
    <col min="8193" max="8193" width="10.28515625" style="57" customWidth="1"/>
    <col min="8194" max="8194" width="10.42578125" style="57" customWidth="1"/>
    <col min="8195" max="8195" width="12.7109375" style="57" customWidth="1"/>
    <col min="8196" max="8196" width="11.28515625" style="57" customWidth="1"/>
    <col min="8197" max="8197" width="11.85546875" style="57" customWidth="1"/>
    <col min="8198" max="8198" width="11.7109375" style="57" customWidth="1"/>
    <col min="8199" max="8199" width="10.7109375" style="57" customWidth="1"/>
    <col min="8200" max="8200" width="11.85546875" style="57" customWidth="1"/>
    <col min="8201" max="8201" width="11.42578125" style="57" customWidth="1"/>
    <col min="8202" max="8202" width="12.28515625" style="57" customWidth="1"/>
    <col min="8203" max="8203" width="11" style="57" customWidth="1"/>
    <col min="8204" max="8204" width="12" style="57" customWidth="1"/>
    <col min="8205" max="8205" width="12.85546875" style="57" bestFit="1" customWidth="1"/>
    <col min="8206" max="8206" width="13.85546875" style="57" customWidth="1"/>
    <col min="8207" max="8207" width="4.85546875" style="57" bestFit="1" customWidth="1"/>
    <col min="8208" max="8208" width="12" style="57" bestFit="1" customWidth="1"/>
    <col min="8209" max="8209" width="10.28515625" style="57" bestFit="1" customWidth="1"/>
    <col min="8210" max="8210" width="12" style="57" bestFit="1" customWidth="1"/>
    <col min="8211" max="8211" width="12.5703125" style="57" bestFit="1" customWidth="1"/>
    <col min="8212" max="8212" width="12" style="57" bestFit="1" customWidth="1"/>
    <col min="8213" max="8214" width="11.7109375" style="57" bestFit="1" customWidth="1"/>
    <col min="8215" max="8215" width="11.140625" style="57" bestFit="1" customWidth="1"/>
    <col min="8216" max="8448" width="9.140625" style="57"/>
    <col min="8449" max="8449" width="10.28515625" style="57" customWidth="1"/>
    <col min="8450" max="8450" width="10.42578125" style="57" customWidth="1"/>
    <col min="8451" max="8451" width="12.7109375" style="57" customWidth="1"/>
    <col min="8452" max="8452" width="11.28515625" style="57" customWidth="1"/>
    <col min="8453" max="8453" width="11.85546875" style="57" customWidth="1"/>
    <col min="8454" max="8454" width="11.7109375" style="57" customWidth="1"/>
    <col min="8455" max="8455" width="10.7109375" style="57" customWidth="1"/>
    <col min="8456" max="8456" width="11.85546875" style="57" customWidth="1"/>
    <col min="8457" max="8457" width="11.42578125" style="57" customWidth="1"/>
    <col min="8458" max="8458" width="12.28515625" style="57" customWidth="1"/>
    <col min="8459" max="8459" width="11" style="57" customWidth="1"/>
    <col min="8460" max="8460" width="12" style="57" customWidth="1"/>
    <col min="8461" max="8461" width="12.85546875" style="57" bestFit="1" customWidth="1"/>
    <col min="8462" max="8462" width="13.85546875" style="57" customWidth="1"/>
    <col min="8463" max="8463" width="4.85546875" style="57" bestFit="1" customWidth="1"/>
    <col min="8464" max="8464" width="12" style="57" bestFit="1" customWidth="1"/>
    <col min="8465" max="8465" width="10.28515625" style="57" bestFit="1" customWidth="1"/>
    <col min="8466" max="8466" width="12" style="57" bestFit="1" customWidth="1"/>
    <col min="8467" max="8467" width="12.5703125" style="57" bestFit="1" customWidth="1"/>
    <col min="8468" max="8468" width="12" style="57" bestFit="1" customWidth="1"/>
    <col min="8469" max="8470" width="11.7109375" style="57" bestFit="1" customWidth="1"/>
    <col min="8471" max="8471" width="11.140625" style="57" bestFit="1" customWidth="1"/>
    <col min="8472" max="8704" width="9.140625" style="57"/>
    <col min="8705" max="8705" width="10.28515625" style="57" customWidth="1"/>
    <col min="8706" max="8706" width="10.42578125" style="57" customWidth="1"/>
    <col min="8707" max="8707" width="12.7109375" style="57" customWidth="1"/>
    <col min="8708" max="8708" width="11.28515625" style="57" customWidth="1"/>
    <col min="8709" max="8709" width="11.85546875" style="57" customWidth="1"/>
    <col min="8710" max="8710" width="11.7109375" style="57" customWidth="1"/>
    <col min="8711" max="8711" width="10.7109375" style="57" customWidth="1"/>
    <col min="8712" max="8712" width="11.85546875" style="57" customWidth="1"/>
    <col min="8713" max="8713" width="11.42578125" style="57" customWidth="1"/>
    <col min="8714" max="8714" width="12.28515625" style="57" customWidth="1"/>
    <col min="8715" max="8715" width="11" style="57" customWidth="1"/>
    <col min="8716" max="8716" width="12" style="57" customWidth="1"/>
    <col min="8717" max="8717" width="12.85546875" style="57" bestFit="1" customWidth="1"/>
    <col min="8718" max="8718" width="13.85546875" style="57" customWidth="1"/>
    <col min="8719" max="8719" width="4.85546875" style="57" bestFit="1" customWidth="1"/>
    <col min="8720" max="8720" width="12" style="57" bestFit="1" customWidth="1"/>
    <col min="8721" max="8721" width="10.28515625" style="57" bestFit="1" customWidth="1"/>
    <col min="8722" max="8722" width="12" style="57" bestFit="1" customWidth="1"/>
    <col min="8723" max="8723" width="12.5703125" style="57" bestFit="1" customWidth="1"/>
    <col min="8724" max="8724" width="12" style="57" bestFit="1" customWidth="1"/>
    <col min="8725" max="8726" width="11.7109375" style="57" bestFit="1" customWidth="1"/>
    <col min="8727" max="8727" width="11.140625" style="57" bestFit="1" customWidth="1"/>
    <col min="8728" max="8960" width="9.140625" style="57"/>
    <col min="8961" max="8961" width="10.28515625" style="57" customWidth="1"/>
    <col min="8962" max="8962" width="10.42578125" style="57" customWidth="1"/>
    <col min="8963" max="8963" width="12.7109375" style="57" customWidth="1"/>
    <col min="8964" max="8964" width="11.28515625" style="57" customWidth="1"/>
    <col min="8965" max="8965" width="11.85546875" style="57" customWidth="1"/>
    <col min="8966" max="8966" width="11.7109375" style="57" customWidth="1"/>
    <col min="8967" max="8967" width="10.7109375" style="57" customWidth="1"/>
    <col min="8968" max="8968" width="11.85546875" style="57" customWidth="1"/>
    <col min="8969" max="8969" width="11.42578125" style="57" customWidth="1"/>
    <col min="8970" max="8970" width="12.28515625" style="57" customWidth="1"/>
    <col min="8971" max="8971" width="11" style="57" customWidth="1"/>
    <col min="8972" max="8972" width="12" style="57" customWidth="1"/>
    <col min="8973" max="8973" width="12.85546875" style="57" bestFit="1" customWidth="1"/>
    <col min="8974" max="8974" width="13.85546875" style="57" customWidth="1"/>
    <col min="8975" max="8975" width="4.85546875" style="57" bestFit="1" customWidth="1"/>
    <col min="8976" max="8976" width="12" style="57" bestFit="1" customWidth="1"/>
    <col min="8977" max="8977" width="10.28515625" style="57" bestFit="1" customWidth="1"/>
    <col min="8978" max="8978" width="12" style="57" bestFit="1" customWidth="1"/>
    <col min="8979" max="8979" width="12.5703125" style="57" bestFit="1" customWidth="1"/>
    <col min="8980" max="8980" width="12" style="57" bestFit="1" customWidth="1"/>
    <col min="8981" max="8982" width="11.7109375" style="57" bestFit="1" customWidth="1"/>
    <col min="8983" max="8983" width="11.140625" style="57" bestFit="1" customWidth="1"/>
    <col min="8984" max="9216" width="9.140625" style="57"/>
    <col min="9217" max="9217" width="10.28515625" style="57" customWidth="1"/>
    <col min="9218" max="9218" width="10.42578125" style="57" customWidth="1"/>
    <col min="9219" max="9219" width="12.7109375" style="57" customWidth="1"/>
    <col min="9220" max="9220" width="11.28515625" style="57" customWidth="1"/>
    <col min="9221" max="9221" width="11.85546875" style="57" customWidth="1"/>
    <col min="9222" max="9222" width="11.7109375" style="57" customWidth="1"/>
    <col min="9223" max="9223" width="10.7109375" style="57" customWidth="1"/>
    <col min="9224" max="9224" width="11.85546875" style="57" customWidth="1"/>
    <col min="9225" max="9225" width="11.42578125" style="57" customWidth="1"/>
    <col min="9226" max="9226" width="12.28515625" style="57" customWidth="1"/>
    <col min="9227" max="9227" width="11" style="57" customWidth="1"/>
    <col min="9228" max="9228" width="12" style="57" customWidth="1"/>
    <col min="9229" max="9229" width="12.85546875" style="57" bestFit="1" customWidth="1"/>
    <col min="9230" max="9230" width="13.85546875" style="57" customWidth="1"/>
    <col min="9231" max="9231" width="4.85546875" style="57" bestFit="1" customWidth="1"/>
    <col min="9232" max="9232" width="12" style="57" bestFit="1" customWidth="1"/>
    <col min="9233" max="9233" width="10.28515625" style="57" bestFit="1" customWidth="1"/>
    <col min="9234" max="9234" width="12" style="57" bestFit="1" customWidth="1"/>
    <col min="9235" max="9235" width="12.5703125" style="57" bestFit="1" customWidth="1"/>
    <col min="9236" max="9236" width="12" style="57" bestFit="1" customWidth="1"/>
    <col min="9237" max="9238" width="11.7109375" style="57" bestFit="1" customWidth="1"/>
    <col min="9239" max="9239" width="11.140625" style="57" bestFit="1" customWidth="1"/>
    <col min="9240" max="9472" width="9.140625" style="57"/>
    <col min="9473" max="9473" width="10.28515625" style="57" customWidth="1"/>
    <col min="9474" max="9474" width="10.42578125" style="57" customWidth="1"/>
    <col min="9475" max="9475" width="12.7109375" style="57" customWidth="1"/>
    <col min="9476" max="9476" width="11.28515625" style="57" customWidth="1"/>
    <col min="9477" max="9477" width="11.85546875" style="57" customWidth="1"/>
    <col min="9478" max="9478" width="11.7109375" style="57" customWidth="1"/>
    <col min="9479" max="9479" width="10.7109375" style="57" customWidth="1"/>
    <col min="9480" max="9480" width="11.85546875" style="57" customWidth="1"/>
    <col min="9481" max="9481" width="11.42578125" style="57" customWidth="1"/>
    <col min="9482" max="9482" width="12.28515625" style="57" customWidth="1"/>
    <col min="9483" max="9483" width="11" style="57" customWidth="1"/>
    <col min="9484" max="9484" width="12" style="57" customWidth="1"/>
    <col min="9485" max="9485" width="12.85546875" style="57" bestFit="1" customWidth="1"/>
    <col min="9486" max="9486" width="13.85546875" style="57" customWidth="1"/>
    <col min="9487" max="9487" width="4.85546875" style="57" bestFit="1" customWidth="1"/>
    <col min="9488" max="9488" width="12" style="57" bestFit="1" customWidth="1"/>
    <col min="9489" max="9489" width="10.28515625" style="57" bestFit="1" customWidth="1"/>
    <col min="9490" max="9490" width="12" style="57" bestFit="1" customWidth="1"/>
    <col min="9491" max="9491" width="12.5703125" style="57" bestFit="1" customWidth="1"/>
    <col min="9492" max="9492" width="12" style="57" bestFit="1" customWidth="1"/>
    <col min="9493" max="9494" width="11.7109375" style="57" bestFit="1" customWidth="1"/>
    <col min="9495" max="9495" width="11.140625" style="57" bestFit="1" customWidth="1"/>
    <col min="9496" max="9728" width="9.140625" style="57"/>
    <col min="9729" max="9729" width="10.28515625" style="57" customWidth="1"/>
    <col min="9730" max="9730" width="10.42578125" style="57" customWidth="1"/>
    <col min="9731" max="9731" width="12.7109375" style="57" customWidth="1"/>
    <col min="9732" max="9732" width="11.28515625" style="57" customWidth="1"/>
    <col min="9733" max="9733" width="11.85546875" style="57" customWidth="1"/>
    <col min="9734" max="9734" width="11.7109375" style="57" customWidth="1"/>
    <col min="9735" max="9735" width="10.7109375" style="57" customWidth="1"/>
    <col min="9736" max="9736" width="11.85546875" style="57" customWidth="1"/>
    <col min="9737" max="9737" width="11.42578125" style="57" customWidth="1"/>
    <col min="9738" max="9738" width="12.28515625" style="57" customWidth="1"/>
    <col min="9739" max="9739" width="11" style="57" customWidth="1"/>
    <col min="9740" max="9740" width="12" style="57" customWidth="1"/>
    <col min="9741" max="9741" width="12.85546875" style="57" bestFit="1" customWidth="1"/>
    <col min="9742" max="9742" width="13.85546875" style="57" customWidth="1"/>
    <col min="9743" max="9743" width="4.85546875" style="57" bestFit="1" customWidth="1"/>
    <col min="9744" max="9744" width="12" style="57" bestFit="1" customWidth="1"/>
    <col min="9745" max="9745" width="10.28515625" style="57" bestFit="1" customWidth="1"/>
    <col min="9746" max="9746" width="12" style="57" bestFit="1" customWidth="1"/>
    <col min="9747" max="9747" width="12.5703125" style="57" bestFit="1" customWidth="1"/>
    <col min="9748" max="9748" width="12" style="57" bestFit="1" customWidth="1"/>
    <col min="9749" max="9750" width="11.7109375" style="57" bestFit="1" customWidth="1"/>
    <col min="9751" max="9751" width="11.140625" style="57" bestFit="1" customWidth="1"/>
    <col min="9752" max="9984" width="9.140625" style="57"/>
    <col min="9985" max="9985" width="10.28515625" style="57" customWidth="1"/>
    <col min="9986" max="9986" width="10.42578125" style="57" customWidth="1"/>
    <col min="9987" max="9987" width="12.7109375" style="57" customWidth="1"/>
    <col min="9988" max="9988" width="11.28515625" style="57" customWidth="1"/>
    <col min="9989" max="9989" width="11.85546875" style="57" customWidth="1"/>
    <col min="9990" max="9990" width="11.7109375" style="57" customWidth="1"/>
    <col min="9991" max="9991" width="10.7109375" style="57" customWidth="1"/>
    <col min="9992" max="9992" width="11.85546875" style="57" customWidth="1"/>
    <col min="9993" max="9993" width="11.42578125" style="57" customWidth="1"/>
    <col min="9994" max="9994" width="12.28515625" style="57" customWidth="1"/>
    <col min="9995" max="9995" width="11" style="57" customWidth="1"/>
    <col min="9996" max="9996" width="12" style="57" customWidth="1"/>
    <col min="9997" max="9997" width="12.85546875" style="57" bestFit="1" customWidth="1"/>
    <col min="9998" max="9998" width="13.85546875" style="57" customWidth="1"/>
    <col min="9999" max="9999" width="4.85546875" style="57" bestFit="1" customWidth="1"/>
    <col min="10000" max="10000" width="12" style="57" bestFit="1" customWidth="1"/>
    <col min="10001" max="10001" width="10.28515625" style="57" bestFit="1" customWidth="1"/>
    <col min="10002" max="10002" width="12" style="57" bestFit="1" customWidth="1"/>
    <col min="10003" max="10003" width="12.5703125" style="57" bestFit="1" customWidth="1"/>
    <col min="10004" max="10004" width="12" style="57" bestFit="1" customWidth="1"/>
    <col min="10005" max="10006" width="11.7109375" style="57" bestFit="1" customWidth="1"/>
    <col min="10007" max="10007" width="11.140625" style="57" bestFit="1" customWidth="1"/>
    <col min="10008" max="10240" width="9.140625" style="57"/>
    <col min="10241" max="10241" width="10.28515625" style="57" customWidth="1"/>
    <col min="10242" max="10242" width="10.42578125" style="57" customWidth="1"/>
    <col min="10243" max="10243" width="12.7109375" style="57" customWidth="1"/>
    <col min="10244" max="10244" width="11.28515625" style="57" customWidth="1"/>
    <col min="10245" max="10245" width="11.85546875" style="57" customWidth="1"/>
    <col min="10246" max="10246" width="11.7109375" style="57" customWidth="1"/>
    <col min="10247" max="10247" width="10.7109375" style="57" customWidth="1"/>
    <col min="10248" max="10248" width="11.85546875" style="57" customWidth="1"/>
    <col min="10249" max="10249" width="11.42578125" style="57" customWidth="1"/>
    <col min="10250" max="10250" width="12.28515625" style="57" customWidth="1"/>
    <col min="10251" max="10251" width="11" style="57" customWidth="1"/>
    <col min="10252" max="10252" width="12" style="57" customWidth="1"/>
    <col min="10253" max="10253" width="12.85546875" style="57" bestFit="1" customWidth="1"/>
    <col min="10254" max="10254" width="13.85546875" style="57" customWidth="1"/>
    <col min="10255" max="10255" width="4.85546875" style="57" bestFit="1" customWidth="1"/>
    <col min="10256" max="10256" width="12" style="57" bestFit="1" customWidth="1"/>
    <col min="10257" max="10257" width="10.28515625" style="57" bestFit="1" customWidth="1"/>
    <col min="10258" max="10258" width="12" style="57" bestFit="1" customWidth="1"/>
    <col min="10259" max="10259" width="12.5703125" style="57" bestFit="1" customWidth="1"/>
    <col min="10260" max="10260" width="12" style="57" bestFit="1" customWidth="1"/>
    <col min="10261" max="10262" width="11.7109375" style="57" bestFit="1" customWidth="1"/>
    <col min="10263" max="10263" width="11.140625" style="57" bestFit="1" customWidth="1"/>
    <col min="10264" max="10496" width="9.140625" style="57"/>
    <col min="10497" max="10497" width="10.28515625" style="57" customWidth="1"/>
    <col min="10498" max="10498" width="10.42578125" style="57" customWidth="1"/>
    <col min="10499" max="10499" width="12.7109375" style="57" customWidth="1"/>
    <col min="10500" max="10500" width="11.28515625" style="57" customWidth="1"/>
    <col min="10501" max="10501" width="11.85546875" style="57" customWidth="1"/>
    <col min="10502" max="10502" width="11.7109375" style="57" customWidth="1"/>
    <col min="10503" max="10503" width="10.7109375" style="57" customWidth="1"/>
    <col min="10504" max="10504" width="11.85546875" style="57" customWidth="1"/>
    <col min="10505" max="10505" width="11.42578125" style="57" customWidth="1"/>
    <col min="10506" max="10506" width="12.28515625" style="57" customWidth="1"/>
    <col min="10507" max="10507" width="11" style="57" customWidth="1"/>
    <col min="10508" max="10508" width="12" style="57" customWidth="1"/>
    <col min="10509" max="10509" width="12.85546875" style="57" bestFit="1" customWidth="1"/>
    <col min="10510" max="10510" width="13.85546875" style="57" customWidth="1"/>
    <col min="10511" max="10511" width="4.85546875" style="57" bestFit="1" customWidth="1"/>
    <col min="10512" max="10512" width="12" style="57" bestFit="1" customWidth="1"/>
    <col min="10513" max="10513" width="10.28515625" style="57" bestFit="1" customWidth="1"/>
    <col min="10514" max="10514" width="12" style="57" bestFit="1" customWidth="1"/>
    <col min="10515" max="10515" width="12.5703125" style="57" bestFit="1" customWidth="1"/>
    <col min="10516" max="10516" width="12" style="57" bestFit="1" customWidth="1"/>
    <col min="10517" max="10518" width="11.7109375" style="57" bestFit="1" customWidth="1"/>
    <col min="10519" max="10519" width="11.140625" style="57" bestFit="1" customWidth="1"/>
    <col min="10520" max="10752" width="9.140625" style="57"/>
    <col min="10753" max="10753" width="10.28515625" style="57" customWidth="1"/>
    <col min="10754" max="10754" width="10.42578125" style="57" customWidth="1"/>
    <col min="10755" max="10755" width="12.7109375" style="57" customWidth="1"/>
    <col min="10756" max="10756" width="11.28515625" style="57" customWidth="1"/>
    <col min="10757" max="10757" width="11.85546875" style="57" customWidth="1"/>
    <col min="10758" max="10758" width="11.7109375" style="57" customWidth="1"/>
    <col min="10759" max="10759" width="10.7109375" style="57" customWidth="1"/>
    <col min="10760" max="10760" width="11.85546875" style="57" customWidth="1"/>
    <col min="10761" max="10761" width="11.42578125" style="57" customWidth="1"/>
    <col min="10762" max="10762" width="12.28515625" style="57" customWidth="1"/>
    <col min="10763" max="10763" width="11" style="57" customWidth="1"/>
    <col min="10764" max="10764" width="12" style="57" customWidth="1"/>
    <col min="10765" max="10765" width="12.85546875" style="57" bestFit="1" customWidth="1"/>
    <col min="10766" max="10766" width="13.85546875" style="57" customWidth="1"/>
    <col min="10767" max="10767" width="4.85546875" style="57" bestFit="1" customWidth="1"/>
    <col min="10768" max="10768" width="12" style="57" bestFit="1" customWidth="1"/>
    <col min="10769" max="10769" width="10.28515625" style="57" bestFit="1" customWidth="1"/>
    <col min="10770" max="10770" width="12" style="57" bestFit="1" customWidth="1"/>
    <col min="10771" max="10771" width="12.5703125" style="57" bestFit="1" customWidth="1"/>
    <col min="10772" max="10772" width="12" style="57" bestFit="1" customWidth="1"/>
    <col min="10773" max="10774" width="11.7109375" style="57" bestFit="1" customWidth="1"/>
    <col min="10775" max="10775" width="11.140625" style="57" bestFit="1" customWidth="1"/>
    <col min="10776" max="11008" width="9.140625" style="57"/>
    <col min="11009" max="11009" width="10.28515625" style="57" customWidth="1"/>
    <col min="11010" max="11010" width="10.42578125" style="57" customWidth="1"/>
    <col min="11011" max="11011" width="12.7109375" style="57" customWidth="1"/>
    <col min="11012" max="11012" width="11.28515625" style="57" customWidth="1"/>
    <col min="11013" max="11013" width="11.85546875" style="57" customWidth="1"/>
    <col min="11014" max="11014" width="11.7109375" style="57" customWidth="1"/>
    <col min="11015" max="11015" width="10.7109375" style="57" customWidth="1"/>
    <col min="11016" max="11016" width="11.85546875" style="57" customWidth="1"/>
    <col min="11017" max="11017" width="11.42578125" style="57" customWidth="1"/>
    <col min="11018" max="11018" width="12.28515625" style="57" customWidth="1"/>
    <col min="11019" max="11019" width="11" style="57" customWidth="1"/>
    <col min="11020" max="11020" width="12" style="57" customWidth="1"/>
    <col min="11021" max="11021" width="12.85546875" style="57" bestFit="1" customWidth="1"/>
    <col min="11022" max="11022" width="13.85546875" style="57" customWidth="1"/>
    <col min="11023" max="11023" width="4.85546875" style="57" bestFit="1" customWidth="1"/>
    <col min="11024" max="11024" width="12" style="57" bestFit="1" customWidth="1"/>
    <col min="11025" max="11025" width="10.28515625" style="57" bestFit="1" customWidth="1"/>
    <col min="11026" max="11026" width="12" style="57" bestFit="1" customWidth="1"/>
    <col min="11027" max="11027" width="12.5703125" style="57" bestFit="1" customWidth="1"/>
    <col min="11028" max="11028" width="12" style="57" bestFit="1" customWidth="1"/>
    <col min="11029" max="11030" width="11.7109375" style="57" bestFit="1" customWidth="1"/>
    <col min="11031" max="11031" width="11.140625" style="57" bestFit="1" customWidth="1"/>
    <col min="11032" max="11264" width="9.140625" style="57"/>
    <col min="11265" max="11265" width="10.28515625" style="57" customWidth="1"/>
    <col min="11266" max="11266" width="10.42578125" style="57" customWidth="1"/>
    <col min="11267" max="11267" width="12.7109375" style="57" customWidth="1"/>
    <col min="11268" max="11268" width="11.28515625" style="57" customWidth="1"/>
    <col min="11269" max="11269" width="11.85546875" style="57" customWidth="1"/>
    <col min="11270" max="11270" width="11.7109375" style="57" customWidth="1"/>
    <col min="11271" max="11271" width="10.7109375" style="57" customWidth="1"/>
    <col min="11272" max="11272" width="11.85546875" style="57" customWidth="1"/>
    <col min="11273" max="11273" width="11.42578125" style="57" customWidth="1"/>
    <col min="11274" max="11274" width="12.28515625" style="57" customWidth="1"/>
    <col min="11275" max="11275" width="11" style="57" customWidth="1"/>
    <col min="11276" max="11276" width="12" style="57" customWidth="1"/>
    <col min="11277" max="11277" width="12.85546875" style="57" bestFit="1" customWidth="1"/>
    <col min="11278" max="11278" width="13.85546875" style="57" customWidth="1"/>
    <col min="11279" max="11279" width="4.85546875" style="57" bestFit="1" customWidth="1"/>
    <col min="11280" max="11280" width="12" style="57" bestFit="1" customWidth="1"/>
    <col min="11281" max="11281" width="10.28515625" style="57" bestFit="1" customWidth="1"/>
    <col min="11282" max="11282" width="12" style="57" bestFit="1" customWidth="1"/>
    <col min="11283" max="11283" width="12.5703125" style="57" bestFit="1" customWidth="1"/>
    <col min="11284" max="11284" width="12" style="57" bestFit="1" customWidth="1"/>
    <col min="11285" max="11286" width="11.7109375" style="57" bestFit="1" customWidth="1"/>
    <col min="11287" max="11287" width="11.140625" style="57" bestFit="1" customWidth="1"/>
    <col min="11288" max="11520" width="9.140625" style="57"/>
    <col min="11521" max="11521" width="10.28515625" style="57" customWidth="1"/>
    <col min="11522" max="11522" width="10.42578125" style="57" customWidth="1"/>
    <col min="11523" max="11523" width="12.7109375" style="57" customWidth="1"/>
    <col min="11524" max="11524" width="11.28515625" style="57" customWidth="1"/>
    <col min="11525" max="11525" width="11.85546875" style="57" customWidth="1"/>
    <col min="11526" max="11526" width="11.7109375" style="57" customWidth="1"/>
    <col min="11527" max="11527" width="10.7109375" style="57" customWidth="1"/>
    <col min="11528" max="11528" width="11.85546875" style="57" customWidth="1"/>
    <col min="11529" max="11529" width="11.42578125" style="57" customWidth="1"/>
    <col min="11530" max="11530" width="12.28515625" style="57" customWidth="1"/>
    <col min="11531" max="11531" width="11" style="57" customWidth="1"/>
    <col min="11532" max="11532" width="12" style="57" customWidth="1"/>
    <col min="11533" max="11533" width="12.85546875" style="57" bestFit="1" customWidth="1"/>
    <col min="11534" max="11534" width="13.85546875" style="57" customWidth="1"/>
    <col min="11535" max="11535" width="4.85546875" style="57" bestFit="1" customWidth="1"/>
    <col min="11536" max="11536" width="12" style="57" bestFit="1" customWidth="1"/>
    <col min="11537" max="11537" width="10.28515625" style="57" bestFit="1" customWidth="1"/>
    <col min="11538" max="11538" width="12" style="57" bestFit="1" customWidth="1"/>
    <col min="11539" max="11539" width="12.5703125" style="57" bestFit="1" customWidth="1"/>
    <col min="11540" max="11540" width="12" style="57" bestFit="1" customWidth="1"/>
    <col min="11541" max="11542" width="11.7109375" style="57" bestFit="1" customWidth="1"/>
    <col min="11543" max="11543" width="11.140625" style="57" bestFit="1" customWidth="1"/>
    <col min="11544" max="11776" width="9.140625" style="57"/>
    <col min="11777" max="11777" width="10.28515625" style="57" customWidth="1"/>
    <col min="11778" max="11778" width="10.42578125" style="57" customWidth="1"/>
    <col min="11779" max="11779" width="12.7109375" style="57" customWidth="1"/>
    <col min="11780" max="11780" width="11.28515625" style="57" customWidth="1"/>
    <col min="11781" max="11781" width="11.85546875" style="57" customWidth="1"/>
    <col min="11782" max="11782" width="11.7109375" style="57" customWidth="1"/>
    <col min="11783" max="11783" width="10.7109375" style="57" customWidth="1"/>
    <col min="11784" max="11784" width="11.85546875" style="57" customWidth="1"/>
    <col min="11785" max="11785" width="11.42578125" style="57" customWidth="1"/>
    <col min="11786" max="11786" width="12.28515625" style="57" customWidth="1"/>
    <col min="11787" max="11787" width="11" style="57" customWidth="1"/>
    <col min="11788" max="11788" width="12" style="57" customWidth="1"/>
    <col min="11789" max="11789" width="12.85546875" style="57" bestFit="1" customWidth="1"/>
    <col min="11790" max="11790" width="13.85546875" style="57" customWidth="1"/>
    <col min="11791" max="11791" width="4.85546875" style="57" bestFit="1" customWidth="1"/>
    <col min="11792" max="11792" width="12" style="57" bestFit="1" customWidth="1"/>
    <col min="11793" max="11793" width="10.28515625" style="57" bestFit="1" customWidth="1"/>
    <col min="11794" max="11794" width="12" style="57" bestFit="1" customWidth="1"/>
    <col min="11795" max="11795" width="12.5703125" style="57" bestFit="1" customWidth="1"/>
    <col min="11796" max="11796" width="12" style="57" bestFit="1" customWidth="1"/>
    <col min="11797" max="11798" width="11.7109375" style="57" bestFit="1" customWidth="1"/>
    <col min="11799" max="11799" width="11.140625" style="57" bestFit="1" customWidth="1"/>
    <col min="11800" max="12032" width="9.140625" style="57"/>
    <col min="12033" max="12033" width="10.28515625" style="57" customWidth="1"/>
    <col min="12034" max="12034" width="10.42578125" style="57" customWidth="1"/>
    <col min="12035" max="12035" width="12.7109375" style="57" customWidth="1"/>
    <col min="12036" max="12036" width="11.28515625" style="57" customWidth="1"/>
    <col min="12037" max="12037" width="11.85546875" style="57" customWidth="1"/>
    <col min="12038" max="12038" width="11.7109375" style="57" customWidth="1"/>
    <col min="12039" max="12039" width="10.7109375" style="57" customWidth="1"/>
    <col min="12040" max="12040" width="11.85546875" style="57" customWidth="1"/>
    <col min="12041" max="12041" width="11.42578125" style="57" customWidth="1"/>
    <col min="12042" max="12042" width="12.28515625" style="57" customWidth="1"/>
    <col min="12043" max="12043" width="11" style="57" customWidth="1"/>
    <col min="12044" max="12044" width="12" style="57" customWidth="1"/>
    <col min="12045" max="12045" width="12.85546875" style="57" bestFit="1" customWidth="1"/>
    <col min="12046" max="12046" width="13.85546875" style="57" customWidth="1"/>
    <col min="12047" max="12047" width="4.85546875" style="57" bestFit="1" customWidth="1"/>
    <col min="12048" max="12048" width="12" style="57" bestFit="1" customWidth="1"/>
    <col min="12049" max="12049" width="10.28515625" style="57" bestFit="1" customWidth="1"/>
    <col min="12050" max="12050" width="12" style="57" bestFit="1" customWidth="1"/>
    <col min="12051" max="12051" width="12.5703125" style="57" bestFit="1" customWidth="1"/>
    <col min="12052" max="12052" width="12" style="57" bestFit="1" customWidth="1"/>
    <col min="12053" max="12054" width="11.7109375" style="57" bestFit="1" customWidth="1"/>
    <col min="12055" max="12055" width="11.140625" style="57" bestFit="1" customWidth="1"/>
    <col min="12056" max="12288" width="9.140625" style="57"/>
    <col min="12289" max="12289" width="10.28515625" style="57" customWidth="1"/>
    <col min="12290" max="12290" width="10.42578125" style="57" customWidth="1"/>
    <col min="12291" max="12291" width="12.7109375" style="57" customWidth="1"/>
    <col min="12292" max="12292" width="11.28515625" style="57" customWidth="1"/>
    <col min="12293" max="12293" width="11.85546875" style="57" customWidth="1"/>
    <col min="12294" max="12294" width="11.7109375" style="57" customWidth="1"/>
    <col min="12295" max="12295" width="10.7109375" style="57" customWidth="1"/>
    <col min="12296" max="12296" width="11.85546875" style="57" customWidth="1"/>
    <col min="12297" max="12297" width="11.42578125" style="57" customWidth="1"/>
    <col min="12298" max="12298" width="12.28515625" style="57" customWidth="1"/>
    <col min="12299" max="12299" width="11" style="57" customWidth="1"/>
    <col min="12300" max="12300" width="12" style="57" customWidth="1"/>
    <col min="12301" max="12301" width="12.85546875" style="57" bestFit="1" customWidth="1"/>
    <col min="12302" max="12302" width="13.85546875" style="57" customWidth="1"/>
    <col min="12303" max="12303" width="4.85546875" style="57" bestFit="1" customWidth="1"/>
    <col min="12304" max="12304" width="12" style="57" bestFit="1" customWidth="1"/>
    <col min="12305" max="12305" width="10.28515625" style="57" bestFit="1" customWidth="1"/>
    <col min="12306" max="12306" width="12" style="57" bestFit="1" customWidth="1"/>
    <col min="12307" max="12307" width="12.5703125" style="57" bestFit="1" customWidth="1"/>
    <col min="12308" max="12308" width="12" style="57" bestFit="1" customWidth="1"/>
    <col min="12309" max="12310" width="11.7109375" style="57" bestFit="1" customWidth="1"/>
    <col min="12311" max="12311" width="11.140625" style="57" bestFit="1" customWidth="1"/>
    <col min="12312" max="12544" width="9.140625" style="57"/>
    <col min="12545" max="12545" width="10.28515625" style="57" customWidth="1"/>
    <col min="12546" max="12546" width="10.42578125" style="57" customWidth="1"/>
    <col min="12547" max="12547" width="12.7109375" style="57" customWidth="1"/>
    <col min="12548" max="12548" width="11.28515625" style="57" customWidth="1"/>
    <col min="12549" max="12549" width="11.85546875" style="57" customWidth="1"/>
    <col min="12550" max="12550" width="11.7109375" style="57" customWidth="1"/>
    <col min="12551" max="12551" width="10.7109375" style="57" customWidth="1"/>
    <col min="12552" max="12552" width="11.85546875" style="57" customWidth="1"/>
    <col min="12553" max="12553" width="11.42578125" style="57" customWidth="1"/>
    <col min="12554" max="12554" width="12.28515625" style="57" customWidth="1"/>
    <col min="12555" max="12555" width="11" style="57" customWidth="1"/>
    <col min="12556" max="12556" width="12" style="57" customWidth="1"/>
    <col min="12557" max="12557" width="12.85546875" style="57" bestFit="1" customWidth="1"/>
    <col min="12558" max="12558" width="13.85546875" style="57" customWidth="1"/>
    <col min="12559" max="12559" width="4.85546875" style="57" bestFit="1" customWidth="1"/>
    <col min="12560" max="12560" width="12" style="57" bestFit="1" customWidth="1"/>
    <col min="12561" max="12561" width="10.28515625" style="57" bestFit="1" customWidth="1"/>
    <col min="12562" max="12562" width="12" style="57" bestFit="1" customWidth="1"/>
    <col min="12563" max="12563" width="12.5703125" style="57" bestFit="1" customWidth="1"/>
    <col min="12564" max="12564" width="12" style="57" bestFit="1" customWidth="1"/>
    <col min="12565" max="12566" width="11.7109375" style="57" bestFit="1" customWidth="1"/>
    <col min="12567" max="12567" width="11.140625" style="57" bestFit="1" customWidth="1"/>
    <col min="12568" max="12800" width="9.140625" style="57"/>
    <col min="12801" max="12801" width="10.28515625" style="57" customWidth="1"/>
    <col min="12802" max="12802" width="10.42578125" style="57" customWidth="1"/>
    <col min="12803" max="12803" width="12.7109375" style="57" customWidth="1"/>
    <col min="12804" max="12804" width="11.28515625" style="57" customWidth="1"/>
    <col min="12805" max="12805" width="11.85546875" style="57" customWidth="1"/>
    <col min="12806" max="12806" width="11.7109375" style="57" customWidth="1"/>
    <col min="12807" max="12807" width="10.7109375" style="57" customWidth="1"/>
    <col min="12808" max="12808" width="11.85546875" style="57" customWidth="1"/>
    <col min="12809" max="12809" width="11.42578125" style="57" customWidth="1"/>
    <col min="12810" max="12810" width="12.28515625" style="57" customWidth="1"/>
    <col min="12811" max="12811" width="11" style="57" customWidth="1"/>
    <col min="12812" max="12812" width="12" style="57" customWidth="1"/>
    <col min="12813" max="12813" width="12.85546875" style="57" bestFit="1" customWidth="1"/>
    <col min="12814" max="12814" width="13.85546875" style="57" customWidth="1"/>
    <col min="12815" max="12815" width="4.85546875" style="57" bestFit="1" customWidth="1"/>
    <col min="12816" max="12816" width="12" style="57" bestFit="1" customWidth="1"/>
    <col min="12817" max="12817" width="10.28515625" style="57" bestFit="1" customWidth="1"/>
    <col min="12818" max="12818" width="12" style="57" bestFit="1" customWidth="1"/>
    <col min="12819" max="12819" width="12.5703125" style="57" bestFit="1" customWidth="1"/>
    <col min="12820" max="12820" width="12" style="57" bestFit="1" customWidth="1"/>
    <col min="12821" max="12822" width="11.7109375" style="57" bestFit="1" customWidth="1"/>
    <col min="12823" max="12823" width="11.140625" style="57" bestFit="1" customWidth="1"/>
    <col min="12824" max="13056" width="9.140625" style="57"/>
    <col min="13057" max="13057" width="10.28515625" style="57" customWidth="1"/>
    <col min="13058" max="13058" width="10.42578125" style="57" customWidth="1"/>
    <col min="13059" max="13059" width="12.7109375" style="57" customWidth="1"/>
    <col min="13060" max="13060" width="11.28515625" style="57" customWidth="1"/>
    <col min="13061" max="13061" width="11.85546875" style="57" customWidth="1"/>
    <col min="13062" max="13062" width="11.7109375" style="57" customWidth="1"/>
    <col min="13063" max="13063" width="10.7109375" style="57" customWidth="1"/>
    <col min="13064" max="13064" width="11.85546875" style="57" customWidth="1"/>
    <col min="13065" max="13065" width="11.42578125" style="57" customWidth="1"/>
    <col min="13066" max="13066" width="12.28515625" style="57" customWidth="1"/>
    <col min="13067" max="13067" width="11" style="57" customWidth="1"/>
    <col min="13068" max="13068" width="12" style="57" customWidth="1"/>
    <col min="13069" max="13069" width="12.85546875" style="57" bestFit="1" customWidth="1"/>
    <col min="13070" max="13070" width="13.85546875" style="57" customWidth="1"/>
    <col min="13071" max="13071" width="4.85546875" style="57" bestFit="1" customWidth="1"/>
    <col min="13072" max="13072" width="12" style="57" bestFit="1" customWidth="1"/>
    <col min="13073" max="13073" width="10.28515625" style="57" bestFit="1" customWidth="1"/>
    <col min="13074" max="13074" width="12" style="57" bestFit="1" customWidth="1"/>
    <col min="13075" max="13075" width="12.5703125" style="57" bestFit="1" customWidth="1"/>
    <col min="13076" max="13076" width="12" style="57" bestFit="1" customWidth="1"/>
    <col min="13077" max="13078" width="11.7109375" style="57" bestFit="1" customWidth="1"/>
    <col min="13079" max="13079" width="11.140625" style="57" bestFit="1" customWidth="1"/>
    <col min="13080" max="13312" width="9.140625" style="57"/>
    <col min="13313" max="13313" width="10.28515625" style="57" customWidth="1"/>
    <col min="13314" max="13314" width="10.42578125" style="57" customWidth="1"/>
    <col min="13315" max="13315" width="12.7109375" style="57" customWidth="1"/>
    <col min="13316" max="13316" width="11.28515625" style="57" customWidth="1"/>
    <col min="13317" max="13317" width="11.85546875" style="57" customWidth="1"/>
    <col min="13318" max="13318" width="11.7109375" style="57" customWidth="1"/>
    <col min="13319" max="13319" width="10.7109375" style="57" customWidth="1"/>
    <col min="13320" max="13320" width="11.85546875" style="57" customWidth="1"/>
    <col min="13321" max="13321" width="11.42578125" style="57" customWidth="1"/>
    <col min="13322" max="13322" width="12.28515625" style="57" customWidth="1"/>
    <col min="13323" max="13323" width="11" style="57" customWidth="1"/>
    <col min="13324" max="13324" width="12" style="57" customWidth="1"/>
    <col min="13325" max="13325" width="12.85546875" style="57" bestFit="1" customWidth="1"/>
    <col min="13326" max="13326" width="13.85546875" style="57" customWidth="1"/>
    <col min="13327" max="13327" width="4.85546875" style="57" bestFit="1" customWidth="1"/>
    <col min="13328" max="13328" width="12" style="57" bestFit="1" customWidth="1"/>
    <col min="13329" max="13329" width="10.28515625" style="57" bestFit="1" customWidth="1"/>
    <col min="13330" max="13330" width="12" style="57" bestFit="1" customWidth="1"/>
    <col min="13331" max="13331" width="12.5703125" style="57" bestFit="1" customWidth="1"/>
    <col min="13332" max="13332" width="12" style="57" bestFit="1" customWidth="1"/>
    <col min="13333" max="13334" width="11.7109375" style="57" bestFit="1" customWidth="1"/>
    <col min="13335" max="13335" width="11.140625" style="57" bestFit="1" customWidth="1"/>
    <col min="13336" max="13568" width="9.140625" style="57"/>
    <col min="13569" max="13569" width="10.28515625" style="57" customWidth="1"/>
    <col min="13570" max="13570" width="10.42578125" style="57" customWidth="1"/>
    <col min="13571" max="13571" width="12.7109375" style="57" customWidth="1"/>
    <col min="13572" max="13572" width="11.28515625" style="57" customWidth="1"/>
    <col min="13573" max="13573" width="11.85546875" style="57" customWidth="1"/>
    <col min="13574" max="13574" width="11.7109375" style="57" customWidth="1"/>
    <col min="13575" max="13575" width="10.7109375" style="57" customWidth="1"/>
    <col min="13576" max="13576" width="11.85546875" style="57" customWidth="1"/>
    <col min="13577" max="13577" width="11.42578125" style="57" customWidth="1"/>
    <col min="13578" max="13578" width="12.28515625" style="57" customWidth="1"/>
    <col min="13579" max="13579" width="11" style="57" customWidth="1"/>
    <col min="13580" max="13580" width="12" style="57" customWidth="1"/>
    <col min="13581" max="13581" width="12.85546875" style="57" bestFit="1" customWidth="1"/>
    <col min="13582" max="13582" width="13.85546875" style="57" customWidth="1"/>
    <col min="13583" max="13583" width="4.85546875" style="57" bestFit="1" customWidth="1"/>
    <col min="13584" max="13584" width="12" style="57" bestFit="1" customWidth="1"/>
    <col min="13585" max="13585" width="10.28515625" style="57" bestFit="1" customWidth="1"/>
    <col min="13586" max="13586" width="12" style="57" bestFit="1" customWidth="1"/>
    <col min="13587" max="13587" width="12.5703125" style="57" bestFit="1" customWidth="1"/>
    <col min="13588" max="13588" width="12" style="57" bestFit="1" customWidth="1"/>
    <col min="13589" max="13590" width="11.7109375" style="57" bestFit="1" customWidth="1"/>
    <col min="13591" max="13591" width="11.140625" style="57" bestFit="1" customWidth="1"/>
    <col min="13592" max="13824" width="9.140625" style="57"/>
    <col min="13825" max="13825" width="10.28515625" style="57" customWidth="1"/>
    <col min="13826" max="13826" width="10.42578125" style="57" customWidth="1"/>
    <col min="13827" max="13827" width="12.7109375" style="57" customWidth="1"/>
    <col min="13828" max="13828" width="11.28515625" style="57" customWidth="1"/>
    <col min="13829" max="13829" width="11.85546875" style="57" customWidth="1"/>
    <col min="13830" max="13830" width="11.7109375" style="57" customWidth="1"/>
    <col min="13831" max="13831" width="10.7109375" style="57" customWidth="1"/>
    <col min="13832" max="13832" width="11.85546875" style="57" customWidth="1"/>
    <col min="13833" max="13833" width="11.42578125" style="57" customWidth="1"/>
    <col min="13834" max="13834" width="12.28515625" style="57" customWidth="1"/>
    <col min="13835" max="13835" width="11" style="57" customWidth="1"/>
    <col min="13836" max="13836" width="12" style="57" customWidth="1"/>
    <col min="13837" max="13837" width="12.85546875" style="57" bestFit="1" customWidth="1"/>
    <col min="13838" max="13838" width="13.85546875" style="57" customWidth="1"/>
    <col min="13839" max="13839" width="4.85546875" style="57" bestFit="1" customWidth="1"/>
    <col min="13840" max="13840" width="12" style="57" bestFit="1" customWidth="1"/>
    <col min="13841" max="13841" width="10.28515625" style="57" bestFit="1" customWidth="1"/>
    <col min="13842" max="13842" width="12" style="57" bestFit="1" customWidth="1"/>
    <col min="13843" max="13843" width="12.5703125" style="57" bestFit="1" customWidth="1"/>
    <col min="13844" max="13844" width="12" style="57" bestFit="1" customWidth="1"/>
    <col min="13845" max="13846" width="11.7109375" style="57" bestFit="1" customWidth="1"/>
    <col min="13847" max="13847" width="11.140625" style="57" bestFit="1" customWidth="1"/>
    <col min="13848" max="14080" width="9.140625" style="57"/>
    <col min="14081" max="14081" width="10.28515625" style="57" customWidth="1"/>
    <col min="14082" max="14082" width="10.42578125" style="57" customWidth="1"/>
    <col min="14083" max="14083" width="12.7109375" style="57" customWidth="1"/>
    <col min="14084" max="14084" width="11.28515625" style="57" customWidth="1"/>
    <col min="14085" max="14085" width="11.85546875" style="57" customWidth="1"/>
    <col min="14086" max="14086" width="11.7109375" style="57" customWidth="1"/>
    <col min="14087" max="14087" width="10.7109375" style="57" customWidth="1"/>
    <col min="14088" max="14088" width="11.85546875" style="57" customWidth="1"/>
    <col min="14089" max="14089" width="11.42578125" style="57" customWidth="1"/>
    <col min="14090" max="14090" width="12.28515625" style="57" customWidth="1"/>
    <col min="14091" max="14091" width="11" style="57" customWidth="1"/>
    <col min="14092" max="14092" width="12" style="57" customWidth="1"/>
    <col min="14093" max="14093" width="12.85546875" style="57" bestFit="1" customWidth="1"/>
    <col min="14094" max="14094" width="13.85546875" style="57" customWidth="1"/>
    <col min="14095" max="14095" width="4.85546875" style="57" bestFit="1" customWidth="1"/>
    <col min="14096" max="14096" width="12" style="57" bestFit="1" customWidth="1"/>
    <col min="14097" max="14097" width="10.28515625" style="57" bestFit="1" customWidth="1"/>
    <col min="14098" max="14098" width="12" style="57" bestFit="1" customWidth="1"/>
    <col min="14099" max="14099" width="12.5703125" style="57" bestFit="1" customWidth="1"/>
    <col min="14100" max="14100" width="12" style="57" bestFit="1" customWidth="1"/>
    <col min="14101" max="14102" width="11.7109375" style="57" bestFit="1" customWidth="1"/>
    <col min="14103" max="14103" width="11.140625" style="57" bestFit="1" customWidth="1"/>
    <col min="14104" max="14336" width="9.140625" style="57"/>
    <col min="14337" max="14337" width="10.28515625" style="57" customWidth="1"/>
    <col min="14338" max="14338" width="10.42578125" style="57" customWidth="1"/>
    <col min="14339" max="14339" width="12.7109375" style="57" customWidth="1"/>
    <col min="14340" max="14340" width="11.28515625" style="57" customWidth="1"/>
    <col min="14341" max="14341" width="11.85546875" style="57" customWidth="1"/>
    <col min="14342" max="14342" width="11.7109375" style="57" customWidth="1"/>
    <col min="14343" max="14343" width="10.7109375" style="57" customWidth="1"/>
    <col min="14344" max="14344" width="11.85546875" style="57" customWidth="1"/>
    <col min="14345" max="14345" width="11.42578125" style="57" customWidth="1"/>
    <col min="14346" max="14346" width="12.28515625" style="57" customWidth="1"/>
    <col min="14347" max="14347" width="11" style="57" customWidth="1"/>
    <col min="14348" max="14348" width="12" style="57" customWidth="1"/>
    <col min="14349" max="14349" width="12.85546875" style="57" bestFit="1" customWidth="1"/>
    <col min="14350" max="14350" width="13.85546875" style="57" customWidth="1"/>
    <col min="14351" max="14351" width="4.85546875" style="57" bestFit="1" customWidth="1"/>
    <col min="14352" max="14352" width="12" style="57" bestFit="1" customWidth="1"/>
    <col min="14353" max="14353" width="10.28515625" style="57" bestFit="1" customWidth="1"/>
    <col min="14354" max="14354" width="12" style="57" bestFit="1" customWidth="1"/>
    <col min="14355" max="14355" width="12.5703125" style="57" bestFit="1" customWidth="1"/>
    <col min="14356" max="14356" width="12" style="57" bestFit="1" customWidth="1"/>
    <col min="14357" max="14358" width="11.7109375" style="57" bestFit="1" customWidth="1"/>
    <col min="14359" max="14359" width="11.140625" style="57" bestFit="1" customWidth="1"/>
    <col min="14360" max="14592" width="9.140625" style="57"/>
    <col min="14593" max="14593" width="10.28515625" style="57" customWidth="1"/>
    <col min="14594" max="14594" width="10.42578125" style="57" customWidth="1"/>
    <col min="14595" max="14595" width="12.7109375" style="57" customWidth="1"/>
    <col min="14596" max="14596" width="11.28515625" style="57" customWidth="1"/>
    <col min="14597" max="14597" width="11.85546875" style="57" customWidth="1"/>
    <col min="14598" max="14598" width="11.7109375" style="57" customWidth="1"/>
    <col min="14599" max="14599" width="10.7109375" style="57" customWidth="1"/>
    <col min="14600" max="14600" width="11.85546875" style="57" customWidth="1"/>
    <col min="14601" max="14601" width="11.42578125" style="57" customWidth="1"/>
    <col min="14602" max="14602" width="12.28515625" style="57" customWidth="1"/>
    <col min="14603" max="14603" width="11" style="57" customWidth="1"/>
    <col min="14604" max="14604" width="12" style="57" customWidth="1"/>
    <col min="14605" max="14605" width="12.85546875" style="57" bestFit="1" customWidth="1"/>
    <col min="14606" max="14606" width="13.85546875" style="57" customWidth="1"/>
    <col min="14607" max="14607" width="4.85546875" style="57" bestFit="1" customWidth="1"/>
    <col min="14608" max="14608" width="12" style="57" bestFit="1" customWidth="1"/>
    <col min="14609" max="14609" width="10.28515625" style="57" bestFit="1" customWidth="1"/>
    <col min="14610" max="14610" width="12" style="57" bestFit="1" customWidth="1"/>
    <col min="14611" max="14611" width="12.5703125" style="57" bestFit="1" customWidth="1"/>
    <col min="14612" max="14612" width="12" style="57" bestFit="1" customWidth="1"/>
    <col min="14613" max="14614" width="11.7109375" style="57" bestFit="1" customWidth="1"/>
    <col min="14615" max="14615" width="11.140625" style="57" bestFit="1" customWidth="1"/>
    <col min="14616" max="14848" width="9.140625" style="57"/>
    <col min="14849" max="14849" width="10.28515625" style="57" customWidth="1"/>
    <col min="14850" max="14850" width="10.42578125" style="57" customWidth="1"/>
    <col min="14851" max="14851" width="12.7109375" style="57" customWidth="1"/>
    <col min="14852" max="14852" width="11.28515625" style="57" customWidth="1"/>
    <col min="14853" max="14853" width="11.85546875" style="57" customWidth="1"/>
    <col min="14854" max="14854" width="11.7109375" style="57" customWidth="1"/>
    <col min="14855" max="14855" width="10.7109375" style="57" customWidth="1"/>
    <col min="14856" max="14856" width="11.85546875" style="57" customWidth="1"/>
    <col min="14857" max="14857" width="11.42578125" style="57" customWidth="1"/>
    <col min="14858" max="14858" width="12.28515625" style="57" customWidth="1"/>
    <col min="14859" max="14859" width="11" style="57" customWidth="1"/>
    <col min="14860" max="14860" width="12" style="57" customWidth="1"/>
    <col min="14861" max="14861" width="12.85546875" style="57" bestFit="1" customWidth="1"/>
    <col min="14862" max="14862" width="13.85546875" style="57" customWidth="1"/>
    <col min="14863" max="14863" width="4.85546875" style="57" bestFit="1" customWidth="1"/>
    <col min="14864" max="14864" width="12" style="57" bestFit="1" customWidth="1"/>
    <col min="14865" max="14865" width="10.28515625" style="57" bestFit="1" customWidth="1"/>
    <col min="14866" max="14866" width="12" style="57" bestFit="1" customWidth="1"/>
    <col min="14867" max="14867" width="12.5703125" style="57" bestFit="1" customWidth="1"/>
    <col min="14868" max="14868" width="12" style="57" bestFit="1" customWidth="1"/>
    <col min="14869" max="14870" width="11.7109375" style="57" bestFit="1" customWidth="1"/>
    <col min="14871" max="14871" width="11.140625" style="57" bestFit="1" customWidth="1"/>
    <col min="14872" max="15104" width="9.140625" style="57"/>
    <col min="15105" max="15105" width="10.28515625" style="57" customWidth="1"/>
    <col min="15106" max="15106" width="10.42578125" style="57" customWidth="1"/>
    <col min="15107" max="15107" width="12.7109375" style="57" customWidth="1"/>
    <col min="15108" max="15108" width="11.28515625" style="57" customWidth="1"/>
    <col min="15109" max="15109" width="11.85546875" style="57" customWidth="1"/>
    <col min="15110" max="15110" width="11.7109375" style="57" customWidth="1"/>
    <col min="15111" max="15111" width="10.7109375" style="57" customWidth="1"/>
    <col min="15112" max="15112" width="11.85546875" style="57" customWidth="1"/>
    <col min="15113" max="15113" width="11.42578125" style="57" customWidth="1"/>
    <col min="15114" max="15114" width="12.28515625" style="57" customWidth="1"/>
    <col min="15115" max="15115" width="11" style="57" customWidth="1"/>
    <col min="15116" max="15116" width="12" style="57" customWidth="1"/>
    <col min="15117" max="15117" width="12.85546875" style="57" bestFit="1" customWidth="1"/>
    <col min="15118" max="15118" width="13.85546875" style="57" customWidth="1"/>
    <col min="15119" max="15119" width="4.85546875" style="57" bestFit="1" customWidth="1"/>
    <col min="15120" max="15120" width="12" style="57" bestFit="1" customWidth="1"/>
    <col min="15121" max="15121" width="10.28515625" style="57" bestFit="1" customWidth="1"/>
    <col min="15122" max="15122" width="12" style="57" bestFit="1" customWidth="1"/>
    <col min="15123" max="15123" width="12.5703125" style="57" bestFit="1" customWidth="1"/>
    <col min="15124" max="15124" width="12" style="57" bestFit="1" customWidth="1"/>
    <col min="15125" max="15126" width="11.7109375" style="57" bestFit="1" customWidth="1"/>
    <col min="15127" max="15127" width="11.140625" style="57" bestFit="1" customWidth="1"/>
    <col min="15128" max="15360" width="9.140625" style="57"/>
    <col min="15361" max="15361" width="10.28515625" style="57" customWidth="1"/>
    <col min="15362" max="15362" width="10.42578125" style="57" customWidth="1"/>
    <col min="15363" max="15363" width="12.7109375" style="57" customWidth="1"/>
    <col min="15364" max="15364" width="11.28515625" style="57" customWidth="1"/>
    <col min="15365" max="15365" width="11.85546875" style="57" customWidth="1"/>
    <col min="15366" max="15366" width="11.7109375" style="57" customWidth="1"/>
    <col min="15367" max="15367" width="10.7109375" style="57" customWidth="1"/>
    <col min="15368" max="15368" width="11.85546875" style="57" customWidth="1"/>
    <col min="15369" max="15369" width="11.42578125" style="57" customWidth="1"/>
    <col min="15370" max="15370" width="12.28515625" style="57" customWidth="1"/>
    <col min="15371" max="15371" width="11" style="57" customWidth="1"/>
    <col min="15372" max="15372" width="12" style="57" customWidth="1"/>
    <col min="15373" max="15373" width="12.85546875" style="57" bestFit="1" customWidth="1"/>
    <col min="15374" max="15374" width="13.85546875" style="57" customWidth="1"/>
    <col min="15375" max="15375" width="4.85546875" style="57" bestFit="1" customWidth="1"/>
    <col min="15376" max="15376" width="12" style="57" bestFit="1" customWidth="1"/>
    <col min="15377" max="15377" width="10.28515625" style="57" bestFit="1" customWidth="1"/>
    <col min="15378" max="15378" width="12" style="57" bestFit="1" customWidth="1"/>
    <col min="15379" max="15379" width="12.5703125" style="57" bestFit="1" customWidth="1"/>
    <col min="15380" max="15380" width="12" style="57" bestFit="1" customWidth="1"/>
    <col min="15381" max="15382" width="11.7109375" style="57" bestFit="1" customWidth="1"/>
    <col min="15383" max="15383" width="11.140625" style="57" bestFit="1" customWidth="1"/>
    <col min="15384" max="15616" width="9.140625" style="57"/>
    <col min="15617" max="15617" width="10.28515625" style="57" customWidth="1"/>
    <col min="15618" max="15618" width="10.42578125" style="57" customWidth="1"/>
    <col min="15619" max="15619" width="12.7109375" style="57" customWidth="1"/>
    <col min="15620" max="15620" width="11.28515625" style="57" customWidth="1"/>
    <col min="15621" max="15621" width="11.85546875" style="57" customWidth="1"/>
    <col min="15622" max="15622" width="11.7109375" style="57" customWidth="1"/>
    <col min="15623" max="15623" width="10.7109375" style="57" customWidth="1"/>
    <col min="15624" max="15624" width="11.85546875" style="57" customWidth="1"/>
    <col min="15625" max="15625" width="11.42578125" style="57" customWidth="1"/>
    <col min="15626" max="15626" width="12.28515625" style="57" customWidth="1"/>
    <col min="15627" max="15627" width="11" style="57" customWidth="1"/>
    <col min="15628" max="15628" width="12" style="57" customWidth="1"/>
    <col min="15629" max="15629" width="12.85546875" style="57" bestFit="1" customWidth="1"/>
    <col min="15630" max="15630" width="13.85546875" style="57" customWidth="1"/>
    <col min="15631" max="15631" width="4.85546875" style="57" bestFit="1" customWidth="1"/>
    <col min="15632" max="15632" width="12" style="57" bestFit="1" customWidth="1"/>
    <col min="15633" max="15633" width="10.28515625" style="57" bestFit="1" customWidth="1"/>
    <col min="15634" max="15634" width="12" style="57" bestFit="1" customWidth="1"/>
    <col min="15635" max="15635" width="12.5703125" style="57" bestFit="1" customWidth="1"/>
    <col min="15636" max="15636" width="12" style="57" bestFit="1" customWidth="1"/>
    <col min="15637" max="15638" width="11.7109375" style="57" bestFit="1" customWidth="1"/>
    <col min="15639" max="15639" width="11.140625" style="57" bestFit="1" customWidth="1"/>
    <col min="15640" max="15872" width="9.140625" style="57"/>
    <col min="15873" max="15873" width="10.28515625" style="57" customWidth="1"/>
    <col min="15874" max="15874" width="10.42578125" style="57" customWidth="1"/>
    <col min="15875" max="15875" width="12.7109375" style="57" customWidth="1"/>
    <col min="15876" max="15876" width="11.28515625" style="57" customWidth="1"/>
    <col min="15877" max="15877" width="11.85546875" style="57" customWidth="1"/>
    <col min="15878" max="15878" width="11.7109375" style="57" customWidth="1"/>
    <col min="15879" max="15879" width="10.7109375" style="57" customWidth="1"/>
    <col min="15880" max="15880" width="11.85546875" style="57" customWidth="1"/>
    <col min="15881" max="15881" width="11.42578125" style="57" customWidth="1"/>
    <col min="15882" max="15882" width="12.28515625" style="57" customWidth="1"/>
    <col min="15883" max="15883" width="11" style="57" customWidth="1"/>
    <col min="15884" max="15884" width="12" style="57" customWidth="1"/>
    <col min="15885" max="15885" width="12.85546875" style="57" bestFit="1" customWidth="1"/>
    <col min="15886" max="15886" width="13.85546875" style="57" customWidth="1"/>
    <col min="15887" max="15887" width="4.85546875" style="57" bestFit="1" customWidth="1"/>
    <col min="15888" max="15888" width="12" style="57" bestFit="1" customWidth="1"/>
    <col min="15889" max="15889" width="10.28515625" style="57" bestFit="1" customWidth="1"/>
    <col min="15890" max="15890" width="12" style="57" bestFit="1" customWidth="1"/>
    <col min="15891" max="15891" width="12.5703125" style="57" bestFit="1" customWidth="1"/>
    <col min="15892" max="15892" width="12" style="57" bestFit="1" customWidth="1"/>
    <col min="15893" max="15894" width="11.7109375" style="57" bestFit="1" customWidth="1"/>
    <col min="15895" max="15895" width="11.140625" style="57" bestFit="1" customWidth="1"/>
    <col min="15896" max="16128" width="9.140625" style="57"/>
    <col min="16129" max="16129" width="10.28515625" style="57" customWidth="1"/>
    <col min="16130" max="16130" width="10.42578125" style="57" customWidth="1"/>
    <col min="16131" max="16131" width="12.7109375" style="57" customWidth="1"/>
    <col min="16132" max="16132" width="11.28515625" style="57" customWidth="1"/>
    <col min="16133" max="16133" width="11.85546875" style="57" customWidth="1"/>
    <col min="16134" max="16134" width="11.7109375" style="57" customWidth="1"/>
    <col min="16135" max="16135" width="10.7109375" style="57" customWidth="1"/>
    <col min="16136" max="16136" width="11.85546875" style="57" customWidth="1"/>
    <col min="16137" max="16137" width="11.42578125" style="57" customWidth="1"/>
    <col min="16138" max="16138" width="12.28515625" style="57" customWidth="1"/>
    <col min="16139" max="16139" width="11" style="57" customWidth="1"/>
    <col min="16140" max="16140" width="12" style="57" customWidth="1"/>
    <col min="16141" max="16141" width="12.85546875" style="57" bestFit="1" customWidth="1"/>
    <col min="16142" max="16142" width="13.85546875" style="57" customWidth="1"/>
    <col min="16143" max="16143" width="4.85546875" style="57" bestFit="1" customWidth="1"/>
    <col min="16144" max="16144" width="12" style="57" bestFit="1" customWidth="1"/>
    <col min="16145" max="16145" width="10.28515625" style="57" bestFit="1" customWidth="1"/>
    <col min="16146" max="16146" width="12" style="57" bestFit="1" customWidth="1"/>
    <col min="16147" max="16147" width="12.5703125" style="57" bestFit="1" customWidth="1"/>
    <col min="16148" max="16148" width="12" style="57" bestFit="1" customWidth="1"/>
    <col min="16149" max="16150" width="11.7109375" style="57" bestFit="1" customWidth="1"/>
    <col min="16151" max="16151" width="11.140625" style="57" bestFit="1" customWidth="1"/>
    <col min="16152" max="16384" width="9.140625" style="57"/>
  </cols>
  <sheetData>
    <row r="1" spans="1:24" x14ac:dyDescent="0.2">
      <c r="A1" s="134"/>
      <c r="B1" s="135" t="s">
        <v>191</v>
      </c>
    </row>
    <row r="2" spans="1:24" x14ac:dyDescent="0.2">
      <c r="A2" s="57" t="s">
        <v>192</v>
      </c>
      <c r="B2" s="57" t="s">
        <v>896</v>
      </c>
      <c r="E2" s="57" t="s">
        <v>193</v>
      </c>
    </row>
    <row r="3" spans="1:24" s="59" customFormat="1" ht="8.25" x14ac:dyDescent="0.15">
      <c r="C3" s="61"/>
      <c r="D3" s="61"/>
    </row>
    <row r="4" spans="1:24" x14ac:dyDescent="0.2">
      <c r="A4" s="57" t="s">
        <v>194</v>
      </c>
      <c r="D4" s="136"/>
      <c r="P4" s="59"/>
      <c r="Q4" s="59"/>
      <c r="R4" s="59"/>
      <c r="S4" s="59"/>
      <c r="T4" s="59"/>
      <c r="U4" s="59"/>
      <c r="V4" s="59"/>
      <c r="W4" s="59"/>
      <c r="X4" s="59"/>
    </row>
    <row r="5" spans="1:24" x14ac:dyDescent="0.2">
      <c r="A5" s="57" t="s">
        <v>195</v>
      </c>
      <c r="D5" s="136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</row>
    <row r="6" spans="1:24" s="59" customFormat="1" x14ac:dyDescent="0.2">
      <c r="D6" s="61"/>
      <c r="I6" s="60"/>
      <c r="M6" s="57"/>
    </row>
    <row r="7" spans="1:24" x14ac:dyDescent="0.2">
      <c r="A7" s="137" t="s">
        <v>196</v>
      </c>
      <c r="B7" s="138" t="s">
        <v>197</v>
      </c>
      <c r="C7" s="139" t="s">
        <v>198</v>
      </c>
      <c r="D7" s="138" t="s">
        <v>199</v>
      </c>
      <c r="E7" s="709" t="s">
        <v>200</v>
      </c>
      <c r="F7" s="710"/>
      <c r="G7" s="709" t="s">
        <v>201</v>
      </c>
      <c r="H7" s="710"/>
      <c r="I7" s="711" t="s">
        <v>202</v>
      </c>
      <c r="J7" s="712"/>
      <c r="K7" s="68" t="s">
        <v>203</v>
      </c>
      <c r="L7" s="139" t="s">
        <v>204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</row>
    <row r="8" spans="1:24" x14ac:dyDescent="0.2">
      <c r="A8" s="140" t="s">
        <v>205</v>
      </c>
      <c r="B8" s="141" t="s">
        <v>206</v>
      </c>
      <c r="C8" s="142">
        <v>3488232.14</v>
      </c>
      <c r="D8" s="143">
        <f>3664813.66</f>
        <v>3664813.66</v>
      </c>
      <c r="E8" s="144">
        <f>D8*0.6</f>
        <v>2198888.196</v>
      </c>
      <c r="F8" s="144">
        <f t="shared" ref="F8:F19" si="0">(((C8*0.6)/12)*12)-E8</f>
        <v>-105948.91200000001</v>
      </c>
      <c r="G8" s="144">
        <f>D8*0.25</f>
        <v>916203.41500000004</v>
      </c>
      <c r="H8" s="144">
        <f t="shared" ref="H8:H15" si="1">(((C8*0.25)/12)*12)-G8</f>
        <v>-44145.380000000121</v>
      </c>
      <c r="I8" s="145"/>
      <c r="J8" s="146"/>
      <c r="K8" s="147">
        <f>D8*0.15</f>
        <v>549722.049</v>
      </c>
      <c r="L8" s="144">
        <f t="shared" ref="L8:L15" si="2">(((C8*0.25)/12)*12)-K8</f>
        <v>322335.98599999992</v>
      </c>
      <c r="N8" s="59"/>
      <c r="V8" s="59"/>
      <c r="W8" s="59"/>
      <c r="X8" s="59"/>
    </row>
    <row r="9" spans="1:24" x14ac:dyDescent="0.2">
      <c r="A9" s="140" t="s">
        <v>207</v>
      </c>
      <c r="B9" s="141" t="s">
        <v>208</v>
      </c>
      <c r="C9" s="142">
        <v>4037453.83</v>
      </c>
      <c r="D9" s="148">
        <f>3921591.65</f>
        <v>3921591.65</v>
      </c>
      <c r="E9" s="149">
        <f t="shared" ref="E9:E19" si="3">D9*0.6</f>
        <v>2352954.9899999998</v>
      </c>
      <c r="F9" s="149">
        <f t="shared" si="0"/>
        <v>69517.308000000194</v>
      </c>
      <c r="G9" s="149">
        <f>D9*0.25</f>
        <v>980397.91249999998</v>
      </c>
      <c r="H9" s="149">
        <f t="shared" si="1"/>
        <v>28965.545000000042</v>
      </c>
      <c r="I9" s="145"/>
      <c r="J9" s="146"/>
      <c r="K9" s="147">
        <f t="shared" ref="K9:K19" si="4">D9*0.15</f>
        <v>588238.74749999994</v>
      </c>
      <c r="L9" s="149">
        <f t="shared" si="2"/>
        <v>421124.71000000008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1:24" x14ac:dyDescent="0.2">
      <c r="A10" s="140" t="s">
        <v>209</v>
      </c>
      <c r="B10" s="141" t="s">
        <v>210</v>
      </c>
      <c r="C10" s="142">
        <v>1078358.27</v>
      </c>
      <c r="D10" s="148">
        <f>1945055.63</f>
        <v>1945055.63</v>
      </c>
      <c r="E10" s="149">
        <f>D10*0.6</f>
        <v>1167033.3779999998</v>
      </c>
      <c r="F10" s="149">
        <f t="shared" si="0"/>
        <v>-520018.41599999985</v>
      </c>
      <c r="G10" s="149">
        <f>D10*0.25</f>
        <v>486263.90749999997</v>
      </c>
      <c r="H10" s="149">
        <f t="shared" si="1"/>
        <v>-216674.33999999997</v>
      </c>
      <c r="I10" s="145"/>
      <c r="J10" s="146"/>
      <c r="K10" s="147">
        <f t="shared" si="4"/>
        <v>291758.34449999995</v>
      </c>
      <c r="L10" s="149">
        <f t="shared" si="2"/>
        <v>-22168.776999999944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1:24" x14ac:dyDescent="0.2">
      <c r="A11" s="140" t="s">
        <v>211</v>
      </c>
      <c r="B11" s="141" t="s">
        <v>212</v>
      </c>
      <c r="C11" s="142">
        <v>5723855.79</v>
      </c>
      <c r="D11" s="148">
        <f>4395729.66</f>
        <v>4395729.66</v>
      </c>
      <c r="E11" s="149">
        <f t="shared" si="3"/>
        <v>2637437.7960000001</v>
      </c>
      <c r="F11" s="149">
        <f t="shared" si="0"/>
        <v>796875.67800000031</v>
      </c>
      <c r="G11" s="150">
        <f>D11*0.25</f>
        <v>1098932.415</v>
      </c>
      <c r="H11" s="149">
        <f t="shared" si="1"/>
        <v>332031.53249999997</v>
      </c>
      <c r="I11" s="145"/>
      <c r="J11" s="146"/>
      <c r="K11" s="147">
        <f t="shared" si="4"/>
        <v>659359.44900000002</v>
      </c>
      <c r="L11" s="149">
        <f t="shared" si="2"/>
        <v>771604.49849999999</v>
      </c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1:24" x14ac:dyDescent="0.2">
      <c r="A12" s="140" t="s">
        <v>213</v>
      </c>
      <c r="B12" s="151" t="s">
        <v>214</v>
      </c>
      <c r="C12" s="152">
        <f>18851876.16+4712969.04</f>
        <v>23564845.199999999</v>
      </c>
      <c r="D12" s="143">
        <f>16511988.99+1376000.59+4127997.1+5503996.33</f>
        <v>27519983.010000005</v>
      </c>
      <c r="E12" s="396">
        <f t="shared" si="3"/>
        <v>16511989.806000002</v>
      </c>
      <c r="F12" s="149">
        <f t="shared" si="0"/>
        <v>-2373082.6860000007</v>
      </c>
      <c r="G12" s="157">
        <f>(D12*0.05)</f>
        <v>1375999.1505000005</v>
      </c>
      <c r="H12" s="150">
        <f t="shared" si="1"/>
        <v>4515212.1494999994</v>
      </c>
      <c r="I12" s="154">
        <f>-D12*0.2</f>
        <v>-5503996.6020000018</v>
      </c>
      <c r="J12" s="155">
        <f>(((C12*0.2)/12)*12)+I12</f>
        <v>-791027.56200000178</v>
      </c>
      <c r="K12" s="147">
        <f t="shared" si="4"/>
        <v>4127997.4515000004</v>
      </c>
      <c r="L12" s="149">
        <f t="shared" si="2"/>
        <v>1763213.8484999994</v>
      </c>
      <c r="M12" s="156"/>
      <c r="N12" s="60"/>
    </row>
    <row r="13" spans="1:24" x14ac:dyDescent="0.2">
      <c r="A13" s="140" t="s">
        <v>215</v>
      </c>
      <c r="B13" s="141" t="s">
        <v>216</v>
      </c>
      <c r="C13" s="142">
        <f>1282878.01</f>
        <v>1282878.01</v>
      </c>
      <c r="D13" s="148">
        <f>1065524.25</f>
        <v>1065524.25</v>
      </c>
      <c r="E13" s="149">
        <f t="shared" si="3"/>
        <v>639314.54999999993</v>
      </c>
      <c r="F13" s="149">
        <f t="shared" si="0"/>
        <v>130412.25600000005</v>
      </c>
      <c r="G13" s="149">
        <f>D13*0.25</f>
        <v>266381.0625</v>
      </c>
      <c r="H13" s="149">
        <f t="shared" si="1"/>
        <v>54338.44</v>
      </c>
      <c r="I13" s="145"/>
      <c r="J13" s="146"/>
      <c r="K13" s="147">
        <f t="shared" si="4"/>
        <v>159828.63749999998</v>
      </c>
      <c r="L13" s="149">
        <f t="shared" si="2"/>
        <v>160890.86500000002</v>
      </c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 x14ac:dyDescent="0.2">
      <c r="A14" s="140" t="s">
        <v>217</v>
      </c>
      <c r="B14" s="141" t="s">
        <v>216</v>
      </c>
      <c r="C14" s="142">
        <f>1014102.37</f>
        <v>1014102.37</v>
      </c>
      <c r="D14" s="148">
        <f>1206234.45</f>
        <v>1206234.45</v>
      </c>
      <c r="E14" s="149">
        <f t="shared" si="3"/>
        <v>723740.66999999993</v>
      </c>
      <c r="F14" s="149">
        <f t="shared" si="0"/>
        <v>-115279.24799999991</v>
      </c>
      <c r="G14" s="149">
        <f>D14*0.25</f>
        <v>301558.61249999999</v>
      </c>
      <c r="H14" s="149">
        <f t="shared" si="1"/>
        <v>-48033.01999999996</v>
      </c>
      <c r="I14" s="145"/>
      <c r="J14" s="146"/>
      <c r="K14" s="147">
        <f t="shared" si="4"/>
        <v>180935.16749999998</v>
      </c>
      <c r="L14" s="149">
        <f t="shared" si="2"/>
        <v>72590.425000000047</v>
      </c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1:24" x14ac:dyDescent="0.2">
      <c r="A15" s="140" t="s">
        <v>218</v>
      </c>
      <c r="B15" s="151" t="s">
        <v>219</v>
      </c>
      <c r="C15" s="152">
        <f>736320+184080</f>
        <v>920400</v>
      </c>
      <c r="D15" s="143">
        <f>915324.69+228830.96</f>
        <v>1144155.6499999999</v>
      </c>
      <c r="E15" s="153">
        <f t="shared" si="3"/>
        <v>686493.3899999999</v>
      </c>
      <c r="F15" s="149">
        <f t="shared" si="0"/>
        <v>-134253.3899999999</v>
      </c>
      <c r="G15" s="153">
        <f>(D15*0.05)</f>
        <v>57207.782500000001</v>
      </c>
      <c r="H15" s="149">
        <f t="shared" si="1"/>
        <v>172892.2175</v>
      </c>
      <c r="I15" s="154">
        <f>-D15*0.2</f>
        <v>-228831.13</v>
      </c>
      <c r="J15" s="155">
        <f>(((C15*0.2)/12)*12)+I15</f>
        <v>-44751.130000000005</v>
      </c>
      <c r="K15" s="147">
        <f t="shared" si="4"/>
        <v>171623.34749999997</v>
      </c>
      <c r="L15" s="149">
        <f t="shared" si="2"/>
        <v>58476.652500000026</v>
      </c>
      <c r="M15" s="156"/>
      <c r="N15" s="60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1:24" x14ac:dyDescent="0.2">
      <c r="A16" s="140" t="s">
        <v>220</v>
      </c>
      <c r="B16" s="151" t="s">
        <v>221</v>
      </c>
      <c r="C16" s="152">
        <f>130791.45+32697.86</f>
        <v>163489.31</v>
      </c>
      <c r="D16" s="143"/>
      <c r="E16" s="153">
        <f>D16*1</f>
        <v>0</v>
      </c>
      <c r="F16" s="149">
        <f t="shared" si="0"/>
        <v>98093.585999999996</v>
      </c>
      <c r="G16" s="153"/>
      <c r="H16" s="149"/>
      <c r="I16" s="154"/>
      <c r="J16" s="155"/>
      <c r="K16" s="147"/>
      <c r="L16" s="149"/>
      <c r="N16" s="59"/>
    </row>
    <row r="17" spans="1:24" x14ac:dyDescent="0.2">
      <c r="A17" s="140" t="s">
        <v>222</v>
      </c>
      <c r="B17" s="151" t="s">
        <v>223</v>
      </c>
      <c r="C17" s="152">
        <f>22409830.01+5602457.5</f>
        <v>28012287.510000002</v>
      </c>
      <c r="D17" s="143">
        <f>21833649.04+1819470.82+5458412.26+7302100.46</f>
        <v>36413632.579999998</v>
      </c>
      <c r="E17" s="157">
        <f t="shared" si="3"/>
        <v>21848179.547999997</v>
      </c>
      <c r="F17" s="149">
        <f t="shared" si="0"/>
        <v>-5040807.0419999957</v>
      </c>
      <c r="G17" s="157">
        <f>(D17*0.05)</f>
        <v>1820681.629</v>
      </c>
      <c r="H17" s="149">
        <f>(((C17*0.25)/12)*12)-G17</f>
        <v>5182390.2484999998</v>
      </c>
      <c r="I17" s="158">
        <f>-D17*0.2</f>
        <v>-7282726.5159999998</v>
      </c>
      <c r="J17" s="159">
        <f>(((C17*0.2)/12)*12)+I17</f>
        <v>-1680269.0139999995</v>
      </c>
      <c r="K17" s="147">
        <f t="shared" si="4"/>
        <v>5462044.8869999992</v>
      </c>
      <c r="L17" s="149">
        <f>(((C17*0.25)/12)*12)-K17</f>
        <v>1541026.9905000003</v>
      </c>
      <c r="M17" s="156"/>
      <c r="N17" s="60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1:24" x14ac:dyDescent="0.2">
      <c r="A18" s="140" t="s">
        <v>224</v>
      </c>
      <c r="B18" s="151" t="s">
        <v>225</v>
      </c>
      <c r="C18" s="152">
        <f>2323787+580946.75</f>
        <v>2904733.75</v>
      </c>
      <c r="D18" s="143">
        <f>2205317.11+183776.7+551329.46+735106.16</f>
        <v>3675529.43</v>
      </c>
      <c r="E18" s="153">
        <f t="shared" si="3"/>
        <v>2205317.6579999998</v>
      </c>
      <c r="F18" s="149">
        <f t="shared" si="0"/>
        <v>-462477.40799999982</v>
      </c>
      <c r="G18" s="153">
        <f>(D18*0.05)</f>
        <v>183776.47150000001</v>
      </c>
      <c r="H18" s="149">
        <f>(((C18*0.25)/12)*12)-G18</f>
        <v>542406.96600000001</v>
      </c>
      <c r="I18" s="154">
        <f>-D18*0.2</f>
        <v>-735105.88600000006</v>
      </c>
      <c r="J18" s="155">
        <f>(((C18*0.2)/12)*12)+I18</f>
        <v>-154159.13600000006</v>
      </c>
      <c r="K18" s="147">
        <f t="shared" si="4"/>
        <v>551329.41449999996</v>
      </c>
      <c r="L18" s="149">
        <f>(((C18*0.25)/12)*12)-K18</f>
        <v>174854.02300000004</v>
      </c>
      <c r="M18" s="156"/>
      <c r="N18" s="60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1:24" x14ac:dyDescent="0.2">
      <c r="A19" s="140" t="s">
        <v>226</v>
      </c>
      <c r="B19" s="151" t="s">
        <v>227</v>
      </c>
      <c r="C19" s="152">
        <f>291734.01+72933.5</f>
        <v>364667.51</v>
      </c>
      <c r="D19" s="143">
        <f>235640.93+19636.76+58910.25+78547.05</f>
        <v>392734.99</v>
      </c>
      <c r="E19" s="153">
        <f t="shared" si="3"/>
        <v>235640.99399999998</v>
      </c>
      <c r="F19" s="149">
        <f t="shared" si="0"/>
        <v>-16840.487999999983</v>
      </c>
      <c r="G19" s="153">
        <f>(D19*0.05)</f>
        <v>19636.749500000002</v>
      </c>
      <c r="H19" s="149">
        <f>(((C19*0.25)/12)*12)-G19</f>
        <v>71530.127999999997</v>
      </c>
      <c r="I19" s="154">
        <f>-D19*0.2</f>
        <v>-78546.998000000007</v>
      </c>
      <c r="J19" s="155">
        <f>(((C19*0.2)/12)*12)+I19</f>
        <v>-5613.4959999999992</v>
      </c>
      <c r="K19" s="147">
        <f t="shared" si="4"/>
        <v>58910.248499999994</v>
      </c>
      <c r="L19" s="149">
        <f>(((C19*0.25)/12)*12)-K19</f>
        <v>32256.629000000008</v>
      </c>
      <c r="M19" s="156"/>
      <c r="N19" s="60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1:24" x14ac:dyDescent="0.2">
      <c r="A20" s="140" t="s">
        <v>228</v>
      </c>
      <c r="B20" s="141" t="s">
        <v>229</v>
      </c>
      <c r="C20" s="142">
        <f>26230319</f>
        <v>26230319</v>
      </c>
      <c r="D20" s="148">
        <f>26879636.73</f>
        <v>26879636.73</v>
      </c>
      <c r="E20" s="142"/>
      <c r="F20" s="142"/>
      <c r="G20" s="142"/>
      <c r="H20" s="142"/>
      <c r="I20" s="149">
        <f>-SUM(I12+SUM(I15:I19))-13848580.96</f>
        <v>-19373.827999999747</v>
      </c>
      <c r="J20" s="148"/>
      <c r="K20" s="160"/>
      <c r="L20" s="140"/>
      <c r="M20" s="156"/>
      <c r="N20" s="60"/>
    </row>
    <row r="21" spans="1:24" x14ac:dyDescent="0.2">
      <c r="A21" s="161"/>
      <c r="B21" s="162" t="s">
        <v>10</v>
      </c>
      <c r="C21" s="83">
        <f>SUM(C8:C20)</f>
        <v>98785622.690000013</v>
      </c>
      <c r="D21" s="163">
        <f>SUM(D8:D20)</f>
        <v>112224621.69000001</v>
      </c>
      <c r="E21" s="83">
        <f t="shared" ref="E21:L21" si="5">SUM(E8:E20)</f>
        <v>51206990.976000004</v>
      </c>
      <c r="F21" s="83">
        <f t="shared" si="5"/>
        <v>-7673808.7619999945</v>
      </c>
      <c r="G21" s="83">
        <f t="shared" si="5"/>
        <v>7507039.108</v>
      </c>
      <c r="H21" s="83">
        <f t="shared" si="5"/>
        <v>10590914.487</v>
      </c>
      <c r="I21" s="164">
        <f>SUM(I8:I20)</f>
        <v>-13848580.960000001</v>
      </c>
      <c r="J21" s="164">
        <f>SUM(J8:J20)</f>
        <v>-2675820.3380000009</v>
      </c>
      <c r="K21" s="165">
        <f t="shared" si="5"/>
        <v>12801747.744000001</v>
      </c>
      <c r="L21" s="83">
        <f t="shared" si="5"/>
        <v>5296205.8509999998</v>
      </c>
      <c r="N21" s="60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1:24" x14ac:dyDescent="0.2">
      <c r="C22" s="84" t="s">
        <v>230</v>
      </c>
      <c r="D22" s="166">
        <f>D21/C21</f>
        <v>1.1360420538338158</v>
      </c>
      <c r="F22" s="167" t="s">
        <v>231</v>
      </c>
      <c r="G22" s="69" t="s">
        <v>232</v>
      </c>
      <c r="I22" s="68" t="s">
        <v>233</v>
      </c>
      <c r="J22" s="69" t="s">
        <v>234</v>
      </c>
      <c r="K22" s="69" t="s">
        <v>235</v>
      </c>
      <c r="L22" s="69" t="s">
        <v>183</v>
      </c>
      <c r="N22" s="60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1:24" x14ac:dyDescent="0.2">
      <c r="B23" s="156"/>
      <c r="C23" s="168" t="s">
        <v>236</v>
      </c>
      <c r="D23" s="166">
        <f>C27/D20</f>
        <v>0.97003559951012774</v>
      </c>
      <c r="F23" s="167" t="s">
        <v>237</v>
      </c>
      <c r="G23" s="45">
        <f>I33+J33</f>
        <v>34239520.410000004</v>
      </c>
      <c r="H23" s="169"/>
      <c r="I23" s="68" t="s">
        <v>238</v>
      </c>
      <c r="J23" s="170">
        <f>D27</f>
        <v>19548351.859999999</v>
      </c>
      <c r="K23" s="167"/>
      <c r="L23" s="167">
        <f>SUM(J23:K23)</f>
        <v>19548351.859999999</v>
      </c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1:24" x14ac:dyDescent="0.2">
      <c r="A24" s="171"/>
      <c r="B24" s="61"/>
      <c r="D24" s="156"/>
      <c r="F24" s="172" t="s">
        <v>239</v>
      </c>
      <c r="G24" s="45">
        <f>D20+I21</f>
        <v>13031055.77</v>
      </c>
      <c r="I24" s="173" t="s">
        <v>242</v>
      </c>
      <c r="J24" s="167">
        <v>2153248.69</v>
      </c>
      <c r="K24" s="167"/>
      <c r="L24" s="167">
        <f>SUM(J24:K24)</f>
        <v>2153248.69</v>
      </c>
      <c r="N24" s="59"/>
    </row>
    <row r="25" spans="1:24" x14ac:dyDescent="0.2">
      <c r="A25" s="173" t="s">
        <v>238</v>
      </c>
      <c r="B25" s="69" t="s">
        <v>240</v>
      </c>
      <c r="C25" s="69" t="s">
        <v>229</v>
      </c>
      <c r="D25" s="69" t="s">
        <v>234</v>
      </c>
      <c r="E25" s="174"/>
      <c r="F25" s="175" t="s">
        <v>241</v>
      </c>
      <c r="G25" s="167">
        <f>B34</f>
        <v>947.02</v>
      </c>
      <c r="I25" s="173" t="s">
        <v>245</v>
      </c>
      <c r="J25" s="167">
        <f>249100.91</f>
        <v>249100.91</v>
      </c>
      <c r="K25" s="68"/>
      <c r="L25" s="167">
        <f>SUM(J25:K25)</f>
        <v>249100.91</v>
      </c>
      <c r="N25" s="61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x14ac:dyDescent="0.2">
      <c r="A26" s="173" t="s">
        <v>243</v>
      </c>
      <c r="B26" s="176">
        <v>8165315.8799999999</v>
      </c>
      <c r="C26" s="167">
        <v>26400715.649999999</v>
      </c>
      <c r="D26" s="45">
        <v>19560962.629999999</v>
      </c>
      <c r="E26" s="177"/>
      <c r="F26" s="178" t="s">
        <v>244</v>
      </c>
      <c r="G26" s="167">
        <f>C34</f>
        <v>63992.06</v>
      </c>
      <c r="I26" s="180" t="s">
        <v>247</v>
      </c>
      <c r="J26" s="167">
        <f>D34</f>
        <v>2129.56</v>
      </c>
      <c r="K26" s="167"/>
      <c r="L26" s="167">
        <f>SUM(J26:K26)</f>
        <v>2129.56</v>
      </c>
      <c r="N26" s="59"/>
      <c r="O26" s="59"/>
      <c r="P26" s="156"/>
      <c r="Q26" s="59"/>
      <c r="R26" s="59"/>
      <c r="S26" s="59"/>
      <c r="T26" s="59"/>
      <c r="U26" s="59"/>
      <c r="V26" s="59"/>
      <c r="W26" s="59"/>
      <c r="X26" s="59"/>
    </row>
    <row r="27" spans="1:24" x14ac:dyDescent="0.2">
      <c r="A27" s="173" t="s">
        <v>246</v>
      </c>
      <c r="B27" s="45">
        <v>7024672.2400000002</v>
      </c>
      <c r="C27" s="82">
        <v>26074204.530000001</v>
      </c>
      <c r="D27" s="170">
        <v>19548351.859999999</v>
      </c>
      <c r="F27" s="180" t="s">
        <v>741</v>
      </c>
      <c r="G27" s="179">
        <f>SUM(I34:J35)</f>
        <v>426522.27</v>
      </c>
      <c r="I27" s="69" t="s">
        <v>250</v>
      </c>
      <c r="J27" s="179">
        <f>J23-SUM(J24:J26)</f>
        <v>17143872.699999999</v>
      </c>
      <c r="K27" s="183">
        <f>K23-SUM(K24:K26)</f>
        <v>0</v>
      </c>
      <c r="L27" s="183">
        <f>L23-SUM(L24:L26)</f>
        <v>17143872.699999999</v>
      </c>
      <c r="M27" s="376"/>
      <c r="N27" s="60"/>
      <c r="O27" s="59"/>
      <c r="P27" s="60"/>
      <c r="Q27" s="59"/>
      <c r="R27" s="59"/>
      <c r="S27" s="59"/>
      <c r="T27" s="59"/>
      <c r="U27" s="59"/>
      <c r="V27" s="59"/>
      <c r="W27" s="59"/>
      <c r="X27" s="59"/>
    </row>
    <row r="28" spans="1:24" x14ac:dyDescent="0.2">
      <c r="A28" s="173" t="s">
        <v>248</v>
      </c>
      <c r="B28" s="45">
        <v>6181927.6900000004</v>
      </c>
      <c r="C28" s="167">
        <v>25557370.780000001</v>
      </c>
      <c r="D28" s="45">
        <v>18637144.969999999</v>
      </c>
      <c r="E28" s="181"/>
      <c r="F28" s="172" t="s">
        <v>249</v>
      </c>
      <c r="G28" s="179">
        <f>G23-SUM(G24:G27)</f>
        <v>20717003.290000007</v>
      </c>
      <c r="H28" s="182"/>
      <c r="I28" s="173" t="s">
        <v>253</v>
      </c>
      <c r="J28" s="82">
        <f>(J27/(SUM(D8:D19))*100)</f>
        <v>20.087732991030567</v>
      </c>
      <c r="K28" s="82">
        <f>(K27/(SUM(D8:D19)))*100</f>
        <v>0</v>
      </c>
      <c r="L28" s="188">
        <f>(L27/(SUM(D8:D19)))*100</f>
        <v>20.087732991030567</v>
      </c>
      <c r="N28" s="59"/>
      <c r="P28" s="394"/>
      <c r="Q28" s="60"/>
      <c r="R28" s="59"/>
      <c r="S28" s="59"/>
      <c r="T28" s="59"/>
      <c r="U28" s="59"/>
      <c r="V28" s="59"/>
      <c r="W28" s="59"/>
      <c r="X28" s="59"/>
    </row>
    <row r="29" spans="1:24" x14ac:dyDescent="0.2">
      <c r="A29" s="167" t="s">
        <v>251</v>
      </c>
      <c r="B29" s="184">
        <f>B26/SUM(D8:D19)</f>
        <v>9.5674231869944892E-2</v>
      </c>
      <c r="C29" s="185">
        <f>C26/D20</f>
        <v>0.98218275474439409</v>
      </c>
      <c r="D29" s="185">
        <f>D26/SUM(D8:D19)</f>
        <v>0.22919873545197703</v>
      </c>
      <c r="E29" s="177"/>
      <c r="F29" s="186" t="s">
        <v>252</v>
      </c>
      <c r="G29" s="187">
        <f>G28/(SUM(D8:D19))</f>
        <v>0.24274423739965242</v>
      </c>
      <c r="J29" s="61"/>
      <c r="L29" s="136"/>
      <c r="N29" s="59"/>
      <c r="O29" s="59"/>
      <c r="P29" s="394"/>
      <c r="Q29" s="60"/>
      <c r="R29" s="59"/>
      <c r="S29" s="59"/>
      <c r="T29" s="59"/>
      <c r="U29" s="59"/>
      <c r="V29" s="59"/>
      <c r="W29" s="59"/>
      <c r="X29" s="59"/>
    </row>
    <row r="30" spans="1:24" x14ac:dyDescent="0.2">
      <c r="A30" s="72" t="s">
        <v>254</v>
      </c>
      <c r="B30" s="189">
        <f>(B27-B34)/SUM(D8:D19)</f>
        <v>8.2298042741373992E-2</v>
      </c>
      <c r="C30" s="189">
        <f>(C26-C34)/D20</f>
        <v>0.97980206557650151</v>
      </c>
      <c r="D30" s="189">
        <f>(D27-D34)/SUM(D8:D19)</f>
        <v>0.22902602079268089</v>
      </c>
      <c r="E30" s="141"/>
      <c r="F30" s="180" t="s">
        <v>255</v>
      </c>
      <c r="G30" s="179">
        <f>G28-(SUM(D8:D19)*0.25)</f>
        <v>-619242.94999999553</v>
      </c>
      <c r="H30" s="190" t="str">
        <f>IF(G30&gt;0," = A MAIOR","= A MENOR")</f>
        <v>= A MENOR</v>
      </c>
      <c r="N30" s="59"/>
      <c r="O30" s="59"/>
      <c r="P30" s="394"/>
      <c r="Q30" s="394"/>
      <c r="R30" s="59"/>
      <c r="S30" s="59"/>
      <c r="T30" s="59"/>
      <c r="U30" s="59"/>
      <c r="V30" s="59"/>
      <c r="W30" s="59"/>
      <c r="X30" s="59"/>
    </row>
    <row r="31" spans="1:24" x14ac:dyDescent="0.2">
      <c r="A31" s="173" t="s">
        <v>256</v>
      </c>
      <c r="B31" s="185">
        <f>B28/SUM(D8:D19)</f>
        <v>7.2434574719268896E-2</v>
      </c>
      <c r="C31" s="185">
        <f>C27/D20</f>
        <v>0.97003559951012774</v>
      </c>
      <c r="D31" s="185">
        <f>D27/SUM(D8:D19)</f>
        <v>0.22905097316687134</v>
      </c>
      <c r="E31" s="68" t="s">
        <v>257</v>
      </c>
      <c r="G31" s="119"/>
      <c r="H31" s="57" t="s">
        <v>707</v>
      </c>
      <c r="N31" s="59"/>
      <c r="O31" s="59"/>
      <c r="P31" s="171"/>
      <c r="Q31" s="171"/>
      <c r="R31" s="59"/>
      <c r="S31" s="59"/>
      <c r="T31" s="59"/>
      <c r="U31" s="59"/>
      <c r="V31" s="59"/>
      <c r="W31" s="59"/>
      <c r="X31" s="59"/>
    </row>
    <row r="32" spans="1:24" x14ac:dyDescent="0.2">
      <c r="A32" s="173" t="s">
        <v>258</v>
      </c>
      <c r="B32" s="486">
        <f t="shared" ref="B32:D33" si="6">B26-B27</f>
        <v>1140643.6399999997</v>
      </c>
      <c r="C32" s="183">
        <f t="shared" si="6"/>
        <v>326511.11999999732</v>
      </c>
      <c r="D32" s="183">
        <f t="shared" si="6"/>
        <v>12610.769999999553</v>
      </c>
      <c r="E32" s="167">
        <f>SUM(B32:D32)</f>
        <v>1479765.5299999965</v>
      </c>
      <c r="G32" s="191"/>
      <c r="H32" s="68" t="s">
        <v>233</v>
      </c>
      <c r="I32" s="69" t="s">
        <v>240</v>
      </c>
      <c r="J32" s="69" t="s">
        <v>229</v>
      </c>
      <c r="K32" s="69" t="s">
        <v>235</v>
      </c>
      <c r="L32" s="69" t="s">
        <v>183</v>
      </c>
      <c r="N32" s="59"/>
      <c r="O32" s="59"/>
      <c r="P32" s="60"/>
      <c r="Q32" s="59"/>
      <c r="R32" s="59"/>
      <c r="S32" s="59"/>
      <c r="T32" s="59"/>
      <c r="U32" s="59"/>
      <c r="V32" s="59"/>
      <c r="W32" s="59"/>
      <c r="X32" s="59"/>
    </row>
    <row r="33" spans="1:24" x14ac:dyDescent="0.2">
      <c r="A33" s="173" t="s">
        <v>259</v>
      </c>
      <c r="B33" s="179">
        <f t="shared" si="6"/>
        <v>842744.54999999981</v>
      </c>
      <c r="C33" s="183">
        <f t="shared" si="6"/>
        <v>516833.75</v>
      </c>
      <c r="D33" s="183">
        <f t="shared" si="6"/>
        <v>911206.8900000006</v>
      </c>
      <c r="E33" s="167">
        <f>SUM(B33:D33)</f>
        <v>2270785.1900000004</v>
      </c>
      <c r="G33" s="146"/>
      <c r="H33" s="68" t="s">
        <v>238</v>
      </c>
      <c r="I33" s="170">
        <f>B26</f>
        <v>8165315.8799999999</v>
      </c>
      <c r="J33" s="45">
        <f>C27</f>
        <v>26074204.530000001</v>
      </c>
      <c r="K33" s="192">
        <f>697985.52</f>
        <v>697985.52</v>
      </c>
      <c r="L33" s="193">
        <f>SUM(I33:K33)</f>
        <v>34937505.930000007</v>
      </c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</row>
    <row r="34" spans="1:24" x14ac:dyDescent="0.2">
      <c r="A34" s="173" t="s">
        <v>260</v>
      </c>
      <c r="B34" s="167">
        <f>947.02</f>
        <v>947.02</v>
      </c>
      <c r="C34" s="167">
        <f>63992.06</f>
        <v>63992.06</v>
      </c>
      <c r="D34" s="167">
        <f>2129.56</f>
        <v>2129.56</v>
      </c>
      <c r="E34" s="167">
        <f>SUM(B34:D34)</f>
        <v>67068.639999999999</v>
      </c>
      <c r="F34" s="169"/>
      <c r="G34" s="146"/>
      <c r="H34" s="173" t="s">
        <v>242</v>
      </c>
      <c r="I34" s="167"/>
      <c r="J34" s="194"/>
      <c r="K34" s="167"/>
      <c r="L34" s="193">
        <f>SUM(I34:K34)</f>
        <v>0</v>
      </c>
      <c r="N34" s="59"/>
      <c r="O34" s="59"/>
      <c r="P34" s="60"/>
      <c r="Q34" s="59"/>
      <c r="R34" s="59"/>
      <c r="S34" s="59"/>
      <c r="T34" s="59"/>
      <c r="U34" s="59"/>
      <c r="V34" s="59"/>
      <c r="W34" s="59"/>
      <c r="X34" s="59"/>
    </row>
    <row r="35" spans="1:24" x14ac:dyDescent="0.2">
      <c r="A35" s="57" t="s">
        <v>493</v>
      </c>
      <c r="E35" s="195">
        <f>(J33-(J34+J35+J37))/D20</f>
        <v>0.95456419399310832</v>
      </c>
      <c r="F35" s="169"/>
      <c r="G35" s="146"/>
      <c r="H35" s="173" t="s">
        <v>245</v>
      </c>
      <c r="I35" s="196">
        <f>74648.57</f>
        <v>74648.570000000007</v>
      </c>
      <c r="J35" s="167">
        <f>351873.7</f>
        <v>351873.7</v>
      </c>
      <c r="K35" s="167">
        <f>3456.68</f>
        <v>3456.68</v>
      </c>
      <c r="L35" s="193">
        <f>SUM(I35:K35)</f>
        <v>429978.95</v>
      </c>
      <c r="N35" s="59"/>
      <c r="O35" s="59"/>
      <c r="P35" s="60"/>
      <c r="Q35" s="59"/>
      <c r="R35" s="59"/>
      <c r="S35" s="59"/>
      <c r="T35" s="59"/>
      <c r="U35" s="59"/>
      <c r="V35" s="59"/>
      <c r="W35" s="59"/>
      <c r="X35" s="59"/>
    </row>
    <row r="36" spans="1:24" x14ac:dyDescent="0.2">
      <c r="A36" s="169" t="s">
        <v>875</v>
      </c>
      <c r="B36" s="169"/>
      <c r="C36" s="169"/>
      <c r="D36" s="169"/>
      <c r="E36" s="169"/>
      <c r="F36" s="169"/>
      <c r="G36" s="146"/>
      <c r="H36" s="173" t="s">
        <v>261</v>
      </c>
      <c r="I36" s="173"/>
      <c r="J36" s="167">
        <f>D20+I21</f>
        <v>13031055.77</v>
      </c>
      <c r="K36" s="173"/>
      <c r="L36" s="193">
        <f>SUM(I36:K36)</f>
        <v>13031055.77</v>
      </c>
      <c r="N36" s="59"/>
      <c r="O36" s="59"/>
      <c r="P36" s="394"/>
      <c r="Q36" s="60"/>
      <c r="R36" s="59"/>
      <c r="S36" s="59"/>
      <c r="T36" s="59"/>
      <c r="U36" s="59"/>
      <c r="V36" s="59"/>
      <c r="W36" s="59"/>
      <c r="X36" s="59"/>
    </row>
    <row r="37" spans="1:24" x14ac:dyDescent="0.2">
      <c r="A37" s="57" t="s">
        <v>499</v>
      </c>
      <c r="B37" s="169"/>
      <c r="C37" s="169"/>
      <c r="D37" s="169"/>
      <c r="E37" s="169"/>
      <c r="F37" s="169"/>
      <c r="H37" s="180" t="s">
        <v>247</v>
      </c>
      <c r="I37" s="167">
        <f>B34</f>
        <v>947.02</v>
      </c>
      <c r="J37" s="167">
        <f>C34</f>
        <v>63992.06</v>
      </c>
      <c r="K37" s="196"/>
      <c r="L37" s="193">
        <f>SUM(I37:K37)</f>
        <v>64939.079999999994</v>
      </c>
      <c r="N37" s="59"/>
      <c r="O37" s="59"/>
      <c r="P37" s="394"/>
      <c r="Q37" s="60"/>
      <c r="R37" s="59"/>
      <c r="S37" s="59"/>
      <c r="T37" s="59"/>
      <c r="U37" s="59"/>
      <c r="V37" s="59"/>
      <c r="W37" s="59"/>
      <c r="X37" s="59"/>
    </row>
    <row r="38" spans="1:24" x14ac:dyDescent="0.2">
      <c r="H38" s="69" t="s">
        <v>250</v>
      </c>
      <c r="I38" s="197">
        <f>I33-SUM(I34:I37)</f>
        <v>8089720.29</v>
      </c>
      <c r="J38" s="193">
        <f>J33-SUM(J34:J37)</f>
        <v>12627283.000000002</v>
      </c>
      <c r="K38" s="193">
        <f>K33-SUM(K34:K37)</f>
        <v>694528.84</v>
      </c>
      <c r="L38" s="183">
        <f>L33-SUM(L34:L37)</f>
        <v>21411532.13000001</v>
      </c>
      <c r="N38" s="59"/>
      <c r="O38" s="59"/>
      <c r="P38" s="394"/>
      <c r="Q38" s="60"/>
      <c r="R38" s="59"/>
      <c r="S38" s="59"/>
      <c r="T38" s="59"/>
      <c r="U38" s="59"/>
      <c r="V38" s="59"/>
      <c r="W38" s="59"/>
      <c r="X38" s="59"/>
    </row>
    <row r="39" spans="1:24" x14ac:dyDescent="0.2">
      <c r="F39" s="376"/>
      <c r="H39" s="68" t="s">
        <v>262</v>
      </c>
      <c r="I39" s="194">
        <f>(I38/(SUM(D8:D19)))*100</f>
        <v>9.4788466994182929</v>
      </c>
      <c r="J39" s="167">
        <f>(J38/(SUM(D8:D19)))*100</f>
        <v>14.795577040546942</v>
      </c>
      <c r="K39" s="167">
        <f>(K38/(SUM(D8:D19))*100)</f>
        <v>0.81378986747202064</v>
      </c>
      <c r="L39" s="82">
        <f>(L38/(SUM(D8:D19)))*100</f>
        <v>25.088213607437265</v>
      </c>
      <c r="N39" s="59"/>
      <c r="O39" s="59"/>
      <c r="P39" s="171"/>
      <c r="Q39" s="59"/>
      <c r="R39" s="59"/>
      <c r="S39" s="59"/>
      <c r="U39" s="59"/>
      <c r="V39" s="59"/>
    </row>
    <row r="40" spans="1:24" x14ac:dyDescent="0.2">
      <c r="H40" s="174"/>
      <c r="I40" s="198">
        <f>I39/L39</f>
        <v>0.37782071086194596</v>
      </c>
      <c r="J40" s="198">
        <f>J39/L39</f>
        <v>0.58974215032037491</v>
      </c>
      <c r="K40" s="198">
        <f>K39/L39</f>
        <v>3.2437138817678797E-2</v>
      </c>
      <c r="L40" s="199"/>
      <c r="P40" s="60"/>
      <c r="Q40" s="59"/>
      <c r="R40" s="59"/>
      <c r="S40" s="59"/>
      <c r="U40" s="59"/>
      <c r="V40" s="59"/>
    </row>
    <row r="41" spans="1:24" x14ac:dyDescent="0.2">
      <c r="H41" s="174"/>
      <c r="I41" s="198"/>
      <c r="J41" s="198"/>
      <c r="K41" s="198"/>
      <c r="L41" s="199"/>
      <c r="P41" s="60"/>
      <c r="Q41" s="59"/>
      <c r="R41" s="59"/>
      <c r="S41" s="59"/>
      <c r="U41" s="59"/>
      <c r="V41" s="59"/>
    </row>
    <row r="42" spans="1:24" x14ac:dyDescent="0.2">
      <c r="H42" s="174"/>
      <c r="K42" s="146"/>
      <c r="L42" s="199"/>
      <c r="N42" s="59"/>
      <c r="O42" s="59"/>
      <c r="P42" s="59"/>
      <c r="Q42" s="59"/>
      <c r="R42" s="59"/>
      <c r="S42" s="59"/>
      <c r="U42" s="59"/>
      <c r="V42" s="59"/>
    </row>
    <row r="43" spans="1:24" x14ac:dyDescent="0.2">
      <c r="A43" s="57" t="s">
        <v>99</v>
      </c>
      <c r="D43" s="57" t="s">
        <v>100</v>
      </c>
      <c r="G43" s="57" t="s">
        <v>101</v>
      </c>
      <c r="I43" s="362"/>
      <c r="J43" s="61"/>
      <c r="N43" s="59"/>
      <c r="O43" s="59"/>
      <c r="P43" s="59"/>
      <c r="Q43" s="59"/>
      <c r="R43" s="59"/>
      <c r="S43" s="59"/>
      <c r="U43" s="59"/>
      <c r="V43" s="59"/>
    </row>
    <row r="44" spans="1:24" x14ac:dyDescent="0.2">
      <c r="A44" s="57" t="s">
        <v>102</v>
      </c>
      <c r="D44" s="57" t="s">
        <v>103</v>
      </c>
      <c r="G44" s="57" t="s">
        <v>104</v>
      </c>
      <c r="L44" s="156"/>
      <c r="N44" s="59"/>
      <c r="O44" s="59"/>
      <c r="P44" s="59"/>
      <c r="Q44" s="59"/>
      <c r="R44" s="59"/>
      <c r="S44" s="59"/>
      <c r="U44" s="59"/>
      <c r="V44" s="59"/>
    </row>
    <row r="45" spans="1:24" x14ac:dyDescent="0.2">
      <c r="J45" s="171"/>
      <c r="P45" s="59"/>
      <c r="Q45" s="59"/>
      <c r="R45" s="59"/>
      <c r="S45" s="59"/>
      <c r="U45" s="59"/>
      <c r="V45" s="59"/>
    </row>
    <row r="46" spans="1:24" x14ac:dyDescent="0.2">
      <c r="B46" s="59"/>
      <c r="N46" s="59"/>
      <c r="O46" s="59"/>
      <c r="P46" s="59"/>
      <c r="Q46" s="59"/>
      <c r="R46" s="59"/>
      <c r="S46" s="59"/>
      <c r="U46" s="59"/>
      <c r="V46" s="59"/>
    </row>
    <row r="47" spans="1:24" s="59" customFormat="1" x14ac:dyDescent="0.2">
      <c r="A47" s="57"/>
      <c r="C47" s="57"/>
      <c r="D47" s="57"/>
      <c r="E47" s="57"/>
      <c r="F47" s="57"/>
      <c r="G47" s="61"/>
      <c r="J47" s="200"/>
    </row>
    <row r="48" spans="1:24" s="87" customFormat="1" x14ac:dyDescent="0.2">
      <c r="A48" s="57"/>
      <c r="B48" s="59"/>
      <c r="C48" s="57"/>
      <c r="D48" s="57"/>
      <c r="E48" s="57"/>
      <c r="F48" s="57"/>
      <c r="G48" s="57"/>
      <c r="H48" s="57"/>
      <c r="L48" s="89"/>
      <c r="N48" s="59"/>
      <c r="O48" s="59"/>
      <c r="P48" s="59"/>
      <c r="Q48" s="59"/>
      <c r="R48" s="59"/>
      <c r="S48" s="59"/>
      <c r="U48" s="59"/>
      <c r="V48" s="59"/>
    </row>
    <row r="49" spans="1:22" s="87" customFormat="1" x14ac:dyDescent="0.2">
      <c r="A49" s="57"/>
      <c r="B49" s="59"/>
      <c r="C49" s="57"/>
      <c r="D49" s="57"/>
      <c r="E49" s="57"/>
      <c r="F49" s="57"/>
      <c r="G49" s="59"/>
      <c r="H49" s="59"/>
      <c r="J49" s="88"/>
      <c r="K49" s="88"/>
      <c r="L49" s="92"/>
      <c r="N49" s="57"/>
      <c r="O49" s="57"/>
      <c r="P49" s="59"/>
      <c r="Q49" s="59"/>
      <c r="R49" s="59"/>
      <c r="S49" s="59"/>
      <c r="U49" s="59"/>
      <c r="V49" s="59"/>
    </row>
    <row r="50" spans="1:22" x14ac:dyDescent="0.2">
      <c r="B50" s="59"/>
      <c r="J50" s="201"/>
      <c r="K50" s="201"/>
      <c r="L50" s="201"/>
      <c r="N50" s="59"/>
      <c r="O50" s="59"/>
      <c r="P50" s="59"/>
      <c r="Q50" s="59"/>
      <c r="R50" s="59"/>
      <c r="S50" s="59"/>
      <c r="U50" s="59"/>
      <c r="V50" s="59"/>
    </row>
    <row r="51" spans="1:22" x14ac:dyDescent="0.2">
      <c r="B51" s="59"/>
      <c r="G51" s="59"/>
      <c r="H51" s="59"/>
      <c r="I51" s="168"/>
      <c r="J51" s="156"/>
      <c r="K51" s="156"/>
      <c r="L51" s="156"/>
      <c r="N51" s="59"/>
      <c r="O51" s="59"/>
      <c r="P51" s="59"/>
      <c r="Q51" s="59"/>
      <c r="R51" s="59"/>
      <c r="S51" s="59"/>
      <c r="U51" s="59"/>
      <c r="V51" s="59"/>
    </row>
    <row r="52" spans="1:22" x14ac:dyDescent="0.2">
      <c r="B52" s="59"/>
      <c r="I52" s="168"/>
      <c r="J52" s="171"/>
      <c r="K52" s="119"/>
      <c r="L52" s="171"/>
      <c r="N52" s="59"/>
      <c r="O52" s="59"/>
      <c r="P52" s="59"/>
      <c r="Q52" s="59"/>
      <c r="R52" s="59"/>
      <c r="S52" s="59"/>
      <c r="U52" s="59"/>
      <c r="V52" s="59"/>
    </row>
    <row r="53" spans="1:22" x14ac:dyDescent="0.2">
      <c r="B53" s="59"/>
      <c r="G53" s="59"/>
      <c r="H53" s="59"/>
      <c r="I53" s="168"/>
      <c r="J53" s="156"/>
      <c r="K53" s="156"/>
      <c r="L53" s="156"/>
      <c r="P53" s="59"/>
      <c r="Q53" s="59"/>
      <c r="R53" s="59"/>
      <c r="S53" s="59"/>
      <c r="U53" s="59"/>
      <c r="V53" s="59"/>
    </row>
    <row r="54" spans="1:22" x14ac:dyDescent="0.2">
      <c r="B54" s="59"/>
    </row>
    <row r="55" spans="1:22" s="135" customFormat="1" x14ac:dyDescent="0.2">
      <c r="A55" s="57"/>
      <c r="B55" s="59"/>
      <c r="C55" s="57"/>
      <c r="D55" s="57"/>
      <c r="E55" s="57"/>
      <c r="F55" s="57"/>
      <c r="G55" s="59"/>
      <c r="H55" s="59"/>
      <c r="I55" s="202"/>
      <c r="J55" s="203"/>
      <c r="K55" s="203"/>
      <c r="L55" s="203"/>
    </row>
    <row r="56" spans="1:22" x14ac:dyDescent="0.2">
      <c r="B56" s="59"/>
    </row>
    <row r="57" spans="1:22" x14ac:dyDescent="0.2">
      <c r="B57" s="59"/>
      <c r="G57" s="59"/>
      <c r="H57" s="59"/>
    </row>
    <row r="58" spans="1:22" x14ac:dyDescent="0.2">
      <c r="B58" s="59"/>
    </row>
    <row r="59" spans="1:22" x14ac:dyDescent="0.2">
      <c r="B59" s="59"/>
      <c r="G59" s="59"/>
      <c r="H59" s="59"/>
    </row>
    <row r="60" spans="1:22" x14ac:dyDescent="0.2">
      <c r="B60" s="59"/>
    </row>
    <row r="61" spans="1:22" x14ac:dyDescent="0.2">
      <c r="B61" s="59"/>
      <c r="G61" s="59"/>
      <c r="H61" s="59"/>
    </row>
    <row r="62" spans="1:22" x14ac:dyDescent="0.2">
      <c r="B62" s="59"/>
    </row>
    <row r="63" spans="1:22" x14ac:dyDescent="0.2">
      <c r="B63" s="59"/>
      <c r="G63" s="59"/>
      <c r="H63" s="59"/>
    </row>
    <row r="64" spans="1:22" x14ac:dyDescent="0.2">
      <c r="B64" s="59"/>
    </row>
    <row r="65" spans="1:8" x14ac:dyDescent="0.2">
      <c r="B65" s="59"/>
      <c r="G65" s="59"/>
      <c r="H65" s="59"/>
    </row>
    <row r="66" spans="1:8" x14ac:dyDescent="0.2">
      <c r="B66" s="59"/>
    </row>
    <row r="67" spans="1:8" x14ac:dyDescent="0.2">
      <c r="A67" s="59"/>
      <c r="B67" s="59"/>
      <c r="G67" s="59"/>
      <c r="H67" s="59"/>
    </row>
    <row r="69" spans="1:8" x14ac:dyDescent="0.2">
      <c r="A69" s="59"/>
      <c r="B69" s="59"/>
      <c r="G69" s="59"/>
      <c r="H69" s="59"/>
    </row>
    <row r="71" spans="1:8" x14ac:dyDescent="0.2">
      <c r="A71" s="59"/>
      <c r="B71" s="59"/>
      <c r="G71" s="59"/>
      <c r="H71" s="59"/>
    </row>
    <row r="73" spans="1:8" x14ac:dyDescent="0.2">
      <c r="A73" s="59"/>
      <c r="B73" s="59"/>
      <c r="G73" s="59"/>
      <c r="H73" s="59"/>
    </row>
    <row r="75" spans="1:8" x14ac:dyDescent="0.2">
      <c r="A75" s="59"/>
      <c r="B75" s="59"/>
      <c r="G75" s="59"/>
      <c r="H75" s="59"/>
    </row>
    <row r="77" spans="1:8" x14ac:dyDescent="0.2">
      <c r="A77" s="59"/>
      <c r="B77" s="59"/>
      <c r="G77" s="59"/>
      <c r="H77" s="59"/>
    </row>
    <row r="79" spans="1:8" x14ac:dyDescent="0.2">
      <c r="A79" s="59"/>
      <c r="B79" s="59"/>
      <c r="G79" s="59"/>
      <c r="H79" s="59"/>
    </row>
    <row r="81" spans="1:8" x14ac:dyDescent="0.2">
      <c r="A81" s="59"/>
      <c r="B81" s="59"/>
      <c r="G81" s="59"/>
      <c r="H81" s="59"/>
    </row>
    <row r="83" spans="1:8" x14ac:dyDescent="0.2">
      <c r="A83" s="59"/>
      <c r="B83" s="59"/>
      <c r="G83" s="59"/>
      <c r="H83" s="59"/>
    </row>
    <row r="85" spans="1:8" x14ac:dyDescent="0.2">
      <c r="A85" s="59"/>
      <c r="B85" s="59"/>
      <c r="C85" s="59"/>
      <c r="D85" s="59"/>
      <c r="E85" s="59"/>
      <c r="F85" s="59"/>
      <c r="G85" s="59"/>
      <c r="H85" s="59"/>
    </row>
    <row r="87" spans="1:8" x14ac:dyDescent="0.2">
      <c r="A87" s="59"/>
      <c r="B87" s="59"/>
      <c r="C87" s="59"/>
      <c r="D87" s="59"/>
      <c r="E87" s="59"/>
      <c r="F87" s="59"/>
      <c r="G87" s="59"/>
      <c r="H87" s="59"/>
    </row>
  </sheetData>
  <mergeCells count="3">
    <mergeCell ref="E7:F7"/>
    <mergeCell ref="G7:H7"/>
    <mergeCell ref="I7:J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Y103"/>
  <sheetViews>
    <sheetView topLeftCell="A23" workbookViewId="0">
      <selection activeCell="A58" sqref="A58"/>
    </sheetView>
  </sheetViews>
  <sheetFormatPr defaultRowHeight="8.25" x14ac:dyDescent="0.15"/>
  <cols>
    <col min="1" max="1" width="11" style="59" customWidth="1"/>
    <col min="2" max="2" width="9.42578125" style="59" customWidth="1"/>
    <col min="3" max="3" width="11.140625" style="59" customWidth="1"/>
    <col min="4" max="5" width="10.85546875" style="59" customWidth="1"/>
    <col min="6" max="6" width="10.85546875" style="59" bestFit="1" customWidth="1"/>
    <col min="7" max="7" width="11.28515625" style="59" bestFit="1" customWidth="1"/>
    <col min="8" max="8" width="9.140625" style="59" bestFit="1" customWidth="1"/>
    <col min="9" max="9" width="11" style="59" customWidth="1"/>
    <col min="10" max="10" width="10.85546875" style="59" customWidth="1"/>
    <col min="11" max="12" width="9.140625" style="59"/>
    <col min="13" max="13" width="10.140625" style="59" customWidth="1"/>
    <col min="14" max="16" width="10" style="59" bestFit="1" customWidth="1"/>
    <col min="17" max="256" width="9.140625" style="59"/>
    <col min="257" max="257" width="11" style="59" customWidth="1"/>
    <col min="258" max="258" width="8.42578125" style="59" customWidth="1"/>
    <col min="259" max="259" width="11.140625" style="59" customWidth="1"/>
    <col min="260" max="260" width="10.140625" style="59" customWidth="1"/>
    <col min="261" max="261" width="10.28515625" style="59" customWidth="1"/>
    <col min="262" max="262" width="10.85546875" style="59" bestFit="1" customWidth="1"/>
    <col min="263" max="263" width="11.28515625" style="59" bestFit="1" customWidth="1"/>
    <col min="264" max="264" width="9.140625" style="59" bestFit="1" customWidth="1"/>
    <col min="265" max="265" width="11" style="59" customWidth="1"/>
    <col min="266" max="266" width="10.28515625" style="59" customWidth="1"/>
    <col min="267" max="268" width="9.140625" style="59"/>
    <col min="269" max="269" width="10.140625" style="59" customWidth="1"/>
    <col min="270" max="272" width="10" style="59" bestFit="1" customWidth="1"/>
    <col min="273" max="512" width="9.140625" style="59"/>
    <col min="513" max="513" width="11" style="59" customWidth="1"/>
    <col min="514" max="514" width="8.42578125" style="59" customWidth="1"/>
    <col min="515" max="515" width="11.140625" style="59" customWidth="1"/>
    <col min="516" max="516" width="10.140625" style="59" customWidth="1"/>
    <col min="517" max="517" width="10.28515625" style="59" customWidth="1"/>
    <col min="518" max="518" width="10.85546875" style="59" bestFit="1" customWidth="1"/>
    <col min="519" max="519" width="11.28515625" style="59" bestFit="1" customWidth="1"/>
    <col min="520" max="520" width="9.140625" style="59" bestFit="1" customWidth="1"/>
    <col min="521" max="521" width="11" style="59" customWidth="1"/>
    <col min="522" max="522" width="10.28515625" style="59" customWidth="1"/>
    <col min="523" max="524" width="9.140625" style="59"/>
    <col min="525" max="525" width="10.140625" style="59" customWidth="1"/>
    <col min="526" max="528" width="10" style="59" bestFit="1" customWidth="1"/>
    <col min="529" max="768" width="9.140625" style="59"/>
    <col min="769" max="769" width="11" style="59" customWidth="1"/>
    <col min="770" max="770" width="8.42578125" style="59" customWidth="1"/>
    <col min="771" max="771" width="11.140625" style="59" customWidth="1"/>
    <col min="772" max="772" width="10.140625" style="59" customWidth="1"/>
    <col min="773" max="773" width="10.28515625" style="59" customWidth="1"/>
    <col min="774" max="774" width="10.85546875" style="59" bestFit="1" customWidth="1"/>
    <col min="775" max="775" width="11.28515625" style="59" bestFit="1" customWidth="1"/>
    <col min="776" max="776" width="9.140625" style="59" bestFit="1" customWidth="1"/>
    <col min="777" max="777" width="11" style="59" customWidth="1"/>
    <col min="778" max="778" width="10.28515625" style="59" customWidth="1"/>
    <col min="779" max="780" width="9.140625" style="59"/>
    <col min="781" max="781" width="10.140625" style="59" customWidth="1"/>
    <col min="782" max="784" width="10" style="59" bestFit="1" customWidth="1"/>
    <col min="785" max="1024" width="9.140625" style="59"/>
    <col min="1025" max="1025" width="11" style="59" customWidth="1"/>
    <col min="1026" max="1026" width="8.42578125" style="59" customWidth="1"/>
    <col min="1027" max="1027" width="11.140625" style="59" customWidth="1"/>
    <col min="1028" max="1028" width="10.140625" style="59" customWidth="1"/>
    <col min="1029" max="1029" width="10.28515625" style="59" customWidth="1"/>
    <col min="1030" max="1030" width="10.85546875" style="59" bestFit="1" customWidth="1"/>
    <col min="1031" max="1031" width="11.28515625" style="59" bestFit="1" customWidth="1"/>
    <col min="1032" max="1032" width="9.140625" style="59" bestFit="1" customWidth="1"/>
    <col min="1033" max="1033" width="11" style="59" customWidth="1"/>
    <col min="1034" max="1034" width="10.28515625" style="59" customWidth="1"/>
    <col min="1035" max="1036" width="9.140625" style="59"/>
    <col min="1037" max="1037" width="10.140625" style="59" customWidth="1"/>
    <col min="1038" max="1040" width="10" style="59" bestFit="1" customWidth="1"/>
    <col min="1041" max="1280" width="9.140625" style="59"/>
    <col min="1281" max="1281" width="11" style="59" customWidth="1"/>
    <col min="1282" max="1282" width="8.42578125" style="59" customWidth="1"/>
    <col min="1283" max="1283" width="11.140625" style="59" customWidth="1"/>
    <col min="1284" max="1284" width="10.140625" style="59" customWidth="1"/>
    <col min="1285" max="1285" width="10.28515625" style="59" customWidth="1"/>
    <col min="1286" max="1286" width="10.85546875" style="59" bestFit="1" customWidth="1"/>
    <col min="1287" max="1287" width="11.28515625" style="59" bestFit="1" customWidth="1"/>
    <col min="1288" max="1288" width="9.140625" style="59" bestFit="1" customWidth="1"/>
    <col min="1289" max="1289" width="11" style="59" customWidth="1"/>
    <col min="1290" max="1290" width="10.28515625" style="59" customWidth="1"/>
    <col min="1291" max="1292" width="9.140625" style="59"/>
    <col min="1293" max="1293" width="10.140625" style="59" customWidth="1"/>
    <col min="1294" max="1296" width="10" style="59" bestFit="1" customWidth="1"/>
    <col min="1297" max="1536" width="9.140625" style="59"/>
    <col min="1537" max="1537" width="11" style="59" customWidth="1"/>
    <col min="1538" max="1538" width="8.42578125" style="59" customWidth="1"/>
    <col min="1539" max="1539" width="11.140625" style="59" customWidth="1"/>
    <col min="1540" max="1540" width="10.140625" style="59" customWidth="1"/>
    <col min="1541" max="1541" width="10.28515625" style="59" customWidth="1"/>
    <col min="1542" max="1542" width="10.85546875" style="59" bestFit="1" customWidth="1"/>
    <col min="1543" max="1543" width="11.28515625" style="59" bestFit="1" customWidth="1"/>
    <col min="1544" max="1544" width="9.140625" style="59" bestFit="1" customWidth="1"/>
    <col min="1545" max="1545" width="11" style="59" customWidth="1"/>
    <col min="1546" max="1546" width="10.28515625" style="59" customWidth="1"/>
    <col min="1547" max="1548" width="9.140625" style="59"/>
    <col min="1549" max="1549" width="10.140625" style="59" customWidth="1"/>
    <col min="1550" max="1552" width="10" style="59" bestFit="1" customWidth="1"/>
    <col min="1553" max="1792" width="9.140625" style="59"/>
    <col min="1793" max="1793" width="11" style="59" customWidth="1"/>
    <col min="1794" max="1794" width="8.42578125" style="59" customWidth="1"/>
    <col min="1795" max="1795" width="11.140625" style="59" customWidth="1"/>
    <col min="1796" max="1796" width="10.140625" style="59" customWidth="1"/>
    <col min="1797" max="1797" width="10.28515625" style="59" customWidth="1"/>
    <col min="1798" max="1798" width="10.85546875" style="59" bestFit="1" customWidth="1"/>
    <col min="1799" max="1799" width="11.28515625" style="59" bestFit="1" customWidth="1"/>
    <col min="1800" max="1800" width="9.140625" style="59" bestFit="1" customWidth="1"/>
    <col min="1801" max="1801" width="11" style="59" customWidth="1"/>
    <col min="1802" max="1802" width="10.28515625" style="59" customWidth="1"/>
    <col min="1803" max="1804" width="9.140625" style="59"/>
    <col min="1805" max="1805" width="10.140625" style="59" customWidth="1"/>
    <col min="1806" max="1808" width="10" style="59" bestFit="1" customWidth="1"/>
    <col min="1809" max="2048" width="9.140625" style="59"/>
    <col min="2049" max="2049" width="11" style="59" customWidth="1"/>
    <col min="2050" max="2050" width="8.42578125" style="59" customWidth="1"/>
    <col min="2051" max="2051" width="11.140625" style="59" customWidth="1"/>
    <col min="2052" max="2052" width="10.140625" style="59" customWidth="1"/>
    <col min="2053" max="2053" width="10.28515625" style="59" customWidth="1"/>
    <col min="2054" max="2054" width="10.85546875" style="59" bestFit="1" customWidth="1"/>
    <col min="2055" max="2055" width="11.28515625" style="59" bestFit="1" customWidth="1"/>
    <col min="2056" max="2056" width="9.140625" style="59" bestFit="1" customWidth="1"/>
    <col min="2057" max="2057" width="11" style="59" customWidth="1"/>
    <col min="2058" max="2058" width="10.28515625" style="59" customWidth="1"/>
    <col min="2059" max="2060" width="9.140625" style="59"/>
    <col min="2061" max="2061" width="10.140625" style="59" customWidth="1"/>
    <col min="2062" max="2064" width="10" style="59" bestFit="1" customWidth="1"/>
    <col min="2065" max="2304" width="9.140625" style="59"/>
    <col min="2305" max="2305" width="11" style="59" customWidth="1"/>
    <col min="2306" max="2306" width="8.42578125" style="59" customWidth="1"/>
    <col min="2307" max="2307" width="11.140625" style="59" customWidth="1"/>
    <col min="2308" max="2308" width="10.140625" style="59" customWidth="1"/>
    <col min="2309" max="2309" width="10.28515625" style="59" customWidth="1"/>
    <col min="2310" max="2310" width="10.85546875" style="59" bestFit="1" customWidth="1"/>
    <col min="2311" max="2311" width="11.28515625" style="59" bestFit="1" customWidth="1"/>
    <col min="2312" max="2312" width="9.140625" style="59" bestFit="1" customWidth="1"/>
    <col min="2313" max="2313" width="11" style="59" customWidth="1"/>
    <col min="2314" max="2314" width="10.28515625" style="59" customWidth="1"/>
    <col min="2315" max="2316" width="9.140625" style="59"/>
    <col min="2317" max="2317" width="10.140625" style="59" customWidth="1"/>
    <col min="2318" max="2320" width="10" style="59" bestFit="1" customWidth="1"/>
    <col min="2321" max="2560" width="9.140625" style="59"/>
    <col min="2561" max="2561" width="11" style="59" customWidth="1"/>
    <col min="2562" max="2562" width="8.42578125" style="59" customWidth="1"/>
    <col min="2563" max="2563" width="11.140625" style="59" customWidth="1"/>
    <col min="2564" max="2564" width="10.140625" style="59" customWidth="1"/>
    <col min="2565" max="2565" width="10.28515625" style="59" customWidth="1"/>
    <col min="2566" max="2566" width="10.85546875" style="59" bestFit="1" customWidth="1"/>
    <col min="2567" max="2567" width="11.28515625" style="59" bestFit="1" customWidth="1"/>
    <col min="2568" max="2568" width="9.140625" style="59" bestFit="1" customWidth="1"/>
    <col min="2569" max="2569" width="11" style="59" customWidth="1"/>
    <col min="2570" max="2570" width="10.28515625" style="59" customWidth="1"/>
    <col min="2571" max="2572" width="9.140625" style="59"/>
    <col min="2573" max="2573" width="10.140625" style="59" customWidth="1"/>
    <col min="2574" max="2576" width="10" style="59" bestFit="1" customWidth="1"/>
    <col min="2577" max="2816" width="9.140625" style="59"/>
    <col min="2817" max="2817" width="11" style="59" customWidth="1"/>
    <col min="2818" max="2818" width="8.42578125" style="59" customWidth="1"/>
    <col min="2819" max="2819" width="11.140625" style="59" customWidth="1"/>
    <col min="2820" max="2820" width="10.140625" style="59" customWidth="1"/>
    <col min="2821" max="2821" width="10.28515625" style="59" customWidth="1"/>
    <col min="2822" max="2822" width="10.85546875" style="59" bestFit="1" customWidth="1"/>
    <col min="2823" max="2823" width="11.28515625" style="59" bestFit="1" customWidth="1"/>
    <col min="2824" max="2824" width="9.140625" style="59" bestFit="1" customWidth="1"/>
    <col min="2825" max="2825" width="11" style="59" customWidth="1"/>
    <col min="2826" max="2826" width="10.28515625" style="59" customWidth="1"/>
    <col min="2827" max="2828" width="9.140625" style="59"/>
    <col min="2829" max="2829" width="10.140625" style="59" customWidth="1"/>
    <col min="2830" max="2832" width="10" style="59" bestFit="1" customWidth="1"/>
    <col min="2833" max="3072" width="9.140625" style="59"/>
    <col min="3073" max="3073" width="11" style="59" customWidth="1"/>
    <col min="3074" max="3074" width="8.42578125" style="59" customWidth="1"/>
    <col min="3075" max="3075" width="11.140625" style="59" customWidth="1"/>
    <col min="3076" max="3076" width="10.140625" style="59" customWidth="1"/>
    <col min="3077" max="3077" width="10.28515625" style="59" customWidth="1"/>
    <col min="3078" max="3078" width="10.85546875" style="59" bestFit="1" customWidth="1"/>
    <col min="3079" max="3079" width="11.28515625" style="59" bestFit="1" customWidth="1"/>
    <col min="3080" max="3080" width="9.140625" style="59" bestFit="1" customWidth="1"/>
    <col min="3081" max="3081" width="11" style="59" customWidth="1"/>
    <col min="3082" max="3082" width="10.28515625" style="59" customWidth="1"/>
    <col min="3083" max="3084" width="9.140625" style="59"/>
    <col min="3085" max="3085" width="10.140625" style="59" customWidth="1"/>
    <col min="3086" max="3088" width="10" style="59" bestFit="1" customWidth="1"/>
    <col min="3089" max="3328" width="9.140625" style="59"/>
    <col min="3329" max="3329" width="11" style="59" customWidth="1"/>
    <col min="3330" max="3330" width="8.42578125" style="59" customWidth="1"/>
    <col min="3331" max="3331" width="11.140625" style="59" customWidth="1"/>
    <col min="3332" max="3332" width="10.140625" style="59" customWidth="1"/>
    <col min="3333" max="3333" width="10.28515625" style="59" customWidth="1"/>
    <col min="3334" max="3334" width="10.85546875" style="59" bestFit="1" customWidth="1"/>
    <col min="3335" max="3335" width="11.28515625" style="59" bestFit="1" customWidth="1"/>
    <col min="3336" max="3336" width="9.140625" style="59" bestFit="1" customWidth="1"/>
    <col min="3337" max="3337" width="11" style="59" customWidth="1"/>
    <col min="3338" max="3338" width="10.28515625" style="59" customWidth="1"/>
    <col min="3339" max="3340" width="9.140625" style="59"/>
    <col min="3341" max="3341" width="10.140625" style="59" customWidth="1"/>
    <col min="3342" max="3344" width="10" style="59" bestFit="1" customWidth="1"/>
    <col min="3345" max="3584" width="9.140625" style="59"/>
    <col min="3585" max="3585" width="11" style="59" customWidth="1"/>
    <col min="3586" max="3586" width="8.42578125" style="59" customWidth="1"/>
    <col min="3587" max="3587" width="11.140625" style="59" customWidth="1"/>
    <col min="3588" max="3588" width="10.140625" style="59" customWidth="1"/>
    <col min="3589" max="3589" width="10.28515625" style="59" customWidth="1"/>
    <col min="3590" max="3590" width="10.85546875" style="59" bestFit="1" customWidth="1"/>
    <col min="3591" max="3591" width="11.28515625" style="59" bestFit="1" customWidth="1"/>
    <col min="3592" max="3592" width="9.140625" style="59" bestFit="1" customWidth="1"/>
    <col min="3593" max="3593" width="11" style="59" customWidth="1"/>
    <col min="3594" max="3594" width="10.28515625" style="59" customWidth="1"/>
    <col min="3595" max="3596" width="9.140625" style="59"/>
    <col min="3597" max="3597" width="10.140625" style="59" customWidth="1"/>
    <col min="3598" max="3600" width="10" style="59" bestFit="1" customWidth="1"/>
    <col min="3601" max="3840" width="9.140625" style="59"/>
    <col min="3841" max="3841" width="11" style="59" customWidth="1"/>
    <col min="3842" max="3842" width="8.42578125" style="59" customWidth="1"/>
    <col min="3843" max="3843" width="11.140625" style="59" customWidth="1"/>
    <col min="3844" max="3844" width="10.140625" style="59" customWidth="1"/>
    <col min="3845" max="3845" width="10.28515625" style="59" customWidth="1"/>
    <col min="3846" max="3846" width="10.85546875" style="59" bestFit="1" customWidth="1"/>
    <col min="3847" max="3847" width="11.28515625" style="59" bestFit="1" customWidth="1"/>
    <col min="3848" max="3848" width="9.140625" style="59" bestFit="1" customWidth="1"/>
    <col min="3849" max="3849" width="11" style="59" customWidth="1"/>
    <col min="3850" max="3850" width="10.28515625" style="59" customWidth="1"/>
    <col min="3851" max="3852" width="9.140625" style="59"/>
    <col min="3853" max="3853" width="10.140625" style="59" customWidth="1"/>
    <col min="3854" max="3856" width="10" style="59" bestFit="1" customWidth="1"/>
    <col min="3857" max="4096" width="9.140625" style="59"/>
    <col min="4097" max="4097" width="11" style="59" customWidth="1"/>
    <col min="4098" max="4098" width="8.42578125" style="59" customWidth="1"/>
    <col min="4099" max="4099" width="11.140625" style="59" customWidth="1"/>
    <col min="4100" max="4100" width="10.140625" style="59" customWidth="1"/>
    <col min="4101" max="4101" width="10.28515625" style="59" customWidth="1"/>
    <col min="4102" max="4102" width="10.85546875" style="59" bestFit="1" customWidth="1"/>
    <col min="4103" max="4103" width="11.28515625" style="59" bestFit="1" customWidth="1"/>
    <col min="4104" max="4104" width="9.140625" style="59" bestFit="1" customWidth="1"/>
    <col min="4105" max="4105" width="11" style="59" customWidth="1"/>
    <col min="4106" max="4106" width="10.28515625" style="59" customWidth="1"/>
    <col min="4107" max="4108" width="9.140625" style="59"/>
    <col min="4109" max="4109" width="10.140625" style="59" customWidth="1"/>
    <col min="4110" max="4112" width="10" style="59" bestFit="1" customWidth="1"/>
    <col min="4113" max="4352" width="9.140625" style="59"/>
    <col min="4353" max="4353" width="11" style="59" customWidth="1"/>
    <col min="4354" max="4354" width="8.42578125" style="59" customWidth="1"/>
    <col min="4355" max="4355" width="11.140625" style="59" customWidth="1"/>
    <col min="4356" max="4356" width="10.140625" style="59" customWidth="1"/>
    <col min="4357" max="4357" width="10.28515625" style="59" customWidth="1"/>
    <col min="4358" max="4358" width="10.85546875" style="59" bestFit="1" customWidth="1"/>
    <col min="4359" max="4359" width="11.28515625" style="59" bestFit="1" customWidth="1"/>
    <col min="4360" max="4360" width="9.140625" style="59" bestFit="1" customWidth="1"/>
    <col min="4361" max="4361" width="11" style="59" customWidth="1"/>
    <col min="4362" max="4362" width="10.28515625" style="59" customWidth="1"/>
    <col min="4363" max="4364" width="9.140625" style="59"/>
    <col min="4365" max="4365" width="10.140625" style="59" customWidth="1"/>
    <col min="4366" max="4368" width="10" style="59" bestFit="1" customWidth="1"/>
    <col min="4369" max="4608" width="9.140625" style="59"/>
    <col min="4609" max="4609" width="11" style="59" customWidth="1"/>
    <col min="4610" max="4610" width="8.42578125" style="59" customWidth="1"/>
    <col min="4611" max="4611" width="11.140625" style="59" customWidth="1"/>
    <col min="4612" max="4612" width="10.140625" style="59" customWidth="1"/>
    <col min="4613" max="4613" width="10.28515625" style="59" customWidth="1"/>
    <col min="4614" max="4614" width="10.85546875" style="59" bestFit="1" customWidth="1"/>
    <col min="4615" max="4615" width="11.28515625" style="59" bestFit="1" customWidth="1"/>
    <col min="4616" max="4616" width="9.140625" style="59" bestFit="1" customWidth="1"/>
    <col min="4617" max="4617" width="11" style="59" customWidth="1"/>
    <col min="4618" max="4618" width="10.28515625" style="59" customWidth="1"/>
    <col min="4619" max="4620" width="9.140625" style="59"/>
    <col min="4621" max="4621" width="10.140625" style="59" customWidth="1"/>
    <col min="4622" max="4624" width="10" style="59" bestFit="1" customWidth="1"/>
    <col min="4625" max="4864" width="9.140625" style="59"/>
    <col min="4865" max="4865" width="11" style="59" customWidth="1"/>
    <col min="4866" max="4866" width="8.42578125" style="59" customWidth="1"/>
    <col min="4867" max="4867" width="11.140625" style="59" customWidth="1"/>
    <col min="4868" max="4868" width="10.140625" style="59" customWidth="1"/>
    <col min="4869" max="4869" width="10.28515625" style="59" customWidth="1"/>
    <col min="4870" max="4870" width="10.85546875" style="59" bestFit="1" customWidth="1"/>
    <col min="4871" max="4871" width="11.28515625" style="59" bestFit="1" customWidth="1"/>
    <col min="4872" max="4872" width="9.140625" style="59" bestFit="1" customWidth="1"/>
    <col min="4873" max="4873" width="11" style="59" customWidth="1"/>
    <col min="4874" max="4874" width="10.28515625" style="59" customWidth="1"/>
    <col min="4875" max="4876" width="9.140625" style="59"/>
    <col min="4877" max="4877" width="10.140625" style="59" customWidth="1"/>
    <col min="4878" max="4880" width="10" style="59" bestFit="1" customWidth="1"/>
    <col min="4881" max="5120" width="9.140625" style="59"/>
    <col min="5121" max="5121" width="11" style="59" customWidth="1"/>
    <col min="5122" max="5122" width="8.42578125" style="59" customWidth="1"/>
    <col min="5123" max="5123" width="11.140625" style="59" customWidth="1"/>
    <col min="5124" max="5124" width="10.140625" style="59" customWidth="1"/>
    <col min="5125" max="5125" width="10.28515625" style="59" customWidth="1"/>
    <col min="5126" max="5126" width="10.85546875" style="59" bestFit="1" customWidth="1"/>
    <col min="5127" max="5127" width="11.28515625" style="59" bestFit="1" customWidth="1"/>
    <col min="5128" max="5128" width="9.140625" style="59" bestFit="1" customWidth="1"/>
    <col min="5129" max="5129" width="11" style="59" customWidth="1"/>
    <col min="5130" max="5130" width="10.28515625" style="59" customWidth="1"/>
    <col min="5131" max="5132" width="9.140625" style="59"/>
    <col min="5133" max="5133" width="10.140625" style="59" customWidth="1"/>
    <col min="5134" max="5136" width="10" style="59" bestFit="1" customWidth="1"/>
    <col min="5137" max="5376" width="9.140625" style="59"/>
    <col min="5377" max="5377" width="11" style="59" customWidth="1"/>
    <col min="5378" max="5378" width="8.42578125" style="59" customWidth="1"/>
    <col min="5379" max="5379" width="11.140625" style="59" customWidth="1"/>
    <col min="5380" max="5380" width="10.140625" style="59" customWidth="1"/>
    <col min="5381" max="5381" width="10.28515625" style="59" customWidth="1"/>
    <col min="5382" max="5382" width="10.85546875" style="59" bestFit="1" customWidth="1"/>
    <col min="5383" max="5383" width="11.28515625" style="59" bestFit="1" customWidth="1"/>
    <col min="5384" max="5384" width="9.140625" style="59" bestFit="1" customWidth="1"/>
    <col min="5385" max="5385" width="11" style="59" customWidth="1"/>
    <col min="5386" max="5386" width="10.28515625" style="59" customWidth="1"/>
    <col min="5387" max="5388" width="9.140625" style="59"/>
    <col min="5389" max="5389" width="10.140625" style="59" customWidth="1"/>
    <col min="5390" max="5392" width="10" style="59" bestFit="1" customWidth="1"/>
    <col min="5393" max="5632" width="9.140625" style="59"/>
    <col min="5633" max="5633" width="11" style="59" customWidth="1"/>
    <col min="5634" max="5634" width="8.42578125" style="59" customWidth="1"/>
    <col min="5635" max="5635" width="11.140625" style="59" customWidth="1"/>
    <col min="5636" max="5636" width="10.140625" style="59" customWidth="1"/>
    <col min="5637" max="5637" width="10.28515625" style="59" customWidth="1"/>
    <col min="5638" max="5638" width="10.85546875" style="59" bestFit="1" customWidth="1"/>
    <col min="5639" max="5639" width="11.28515625" style="59" bestFit="1" customWidth="1"/>
    <col min="5640" max="5640" width="9.140625" style="59" bestFit="1" customWidth="1"/>
    <col min="5641" max="5641" width="11" style="59" customWidth="1"/>
    <col min="5642" max="5642" width="10.28515625" style="59" customWidth="1"/>
    <col min="5643" max="5644" width="9.140625" style="59"/>
    <col min="5645" max="5645" width="10.140625" style="59" customWidth="1"/>
    <col min="5646" max="5648" width="10" style="59" bestFit="1" customWidth="1"/>
    <col min="5649" max="5888" width="9.140625" style="59"/>
    <col min="5889" max="5889" width="11" style="59" customWidth="1"/>
    <col min="5890" max="5890" width="8.42578125" style="59" customWidth="1"/>
    <col min="5891" max="5891" width="11.140625" style="59" customWidth="1"/>
    <col min="5892" max="5892" width="10.140625" style="59" customWidth="1"/>
    <col min="5893" max="5893" width="10.28515625" style="59" customWidth="1"/>
    <col min="5894" max="5894" width="10.85546875" style="59" bestFit="1" customWidth="1"/>
    <col min="5895" max="5895" width="11.28515625" style="59" bestFit="1" customWidth="1"/>
    <col min="5896" max="5896" width="9.140625" style="59" bestFit="1" customWidth="1"/>
    <col min="5897" max="5897" width="11" style="59" customWidth="1"/>
    <col min="5898" max="5898" width="10.28515625" style="59" customWidth="1"/>
    <col min="5899" max="5900" width="9.140625" style="59"/>
    <col min="5901" max="5901" width="10.140625" style="59" customWidth="1"/>
    <col min="5902" max="5904" width="10" style="59" bestFit="1" customWidth="1"/>
    <col min="5905" max="6144" width="9.140625" style="59"/>
    <col min="6145" max="6145" width="11" style="59" customWidth="1"/>
    <col min="6146" max="6146" width="8.42578125" style="59" customWidth="1"/>
    <col min="6147" max="6147" width="11.140625" style="59" customWidth="1"/>
    <col min="6148" max="6148" width="10.140625" style="59" customWidth="1"/>
    <col min="6149" max="6149" width="10.28515625" style="59" customWidth="1"/>
    <col min="6150" max="6150" width="10.85546875" style="59" bestFit="1" customWidth="1"/>
    <col min="6151" max="6151" width="11.28515625" style="59" bestFit="1" customWidth="1"/>
    <col min="6152" max="6152" width="9.140625" style="59" bestFit="1" customWidth="1"/>
    <col min="6153" max="6153" width="11" style="59" customWidth="1"/>
    <col min="6154" max="6154" width="10.28515625" style="59" customWidth="1"/>
    <col min="6155" max="6156" width="9.140625" style="59"/>
    <col min="6157" max="6157" width="10.140625" style="59" customWidth="1"/>
    <col min="6158" max="6160" width="10" style="59" bestFit="1" customWidth="1"/>
    <col min="6161" max="6400" width="9.140625" style="59"/>
    <col min="6401" max="6401" width="11" style="59" customWidth="1"/>
    <col min="6402" max="6402" width="8.42578125" style="59" customWidth="1"/>
    <col min="6403" max="6403" width="11.140625" style="59" customWidth="1"/>
    <col min="6404" max="6404" width="10.140625" style="59" customWidth="1"/>
    <col min="6405" max="6405" width="10.28515625" style="59" customWidth="1"/>
    <col min="6406" max="6406" width="10.85546875" style="59" bestFit="1" customWidth="1"/>
    <col min="6407" max="6407" width="11.28515625" style="59" bestFit="1" customWidth="1"/>
    <col min="6408" max="6408" width="9.140625" style="59" bestFit="1" customWidth="1"/>
    <col min="6409" max="6409" width="11" style="59" customWidth="1"/>
    <col min="6410" max="6410" width="10.28515625" style="59" customWidth="1"/>
    <col min="6411" max="6412" width="9.140625" style="59"/>
    <col min="6413" max="6413" width="10.140625" style="59" customWidth="1"/>
    <col min="6414" max="6416" width="10" style="59" bestFit="1" customWidth="1"/>
    <col min="6417" max="6656" width="9.140625" style="59"/>
    <col min="6657" max="6657" width="11" style="59" customWidth="1"/>
    <col min="6658" max="6658" width="8.42578125" style="59" customWidth="1"/>
    <col min="6659" max="6659" width="11.140625" style="59" customWidth="1"/>
    <col min="6660" max="6660" width="10.140625" style="59" customWidth="1"/>
    <col min="6661" max="6661" width="10.28515625" style="59" customWidth="1"/>
    <col min="6662" max="6662" width="10.85546875" style="59" bestFit="1" customWidth="1"/>
    <col min="6663" max="6663" width="11.28515625" style="59" bestFit="1" customWidth="1"/>
    <col min="6664" max="6664" width="9.140625" style="59" bestFit="1" customWidth="1"/>
    <col min="6665" max="6665" width="11" style="59" customWidth="1"/>
    <col min="6666" max="6666" width="10.28515625" style="59" customWidth="1"/>
    <col min="6667" max="6668" width="9.140625" style="59"/>
    <col min="6669" max="6669" width="10.140625" style="59" customWidth="1"/>
    <col min="6670" max="6672" width="10" style="59" bestFit="1" customWidth="1"/>
    <col min="6673" max="6912" width="9.140625" style="59"/>
    <col min="6913" max="6913" width="11" style="59" customWidth="1"/>
    <col min="6914" max="6914" width="8.42578125" style="59" customWidth="1"/>
    <col min="6915" max="6915" width="11.140625" style="59" customWidth="1"/>
    <col min="6916" max="6916" width="10.140625" style="59" customWidth="1"/>
    <col min="6917" max="6917" width="10.28515625" style="59" customWidth="1"/>
    <col min="6918" max="6918" width="10.85546875" style="59" bestFit="1" customWidth="1"/>
    <col min="6919" max="6919" width="11.28515625" style="59" bestFit="1" customWidth="1"/>
    <col min="6920" max="6920" width="9.140625" style="59" bestFit="1" customWidth="1"/>
    <col min="6921" max="6921" width="11" style="59" customWidth="1"/>
    <col min="6922" max="6922" width="10.28515625" style="59" customWidth="1"/>
    <col min="6923" max="6924" width="9.140625" style="59"/>
    <col min="6925" max="6925" width="10.140625" style="59" customWidth="1"/>
    <col min="6926" max="6928" width="10" style="59" bestFit="1" customWidth="1"/>
    <col min="6929" max="7168" width="9.140625" style="59"/>
    <col min="7169" max="7169" width="11" style="59" customWidth="1"/>
    <col min="7170" max="7170" width="8.42578125" style="59" customWidth="1"/>
    <col min="7171" max="7171" width="11.140625" style="59" customWidth="1"/>
    <col min="7172" max="7172" width="10.140625" style="59" customWidth="1"/>
    <col min="7173" max="7173" width="10.28515625" style="59" customWidth="1"/>
    <col min="7174" max="7174" width="10.85546875" style="59" bestFit="1" customWidth="1"/>
    <col min="7175" max="7175" width="11.28515625" style="59" bestFit="1" customWidth="1"/>
    <col min="7176" max="7176" width="9.140625" style="59" bestFit="1" customWidth="1"/>
    <col min="7177" max="7177" width="11" style="59" customWidth="1"/>
    <col min="7178" max="7178" width="10.28515625" style="59" customWidth="1"/>
    <col min="7179" max="7180" width="9.140625" style="59"/>
    <col min="7181" max="7181" width="10.140625" style="59" customWidth="1"/>
    <col min="7182" max="7184" width="10" style="59" bestFit="1" customWidth="1"/>
    <col min="7185" max="7424" width="9.140625" style="59"/>
    <col min="7425" max="7425" width="11" style="59" customWidth="1"/>
    <col min="7426" max="7426" width="8.42578125" style="59" customWidth="1"/>
    <col min="7427" max="7427" width="11.140625" style="59" customWidth="1"/>
    <col min="7428" max="7428" width="10.140625" style="59" customWidth="1"/>
    <col min="7429" max="7429" width="10.28515625" style="59" customWidth="1"/>
    <col min="7430" max="7430" width="10.85546875" style="59" bestFit="1" customWidth="1"/>
    <col min="7431" max="7431" width="11.28515625" style="59" bestFit="1" customWidth="1"/>
    <col min="7432" max="7432" width="9.140625" style="59" bestFit="1" customWidth="1"/>
    <col min="7433" max="7433" width="11" style="59" customWidth="1"/>
    <col min="7434" max="7434" width="10.28515625" style="59" customWidth="1"/>
    <col min="7435" max="7436" width="9.140625" style="59"/>
    <col min="7437" max="7437" width="10.140625" style="59" customWidth="1"/>
    <col min="7438" max="7440" width="10" style="59" bestFit="1" customWidth="1"/>
    <col min="7441" max="7680" width="9.140625" style="59"/>
    <col min="7681" max="7681" width="11" style="59" customWidth="1"/>
    <col min="7682" max="7682" width="8.42578125" style="59" customWidth="1"/>
    <col min="7683" max="7683" width="11.140625" style="59" customWidth="1"/>
    <col min="7684" max="7684" width="10.140625" style="59" customWidth="1"/>
    <col min="7685" max="7685" width="10.28515625" style="59" customWidth="1"/>
    <col min="7686" max="7686" width="10.85546875" style="59" bestFit="1" customWidth="1"/>
    <col min="7687" max="7687" width="11.28515625" style="59" bestFit="1" customWidth="1"/>
    <col min="7688" max="7688" width="9.140625" style="59" bestFit="1" customWidth="1"/>
    <col min="7689" max="7689" width="11" style="59" customWidth="1"/>
    <col min="7690" max="7690" width="10.28515625" style="59" customWidth="1"/>
    <col min="7691" max="7692" width="9.140625" style="59"/>
    <col min="7693" max="7693" width="10.140625" style="59" customWidth="1"/>
    <col min="7694" max="7696" width="10" style="59" bestFit="1" customWidth="1"/>
    <col min="7697" max="7936" width="9.140625" style="59"/>
    <col min="7937" max="7937" width="11" style="59" customWidth="1"/>
    <col min="7938" max="7938" width="8.42578125" style="59" customWidth="1"/>
    <col min="7939" max="7939" width="11.140625" style="59" customWidth="1"/>
    <col min="7940" max="7940" width="10.140625" style="59" customWidth="1"/>
    <col min="7941" max="7941" width="10.28515625" style="59" customWidth="1"/>
    <col min="7942" max="7942" width="10.85546875" style="59" bestFit="1" customWidth="1"/>
    <col min="7943" max="7943" width="11.28515625" style="59" bestFit="1" customWidth="1"/>
    <col min="7944" max="7944" width="9.140625" style="59" bestFit="1" customWidth="1"/>
    <col min="7945" max="7945" width="11" style="59" customWidth="1"/>
    <col min="7946" max="7946" width="10.28515625" style="59" customWidth="1"/>
    <col min="7947" max="7948" width="9.140625" style="59"/>
    <col min="7949" max="7949" width="10.140625" style="59" customWidth="1"/>
    <col min="7950" max="7952" width="10" style="59" bestFit="1" customWidth="1"/>
    <col min="7953" max="8192" width="9.140625" style="59"/>
    <col min="8193" max="8193" width="11" style="59" customWidth="1"/>
    <col min="8194" max="8194" width="8.42578125" style="59" customWidth="1"/>
    <col min="8195" max="8195" width="11.140625" style="59" customWidth="1"/>
    <col min="8196" max="8196" width="10.140625" style="59" customWidth="1"/>
    <col min="8197" max="8197" width="10.28515625" style="59" customWidth="1"/>
    <col min="8198" max="8198" width="10.85546875" style="59" bestFit="1" customWidth="1"/>
    <col min="8199" max="8199" width="11.28515625" style="59" bestFit="1" customWidth="1"/>
    <col min="8200" max="8200" width="9.140625" style="59" bestFit="1" customWidth="1"/>
    <col min="8201" max="8201" width="11" style="59" customWidth="1"/>
    <col min="8202" max="8202" width="10.28515625" style="59" customWidth="1"/>
    <col min="8203" max="8204" width="9.140625" style="59"/>
    <col min="8205" max="8205" width="10.140625" style="59" customWidth="1"/>
    <col min="8206" max="8208" width="10" style="59" bestFit="1" customWidth="1"/>
    <col min="8209" max="8448" width="9.140625" style="59"/>
    <col min="8449" max="8449" width="11" style="59" customWidth="1"/>
    <col min="8450" max="8450" width="8.42578125" style="59" customWidth="1"/>
    <col min="8451" max="8451" width="11.140625" style="59" customWidth="1"/>
    <col min="8452" max="8452" width="10.140625" style="59" customWidth="1"/>
    <col min="8453" max="8453" width="10.28515625" style="59" customWidth="1"/>
    <col min="8454" max="8454" width="10.85546875" style="59" bestFit="1" customWidth="1"/>
    <col min="8455" max="8455" width="11.28515625" style="59" bestFit="1" customWidth="1"/>
    <col min="8456" max="8456" width="9.140625" style="59" bestFit="1" customWidth="1"/>
    <col min="8457" max="8457" width="11" style="59" customWidth="1"/>
    <col min="8458" max="8458" width="10.28515625" style="59" customWidth="1"/>
    <col min="8459" max="8460" width="9.140625" style="59"/>
    <col min="8461" max="8461" width="10.140625" style="59" customWidth="1"/>
    <col min="8462" max="8464" width="10" style="59" bestFit="1" customWidth="1"/>
    <col min="8465" max="8704" width="9.140625" style="59"/>
    <col min="8705" max="8705" width="11" style="59" customWidth="1"/>
    <col min="8706" max="8706" width="8.42578125" style="59" customWidth="1"/>
    <col min="8707" max="8707" width="11.140625" style="59" customWidth="1"/>
    <col min="8708" max="8708" width="10.140625" style="59" customWidth="1"/>
    <col min="8709" max="8709" width="10.28515625" style="59" customWidth="1"/>
    <col min="8710" max="8710" width="10.85546875" style="59" bestFit="1" customWidth="1"/>
    <col min="8711" max="8711" width="11.28515625" style="59" bestFit="1" customWidth="1"/>
    <col min="8712" max="8712" width="9.140625" style="59" bestFit="1" customWidth="1"/>
    <col min="8713" max="8713" width="11" style="59" customWidth="1"/>
    <col min="8714" max="8714" width="10.28515625" style="59" customWidth="1"/>
    <col min="8715" max="8716" width="9.140625" style="59"/>
    <col min="8717" max="8717" width="10.140625" style="59" customWidth="1"/>
    <col min="8718" max="8720" width="10" style="59" bestFit="1" customWidth="1"/>
    <col min="8721" max="8960" width="9.140625" style="59"/>
    <col min="8961" max="8961" width="11" style="59" customWidth="1"/>
    <col min="8962" max="8962" width="8.42578125" style="59" customWidth="1"/>
    <col min="8963" max="8963" width="11.140625" style="59" customWidth="1"/>
    <col min="8964" max="8964" width="10.140625" style="59" customWidth="1"/>
    <col min="8965" max="8965" width="10.28515625" style="59" customWidth="1"/>
    <col min="8966" max="8966" width="10.85546875" style="59" bestFit="1" customWidth="1"/>
    <col min="8967" max="8967" width="11.28515625" style="59" bestFit="1" customWidth="1"/>
    <col min="8968" max="8968" width="9.140625" style="59" bestFit="1" customWidth="1"/>
    <col min="8969" max="8969" width="11" style="59" customWidth="1"/>
    <col min="8970" max="8970" width="10.28515625" style="59" customWidth="1"/>
    <col min="8971" max="8972" width="9.140625" style="59"/>
    <col min="8973" max="8973" width="10.140625" style="59" customWidth="1"/>
    <col min="8974" max="8976" width="10" style="59" bestFit="1" customWidth="1"/>
    <col min="8977" max="9216" width="9.140625" style="59"/>
    <col min="9217" max="9217" width="11" style="59" customWidth="1"/>
    <col min="9218" max="9218" width="8.42578125" style="59" customWidth="1"/>
    <col min="9219" max="9219" width="11.140625" style="59" customWidth="1"/>
    <col min="9220" max="9220" width="10.140625" style="59" customWidth="1"/>
    <col min="9221" max="9221" width="10.28515625" style="59" customWidth="1"/>
    <col min="9222" max="9222" width="10.85546875" style="59" bestFit="1" customWidth="1"/>
    <col min="9223" max="9223" width="11.28515625" style="59" bestFit="1" customWidth="1"/>
    <col min="9224" max="9224" width="9.140625" style="59" bestFit="1" customWidth="1"/>
    <col min="9225" max="9225" width="11" style="59" customWidth="1"/>
    <col min="9226" max="9226" width="10.28515625" style="59" customWidth="1"/>
    <col min="9227" max="9228" width="9.140625" style="59"/>
    <col min="9229" max="9229" width="10.140625" style="59" customWidth="1"/>
    <col min="9230" max="9232" width="10" style="59" bestFit="1" customWidth="1"/>
    <col min="9233" max="9472" width="9.140625" style="59"/>
    <col min="9473" max="9473" width="11" style="59" customWidth="1"/>
    <col min="9474" max="9474" width="8.42578125" style="59" customWidth="1"/>
    <col min="9475" max="9475" width="11.140625" style="59" customWidth="1"/>
    <col min="9476" max="9476" width="10.140625" style="59" customWidth="1"/>
    <col min="9477" max="9477" width="10.28515625" style="59" customWidth="1"/>
    <col min="9478" max="9478" width="10.85546875" style="59" bestFit="1" customWidth="1"/>
    <col min="9479" max="9479" width="11.28515625" style="59" bestFit="1" customWidth="1"/>
    <col min="9480" max="9480" width="9.140625" style="59" bestFit="1" customWidth="1"/>
    <col min="9481" max="9481" width="11" style="59" customWidth="1"/>
    <col min="9482" max="9482" width="10.28515625" style="59" customWidth="1"/>
    <col min="9483" max="9484" width="9.140625" style="59"/>
    <col min="9485" max="9485" width="10.140625" style="59" customWidth="1"/>
    <col min="9486" max="9488" width="10" style="59" bestFit="1" customWidth="1"/>
    <col min="9489" max="9728" width="9.140625" style="59"/>
    <col min="9729" max="9729" width="11" style="59" customWidth="1"/>
    <col min="9730" max="9730" width="8.42578125" style="59" customWidth="1"/>
    <col min="9731" max="9731" width="11.140625" style="59" customWidth="1"/>
    <col min="9732" max="9732" width="10.140625" style="59" customWidth="1"/>
    <col min="9733" max="9733" width="10.28515625" style="59" customWidth="1"/>
    <col min="9734" max="9734" width="10.85546875" style="59" bestFit="1" customWidth="1"/>
    <col min="9735" max="9735" width="11.28515625" style="59" bestFit="1" customWidth="1"/>
    <col min="9736" max="9736" width="9.140625" style="59" bestFit="1" customWidth="1"/>
    <col min="9737" max="9737" width="11" style="59" customWidth="1"/>
    <col min="9738" max="9738" width="10.28515625" style="59" customWidth="1"/>
    <col min="9739" max="9740" width="9.140625" style="59"/>
    <col min="9741" max="9741" width="10.140625" style="59" customWidth="1"/>
    <col min="9742" max="9744" width="10" style="59" bestFit="1" customWidth="1"/>
    <col min="9745" max="9984" width="9.140625" style="59"/>
    <col min="9985" max="9985" width="11" style="59" customWidth="1"/>
    <col min="9986" max="9986" width="8.42578125" style="59" customWidth="1"/>
    <col min="9987" max="9987" width="11.140625" style="59" customWidth="1"/>
    <col min="9988" max="9988" width="10.140625" style="59" customWidth="1"/>
    <col min="9989" max="9989" width="10.28515625" style="59" customWidth="1"/>
    <col min="9990" max="9990" width="10.85546875" style="59" bestFit="1" customWidth="1"/>
    <col min="9991" max="9991" width="11.28515625" style="59" bestFit="1" customWidth="1"/>
    <col min="9992" max="9992" width="9.140625" style="59" bestFit="1" customWidth="1"/>
    <col min="9993" max="9993" width="11" style="59" customWidth="1"/>
    <col min="9994" max="9994" width="10.28515625" style="59" customWidth="1"/>
    <col min="9995" max="9996" width="9.140625" style="59"/>
    <col min="9997" max="9997" width="10.140625" style="59" customWidth="1"/>
    <col min="9998" max="10000" width="10" style="59" bestFit="1" customWidth="1"/>
    <col min="10001" max="10240" width="9.140625" style="59"/>
    <col min="10241" max="10241" width="11" style="59" customWidth="1"/>
    <col min="10242" max="10242" width="8.42578125" style="59" customWidth="1"/>
    <col min="10243" max="10243" width="11.140625" style="59" customWidth="1"/>
    <col min="10244" max="10244" width="10.140625" style="59" customWidth="1"/>
    <col min="10245" max="10245" width="10.28515625" style="59" customWidth="1"/>
    <col min="10246" max="10246" width="10.85546875" style="59" bestFit="1" customWidth="1"/>
    <col min="10247" max="10247" width="11.28515625" style="59" bestFit="1" customWidth="1"/>
    <col min="10248" max="10248" width="9.140625" style="59" bestFit="1" customWidth="1"/>
    <col min="10249" max="10249" width="11" style="59" customWidth="1"/>
    <col min="10250" max="10250" width="10.28515625" style="59" customWidth="1"/>
    <col min="10251" max="10252" width="9.140625" style="59"/>
    <col min="10253" max="10253" width="10.140625" style="59" customWidth="1"/>
    <col min="10254" max="10256" width="10" style="59" bestFit="1" customWidth="1"/>
    <col min="10257" max="10496" width="9.140625" style="59"/>
    <col min="10497" max="10497" width="11" style="59" customWidth="1"/>
    <col min="10498" max="10498" width="8.42578125" style="59" customWidth="1"/>
    <col min="10499" max="10499" width="11.140625" style="59" customWidth="1"/>
    <col min="10500" max="10500" width="10.140625" style="59" customWidth="1"/>
    <col min="10501" max="10501" width="10.28515625" style="59" customWidth="1"/>
    <col min="10502" max="10502" width="10.85546875" style="59" bestFit="1" customWidth="1"/>
    <col min="10503" max="10503" width="11.28515625" style="59" bestFit="1" customWidth="1"/>
    <col min="10504" max="10504" width="9.140625" style="59" bestFit="1" customWidth="1"/>
    <col min="10505" max="10505" width="11" style="59" customWidth="1"/>
    <col min="10506" max="10506" width="10.28515625" style="59" customWidth="1"/>
    <col min="10507" max="10508" width="9.140625" style="59"/>
    <col min="10509" max="10509" width="10.140625" style="59" customWidth="1"/>
    <col min="10510" max="10512" width="10" style="59" bestFit="1" customWidth="1"/>
    <col min="10513" max="10752" width="9.140625" style="59"/>
    <col min="10753" max="10753" width="11" style="59" customWidth="1"/>
    <col min="10754" max="10754" width="8.42578125" style="59" customWidth="1"/>
    <col min="10755" max="10755" width="11.140625" style="59" customWidth="1"/>
    <col min="10756" max="10756" width="10.140625" style="59" customWidth="1"/>
    <col min="10757" max="10757" width="10.28515625" style="59" customWidth="1"/>
    <col min="10758" max="10758" width="10.85546875" style="59" bestFit="1" customWidth="1"/>
    <col min="10759" max="10759" width="11.28515625" style="59" bestFit="1" customWidth="1"/>
    <col min="10760" max="10760" width="9.140625" style="59" bestFit="1" customWidth="1"/>
    <col min="10761" max="10761" width="11" style="59" customWidth="1"/>
    <col min="10762" max="10762" width="10.28515625" style="59" customWidth="1"/>
    <col min="10763" max="10764" width="9.140625" style="59"/>
    <col min="10765" max="10765" width="10.140625" style="59" customWidth="1"/>
    <col min="10766" max="10768" width="10" style="59" bestFit="1" customWidth="1"/>
    <col min="10769" max="11008" width="9.140625" style="59"/>
    <col min="11009" max="11009" width="11" style="59" customWidth="1"/>
    <col min="11010" max="11010" width="8.42578125" style="59" customWidth="1"/>
    <col min="11011" max="11011" width="11.140625" style="59" customWidth="1"/>
    <col min="11012" max="11012" width="10.140625" style="59" customWidth="1"/>
    <col min="11013" max="11013" width="10.28515625" style="59" customWidth="1"/>
    <col min="11014" max="11014" width="10.85546875" style="59" bestFit="1" customWidth="1"/>
    <col min="11015" max="11015" width="11.28515625" style="59" bestFit="1" customWidth="1"/>
    <col min="11016" max="11016" width="9.140625" style="59" bestFit="1" customWidth="1"/>
    <col min="11017" max="11017" width="11" style="59" customWidth="1"/>
    <col min="11018" max="11018" width="10.28515625" style="59" customWidth="1"/>
    <col min="11019" max="11020" width="9.140625" style="59"/>
    <col min="11021" max="11021" width="10.140625" style="59" customWidth="1"/>
    <col min="11022" max="11024" width="10" style="59" bestFit="1" customWidth="1"/>
    <col min="11025" max="11264" width="9.140625" style="59"/>
    <col min="11265" max="11265" width="11" style="59" customWidth="1"/>
    <col min="11266" max="11266" width="8.42578125" style="59" customWidth="1"/>
    <col min="11267" max="11267" width="11.140625" style="59" customWidth="1"/>
    <col min="11268" max="11268" width="10.140625" style="59" customWidth="1"/>
    <col min="11269" max="11269" width="10.28515625" style="59" customWidth="1"/>
    <col min="11270" max="11270" width="10.85546875" style="59" bestFit="1" customWidth="1"/>
    <col min="11271" max="11271" width="11.28515625" style="59" bestFit="1" customWidth="1"/>
    <col min="11272" max="11272" width="9.140625" style="59" bestFit="1" customWidth="1"/>
    <col min="11273" max="11273" width="11" style="59" customWidth="1"/>
    <col min="11274" max="11274" width="10.28515625" style="59" customWidth="1"/>
    <col min="11275" max="11276" width="9.140625" style="59"/>
    <col min="11277" max="11277" width="10.140625" style="59" customWidth="1"/>
    <col min="11278" max="11280" width="10" style="59" bestFit="1" customWidth="1"/>
    <col min="11281" max="11520" width="9.140625" style="59"/>
    <col min="11521" max="11521" width="11" style="59" customWidth="1"/>
    <col min="11522" max="11522" width="8.42578125" style="59" customWidth="1"/>
    <col min="11523" max="11523" width="11.140625" style="59" customWidth="1"/>
    <col min="11524" max="11524" width="10.140625" style="59" customWidth="1"/>
    <col min="11525" max="11525" width="10.28515625" style="59" customWidth="1"/>
    <col min="11526" max="11526" width="10.85546875" style="59" bestFit="1" customWidth="1"/>
    <col min="11527" max="11527" width="11.28515625" style="59" bestFit="1" customWidth="1"/>
    <col min="11528" max="11528" width="9.140625" style="59" bestFit="1" customWidth="1"/>
    <col min="11529" max="11529" width="11" style="59" customWidth="1"/>
    <col min="11530" max="11530" width="10.28515625" style="59" customWidth="1"/>
    <col min="11531" max="11532" width="9.140625" style="59"/>
    <col min="11533" max="11533" width="10.140625" style="59" customWidth="1"/>
    <col min="11534" max="11536" width="10" style="59" bestFit="1" customWidth="1"/>
    <col min="11537" max="11776" width="9.140625" style="59"/>
    <col min="11777" max="11777" width="11" style="59" customWidth="1"/>
    <col min="11778" max="11778" width="8.42578125" style="59" customWidth="1"/>
    <col min="11779" max="11779" width="11.140625" style="59" customWidth="1"/>
    <col min="11780" max="11780" width="10.140625" style="59" customWidth="1"/>
    <col min="11781" max="11781" width="10.28515625" style="59" customWidth="1"/>
    <col min="11782" max="11782" width="10.85546875" style="59" bestFit="1" customWidth="1"/>
    <col min="11783" max="11783" width="11.28515625" style="59" bestFit="1" customWidth="1"/>
    <col min="11784" max="11784" width="9.140625" style="59" bestFit="1" customWidth="1"/>
    <col min="11785" max="11785" width="11" style="59" customWidth="1"/>
    <col min="11786" max="11786" width="10.28515625" style="59" customWidth="1"/>
    <col min="11787" max="11788" width="9.140625" style="59"/>
    <col min="11789" max="11789" width="10.140625" style="59" customWidth="1"/>
    <col min="11790" max="11792" width="10" style="59" bestFit="1" customWidth="1"/>
    <col min="11793" max="12032" width="9.140625" style="59"/>
    <col min="12033" max="12033" width="11" style="59" customWidth="1"/>
    <col min="12034" max="12034" width="8.42578125" style="59" customWidth="1"/>
    <col min="12035" max="12035" width="11.140625" style="59" customWidth="1"/>
    <col min="12036" max="12036" width="10.140625" style="59" customWidth="1"/>
    <col min="12037" max="12037" width="10.28515625" style="59" customWidth="1"/>
    <col min="12038" max="12038" width="10.85546875" style="59" bestFit="1" customWidth="1"/>
    <col min="12039" max="12039" width="11.28515625" style="59" bestFit="1" customWidth="1"/>
    <col min="12040" max="12040" width="9.140625" style="59" bestFit="1" customWidth="1"/>
    <col min="12041" max="12041" width="11" style="59" customWidth="1"/>
    <col min="12042" max="12042" width="10.28515625" style="59" customWidth="1"/>
    <col min="12043" max="12044" width="9.140625" style="59"/>
    <col min="12045" max="12045" width="10.140625" style="59" customWidth="1"/>
    <col min="12046" max="12048" width="10" style="59" bestFit="1" customWidth="1"/>
    <col min="12049" max="12288" width="9.140625" style="59"/>
    <col min="12289" max="12289" width="11" style="59" customWidth="1"/>
    <col min="12290" max="12290" width="8.42578125" style="59" customWidth="1"/>
    <col min="12291" max="12291" width="11.140625" style="59" customWidth="1"/>
    <col min="12292" max="12292" width="10.140625" style="59" customWidth="1"/>
    <col min="12293" max="12293" width="10.28515625" style="59" customWidth="1"/>
    <col min="12294" max="12294" width="10.85546875" style="59" bestFit="1" customWidth="1"/>
    <col min="12295" max="12295" width="11.28515625" style="59" bestFit="1" customWidth="1"/>
    <col min="12296" max="12296" width="9.140625" style="59" bestFit="1" customWidth="1"/>
    <col min="12297" max="12297" width="11" style="59" customWidth="1"/>
    <col min="12298" max="12298" width="10.28515625" style="59" customWidth="1"/>
    <col min="12299" max="12300" width="9.140625" style="59"/>
    <col min="12301" max="12301" width="10.140625" style="59" customWidth="1"/>
    <col min="12302" max="12304" width="10" style="59" bestFit="1" customWidth="1"/>
    <col min="12305" max="12544" width="9.140625" style="59"/>
    <col min="12545" max="12545" width="11" style="59" customWidth="1"/>
    <col min="12546" max="12546" width="8.42578125" style="59" customWidth="1"/>
    <col min="12547" max="12547" width="11.140625" style="59" customWidth="1"/>
    <col min="12548" max="12548" width="10.140625" style="59" customWidth="1"/>
    <col min="12549" max="12549" width="10.28515625" style="59" customWidth="1"/>
    <col min="12550" max="12550" width="10.85546875" style="59" bestFit="1" customWidth="1"/>
    <col min="12551" max="12551" width="11.28515625" style="59" bestFit="1" customWidth="1"/>
    <col min="12552" max="12552" width="9.140625" style="59" bestFit="1" customWidth="1"/>
    <col min="12553" max="12553" width="11" style="59" customWidth="1"/>
    <col min="12554" max="12554" width="10.28515625" style="59" customWidth="1"/>
    <col min="12555" max="12556" width="9.140625" style="59"/>
    <col min="12557" max="12557" width="10.140625" style="59" customWidth="1"/>
    <col min="12558" max="12560" width="10" style="59" bestFit="1" customWidth="1"/>
    <col min="12561" max="12800" width="9.140625" style="59"/>
    <col min="12801" max="12801" width="11" style="59" customWidth="1"/>
    <col min="12802" max="12802" width="8.42578125" style="59" customWidth="1"/>
    <col min="12803" max="12803" width="11.140625" style="59" customWidth="1"/>
    <col min="12804" max="12804" width="10.140625" style="59" customWidth="1"/>
    <col min="12805" max="12805" width="10.28515625" style="59" customWidth="1"/>
    <col min="12806" max="12806" width="10.85546875" style="59" bestFit="1" customWidth="1"/>
    <col min="12807" max="12807" width="11.28515625" style="59" bestFit="1" customWidth="1"/>
    <col min="12808" max="12808" width="9.140625" style="59" bestFit="1" customWidth="1"/>
    <col min="12809" max="12809" width="11" style="59" customWidth="1"/>
    <col min="12810" max="12810" width="10.28515625" style="59" customWidth="1"/>
    <col min="12811" max="12812" width="9.140625" style="59"/>
    <col min="12813" max="12813" width="10.140625" style="59" customWidth="1"/>
    <col min="12814" max="12816" width="10" style="59" bestFit="1" customWidth="1"/>
    <col min="12817" max="13056" width="9.140625" style="59"/>
    <col min="13057" max="13057" width="11" style="59" customWidth="1"/>
    <col min="13058" max="13058" width="8.42578125" style="59" customWidth="1"/>
    <col min="13059" max="13059" width="11.140625" style="59" customWidth="1"/>
    <col min="13060" max="13060" width="10.140625" style="59" customWidth="1"/>
    <col min="13061" max="13061" width="10.28515625" style="59" customWidth="1"/>
    <col min="13062" max="13062" width="10.85546875" style="59" bestFit="1" customWidth="1"/>
    <col min="13063" max="13063" width="11.28515625" style="59" bestFit="1" customWidth="1"/>
    <col min="13064" max="13064" width="9.140625" style="59" bestFit="1" customWidth="1"/>
    <col min="13065" max="13065" width="11" style="59" customWidth="1"/>
    <col min="13066" max="13066" width="10.28515625" style="59" customWidth="1"/>
    <col min="13067" max="13068" width="9.140625" style="59"/>
    <col min="13069" max="13069" width="10.140625" style="59" customWidth="1"/>
    <col min="13070" max="13072" width="10" style="59" bestFit="1" customWidth="1"/>
    <col min="13073" max="13312" width="9.140625" style="59"/>
    <col min="13313" max="13313" width="11" style="59" customWidth="1"/>
    <col min="13314" max="13314" width="8.42578125" style="59" customWidth="1"/>
    <col min="13315" max="13315" width="11.140625" style="59" customWidth="1"/>
    <col min="13316" max="13316" width="10.140625" style="59" customWidth="1"/>
    <col min="13317" max="13317" width="10.28515625" style="59" customWidth="1"/>
    <col min="13318" max="13318" width="10.85546875" style="59" bestFit="1" customWidth="1"/>
    <col min="13319" max="13319" width="11.28515625" style="59" bestFit="1" customWidth="1"/>
    <col min="13320" max="13320" width="9.140625" style="59" bestFit="1" customWidth="1"/>
    <col min="13321" max="13321" width="11" style="59" customWidth="1"/>
    <col min="13322" max="13322" width="10.28515625" style="59" customWidth="1"/>
    <col min="13323" max="13324" width="9.140625" style="59"/>
    <col min="13325" max="13325" width="10.140625" style="59" customWidth="1"/>
    <col min="13326" max="13328" width="10" style="59" bestFit="1" customWidth="1"/>
    <col min="13329" max="13568" width="9.140625" style="59"/>
    <col min="13569" max="13569" width="11" style="59" customWidth="1"/>
    <col min="13570" max="13570" width="8.42578125" style="59" customWidth="1"/>
    <col min="13571" max="13571" width="11.140625" style="59" customWidth="1"/>
    <col min="13572" max="13572" width="10.140625" style="59" customWidth="1"/>
    <col min="13573" max="13573" width="10.28515625" style="59" customWidth="1"/>
    <col min="13574" max="13574" width="10.85546875" style="59" bestFit="1" customWidth="1"/>
    <col min="13575" max="13575" width="11.28515625" style="59" bestFit="1" customWidth="1"/>
    <col min="13576" max="13576" width="9.140625" style="59" bestFit="1" customWidth="1"/>
    <col min="13577" max="13577" width="11" style="59" customWidth="1"/>
    <col min="13578" max="13578" width="10.28515625" style="59" customWidth="1"/>
    <col min="13579" max="13580" width="9.140625" style="59"/>
    <col min="13581" max="13581" width="10.140625" style="59" customWidth="1"/>
    <col min="13582" max="13584" width="10" style="59" bestFit="1" customWidth="1"/>
    <col min="13585" max="13824" width="9.140625" style="59"/>
    <col min="13825" max="13825" width="11" style="59" customWidth="1"/>
    <col min="13826" max="13826" width="8.42578125" style="59" customWidth="1"/>
    <col min="13827" max="13827" width="11.140625" style="59" customWidth="1"/>
    <col min="13828" max="13828" width="10.140625" style="59" customWidth="1"/>
    <col min="13829" max="13829" width="10.28515625" style="59" customWidth="1"/>
    <col min="13830" max="13830" width="10.85546875" style="59" bestFit="1" customWidth="1"/>
    <col min="13831" max="13831" width="11.28515625" style="59" bestFit="1" customWidth="1"/>
    <col min="13832" max="13832" width="9.140625" style="59" bestFit="1" customWidth="1"/>
    <col min="13833" max="13833" width="11" style="59" customWidth="1"/>
    <col min="13834" max="13834" width="10.28515625" style="59" customWidth="1"/>
    <col min="13835" max="13836" width="9.140625" style="59"/>
    <col min="13837" max="13837" width="10.140625" style="59" customWidth="1"/>
    <col min="13838" max="13840" width="10" style="59" bestFit="1" customWidth="1"/>
    <col min="13841" max="14080" width="9.140625" style="59"/>
    <col min="14081" max="14081" width="11" style="59" customWidth="1"/>
    <col min="14082" max="14082" width="8.42578125" style="59" customWidth="1"/>
    <col min="14083" max="14083" width="11.140625" style="59" customWidth="1"/>
    <col min="14084" max="14084" width="10.140625" style="59" customWidth="1"/>
    <col min="14085" max="14085" width="10.28515625" style="59" customWidth="1"/>
    <col min="14086" max="14086" width="10.85546875" style="59" bestFit="1" customWidth="1"/>
    <col min="14087" max="14087" width="11.28515625" style="59" bestFit="1" customWidth="1"/>
    <col min="14088" max="14088" width="9.140625" style="59" bestFit="1" customWidth="1"/>
    <col min="14089" max="14089" width="11" style="59" customWidth="1"/>
    <col min="14090" max="14090" width="10.28515625" style="59" customWidth="1"/>
    <col min="14091" max="14092" width="9.140625" style="59"/>
    <col min="14093" max="14093" width="10.140625" style="59" customWidth="1"/>
    <col min="14094" max="14096" width="10" style="59" bestFit="1" customWidth="1"/>
    <col min="14097" max="14336" width="9.140625" style="59"/>
    <col min="14337" max="14337" width="11" style="59" customWidth="1"/>
    <col min="14338" max="14338" width="8.42578125" style="59" customWidth="1"/>
    <col min="14339" max="14339" width="11.140625" style="59" customWidth="1"/>
    <col min="14340" max="14340" width="10.140625" style="59" customWidth="1"/>
    <col min="14341" max="14341" width="10.28515625" style="59" customWidth="1"/>
    <col min="14342" max="14342" width="10.85546875" style="59" bestFit="1" customWidth="1"/>
    <col min="14343" max="14343" width="11.28515625" style="59" bestFit="1" customWidth="1"/>
    <col min="14344" max="14344" width="9.140625" style="59" bestFit="1" customWidth="1"/>
    <col min="14345" max="14345" width="11" style="59" customWidth="1"/>
    <col min="14346" max="14346" width="10.28515625" style="59" customWidth="1"/>
    <col min="14347" max="14348" width="9.140625" style="59"/>
    <col min="14349" max="14349" width="10.140625" style="59" customWidth="1"/>
    <col min="14350" max="14352" width="10" style="59" bestFit="1" customWidth="1"/>
    <col min="14353" max="14592" width="9.140625" style="59"/>
    <col min="14593" max="14593" width="11" style="59" customWidth="1"/>
    <col min="14594" max="14594" width="8.42578125" style="59" customWidth="1"/>
    <col min="14595" max="14595" width="11.140625" style="59" customWidth="1"/>
    <col min="14596" max="14596" width="10.140625" style="59" customWidth="1"/>
    <col min="14597" max="14597" width="10.28515625" style="59" customWidth="1"/>
    <col min="14598" max="14598" width="10.85546875" style="59" bestFit="1" customWidth="1"/>
    <col min="14599" max="14599" width="11.28515625" style="59" bestFit="1" customWidth="1"/>
    <col min="14600" max="14600" width="9.140625" style="59" bestFit="1" customWidth="1"/>
    <col min="14601" max="14601" width="11" style="59" customWidth="1"/>
    <col min="14602" max="14602" width="10.28515625" style="59" customWidth="1"/>
    <col min="14603" max="14604" width="9.140625" style="59"/>
    <col min="14605" max="14605" width="10.140625" style="59" customWidth="1"/>
    <col min="14606" max="14608" width="10" style="59" bestFit="1" customWidth="1"/>
    <col min="14609" max="14848" width="9.140625" style="59"/>
    <col min="14849" max="14849" width="11" style="59" customWidth="1"/>
    <col min="14850" max="14850" width="8.42578125" style="59" customWidth="1"/>
    <col min="14851" max="14851" width="11.140625" style="59" customWidth="1"/>
    <col min="14852" max="14852" width="10.140625" style="59" customWidth="1"/>
    <col min="14853" max="14853" width="10.28515625" style="59" customWidth="1"/>
    <col min="14854" max="14854" width="10.85546875" style="59" bestFit="1" customWidth="1"/>
    <col min="14855" max="14855" width="11.28515625" style="59" bestFit="1" customWidth="1"/>
    <col min="14856" max="14856" width="9.140625" style="59" bestFit="1" customWidth="1"/>
    <col min="14857" max="14857" width="11" style="59" customWidth="1"/>
    <col min="14858" max="14858" width="10.28515625" style="59" customWidth="1"/>
    <col min="14859" max="14860" width="9.140625" style="59"/>
    <col min="14861" max="14861" width="10.140625" style="59" customWidth="1"/>
    <col min="14862" max="14864" width="10" style="59" bestFit="1" customWidth="1"/>
    <col min="14865" max="15104" width="9.140625" style="59"/>
    <col min="15105" max="15105" width="11" style="59" customWidth="1"/>
    <col min="15106" max="15106" width="8.42578125" style="59" customWidth="1"/>
    <col min="15107" max="15107" width="11.140625" style="59" customWidth="1"/>
    <col min="15108" max="15108" width="10.140625" style="59" customWidth="1"/>
    <col min="15109" max="15109" width="10.28515625" style="59" customWidth="1"/>
    <col min="15110" max="15110" width="10.85546875" style="59" bestFit="1" customWidth="1"/>
    <col min="15111" max="15111" width="11.28515625" style="59" bestFit="1" customWidth="1"/>
    <col min="15112" max="15112" width="9.140625" style="59" bestFit="1" customWidth="1"/>
    <col min="15113" max="15113" width="11" style="59" customWidth="1"/>
    <col min="15114" max="15114" width="10.28515625" style="59" customWidth="1"/>
    <col min="15115" max="15116" width="9.140625" style="59"/>
    <col min="15117" max="15117" width="10.140625" style="59" customWidth="1"/>
    <col min="15118" max="15120" width="10" style="59" bestFit="1" customWidth="1"/>
    <col min="15121" max="15360" width="9.140625" style="59"/>
    <col min="15361" max="15361" width="11" style="59" customWidth="1"/>
    <col min="15362" max="15362" width="8.42578125" style="59" customWidth="1"/>
    <col min="15363" max="15363" width="11.140625" style="59" customWidth="1"/>
    <col min="15364" max="15364" width="10.140625" style="59" customWidth="1"/>
    <col min="15365" max="15365" width="10.28515625" style="59" customWidth="1"/>
    <col min="15366" max="15366" width="10.85546875" style="59" bestFit="1" customWidth="1"/>
    <col min="15367" max="15367" width="11.28515625" style="59" bestFit="1" customWidth="1"/>
    <col min="15368" max="15368" width="9.140625" style="59" bestFit="1" customWidth="1"/>
    <col min="15369" max="15369" width="11" style="59" customWidth="1"/>
    <col min="15370" max="15370" width="10.28515625" style="59" customWidth="1"/>
    <col min="15371" max="15372" width="9.140625" style="59"/>
    <col min="15373" max="15373" width="10.140625" style="59" customWidth="1"/>
    <col min="15374" max="15376" width="10" style="59" bestFit="1" customWidth="1"/>
    <col min="15377" max="15616" width="9.140625" style="59"/>
    <col min="15617" max="15617" width="11" style="59" customWidth="1"/>
    <col min="15618" max="15618" width="8.42578125" style="59" customWidth="1"/>
    <col min="15619" max="15619" width="11.140625" style="59" customWidth="1"/>
    <col min="15620" max="15620" width="10.140625" style="59" customWidth="1"/>
    <col min="15621" max="15621" width="10.28515625" style="59" customWidth="1"/>
    <col min="15622" max="15622" width="10.85546875" style="59" bestFit="1" customWidth="1"/>
    <col min="15623" max="15623" width="11.28515625" style="59" bestFit="1" customWidth="1"/>
    <col min="15624" max="15624" width="9.140625" style="59" bestFit="1" customWidth="1"/>
    <col min="15625" max="15625" width="11" style="59" customWidth="1"/>
    <col min="15626" max="15626" width="10.28515625" style="59" customWidth="1"/>
    <col min="15627" max="15628" width="9.140625" style="59"/>
    <col min="15629" max="15629" width="10.140625" style="59" customWidth="1"/>
    <col min="15630" max="15632" width="10" style="59" bestFit="1" customWidth="1"/>
    <col min="15633" max="15872" width="9.140625" style="59"/>
    <col min="15873" max="15873" width="11" style="59" customWidth="1"/>
    <col min="15874" max="15874" width="8.42578125" style="59" customWidth="1"/>
    <col min="15875" max="15875" width="11.140625" style="59" customWidth="1"/>
    <col min="15876" max="15876" width="10.140625" style="59" customWidth="1"/>
    <col min="15877" max="15877" width="10.28515625" style="59" customWidth="1"/>
    <col min="15878" max="15878" width="10.85546875" style="59" bestFit="1" customWidth="1"/>
    <col min="15879" max="15879" width="11.28515625" style="59" bestFit="1" customWidth="1"/>
    <col min="15880" max="15880" width="9.140625" style="59" bestFit="1" customWidth="1"/>
    <col min="15881" max="15881" width="11" style="59" customWidth="1"/>
    <col min="15882" max="15882" width="10.28515625" style="59" customWidth="1"/>
    <col min="15883" max="15884" width="9.140625" style="59"/>
    <col min="15885" max="15885" width="10.140625" style="59" customWidth="1"/>
    <col min="15886" max="15888" width="10" style="59" bestFit="1" customWidth="1"/>
    <col min="15889" max="16128" width="9.140625" style="59"/>
    <col min="16129" max="16129" width="11" style="59" customWidth="1"/>
    <col min="16130" max="16130" width="8.42578125" style="59" customWidth="1"/>
    <col min="16131" max="16131" width="11.140625" style="59" customWidth="1"/>
    <col min="16132" max="16132" width="10.140625" style="59" customWidth="1"/>
    <col min="16133" max="16133" width="10.28515625" style="59" customWidth="1"/>
    <col min="16134" max="16134" width="10.85546875" style="59" bestFit="1" customWidth="1"/>
    <col min="16135" max="16135" width="11.28515625" style="59" bestFit="1" customWidth="1"/>
    <col min="16136" max="16136" width="9.140625" style="59" bestFit="1" customWidth="1"/>
    <col min="16137" max="16137" width="11" style="59" customWidth="1"/>
    <col min="16138" max="16138" width="10.28515625" style="59" customWidth="1"/>
    <col min="16139" max="16140" width="9.140625" style="59"/>
    <col min="16141" max="16141" width="10.140625" style="59" customWidth="1"/>
    <col min="16142" max="16144" width="10" style="59" bestFit="1" customWidth="1"/>
    <col min="16145" max="16384" width="9.140625" style="59"/>
  </cols>
  <sheetData>
    <row r="3" spans="1:25" x14ac:dyDescent="0.15">
      <c r="A3" s="84" t="s">
        <v>152</v>
      </c>
      <c r="B3" s="85">
        <v>44561</v>
      </c>
    </row>
    <row r="4" spans="1:25" x14ac:dyDescent="0.15">
      <c r="C4" s="59" t="s">
        <v>153</v>
      </c>
    </row>
    <row r="5" spans="1:25" x14ac:dyDescent="0.15">
      <c r="C5" s="59" t="s">
        <v>154</v>
      </c>
      <c r="E5" s="59" t="s">
        <v>155</v>
      </c>
      <c r="H5" s="59" t="s">
        <v>156</v>
      </c>
      <c r="J5" s="59" t="s">
        <v>157</v>
      </c>
      <c r="M5" s="86" t="s">
        <v>158</v>
      </c>
    </row>
    <row r="6" spans="1:25" s="87" customFormat="1" x14ac:dyDescent="0.15">
      <c r="C6" s="88"/>
      <c r="J6" s="87" t="s">
        <v>159</v>
      </c>
      <c r="P6" s="89"/>
      <c r="R6" s="59"/>
      <c r="S6" s="59"/>
      <c r="T6" s="59"/>
      <c r="U6" s="59"/>
      <c r="V6" s="59"/>
      <c r="W6" s="59"/>
      <c r="X6" s="59"/>
      <c r="Y6" s="59"/>
    </row>
    <row r="7" spans="1:25" x14ac:dyDescent="0.15">
      <c r="A7" s="88"/>
      <c r="B7" s="88"/>
      <c r="D7" s="90"/>
      <c r="J7" s="91"/>
    </row>
    <row r="8" spans="1:25" s="87" customFormat="1" x14ac:dyDescent="0.15">
      <c r="C8" s="88"/>
      <c r="D8" s="88"/>
      <c r="E8" s="88"/>
      <c r="F8" s="88"/>
      <c r="G8" s="88"/>
      <c r="H8" s="88"/>
      <c r="N8" s="88"/>
      <c r="O8" s="88"/>
      <c r="P8" s="92"/>
      <c r="R8" s="59"/>
      <c r="S8" s="59"/>
      <c r="T8" s="59"/>
      <c r="U8" s="59"/>
      <c r="V8" s="59"/>
      <c r="W8" s="59"/>
      <c r="X8" s="59"/>
      <c r="Y8" s="59"/>
    </row>
    <row r="9" spans="1:25" x14ac:dyDescent="0.15">
      <c r="A9" s="93" t="s">
        <v>160</v>
      </c>
      <c r="B9" s="94" t="s">
        <v>132</v>
      </c>
      <c r="C9" s="95" t="s">
        <v>161</v>
      </c>
      <c r="D9" s="95" t="s">
        <v>162</v>
      </c>
      <c r="E9" s="95" t="s">
        <v>163</v>
      </c>
      <c r="F9" s="95" t="s">
        <v>164</v>
      </c>
      <c r="G9" s="93" t="s">
        <v>160</v>
      </c>
      <c r="H9" s="96" t="s">
        <v>132</v>
      </c>
      <c r="I9" s="97" t="s">
        <v>161</v>
      </c>
      <c r="J9" s="97" t="s">
        <v>162</v>
      </c>
      <c r="K9" s="97" t="s">
        <v>163</v>
      </c>
      <c r="L9" s="95" t="s">
        <v>164</v>
      </c>
    </row>
    <row r="10" spans="1:25" x14ac:dyDescent="0.15">
      <c r="A10" s="93" t="s">
        <v>736</v>
      </c>
      <c r="B10" s="97">
        <v>13859464.210000001</v>
      </c>
      <c r="C10" s="98">
        <v>13856929.029999999</v>
      </c>
      <c r="D10" s="98">
        <v>13856929.029999999</v>
      </c>
      <c r="E10" s="99">
        <v>13581390.300000001</v>
      </c>
      <c r="F10" s="99">
        <f>B10-C10</f>
        <v>2535.1800000015646</v>
      </c>
      <c r="G10" s="93" t="s">
        <v>731</v>
      </c>
      <c r="H10" s="97">
        <v>2227002.2599999998</v>
      </c>
      <c r="I10" s="45">
        <v>2226998.19</v>
      </c>
      <c r="J10" s="45">
        <v>2226998.19</v>
      </c>
      <c r="K10" s="100">
        <v>2226998.19</v>
      </c>
      <c r="L10" s="99">
        <f>H10-I10</f>
        <v>4.0699999998323619</v>
      </c>
    </row>
    <row r="11" spans="1:25" x14ac:dyDescent="0.15">
      <c r="A11" s="93" t="s">
        <v>737</v>
      </c>
      <c r="B11" s="97">
        <v>3602780.61</v>
      </c>
      <c r="C11" s="98">
        <v>3602774.18</v>
      </c>
      <c r="D11" s="98">
        <v>3602774.18</v>
      </c>
      <c r="E11" s="98">
        <v>3400258.03</v>
      </c>
      <c r="F11" s="99">
        <f>B11-C11</f>
        <v>6.4299999997019768</v>
      </c>
      <c r="G11" s="93" t="s">
        <v>732</v>
      </c>
      <c r="H11" s="97">
        <v>816562.03</v>
      </c>
      <c r="I11" s="45">
        <v>816556.93</v>
      </c>
      <c r="J11" s="45">
        <v>816556.93</v>
      </c>
      <c r="K11" s="100">
        <v>816445.28</v>
      </c>
      <c r="L11" s="99">
        <f>H11-I11</f>
        <v>5.0999999999767169</v>
      </c>
    </row>
    <row r="12" spans="1:25" x14ac:dyDescent="0.15">
      <c r="A12" s="95" t="s">
        <v>738</v>
      </c>
      <c r="B12" s="101">
        <v>1351709.37</v>
      </c>
      <c r="C12" s="98">
        <v>1351705.2</v>
      </c>
      <c r="D12" s="98">
        <v>1351705.2</v>
      </c>
      <c r="E12" s="99">
        <v>1351705.2</v>
      </c>
      <c r="F12" s="99">
        <f>B12-C12</f>
        <v>4.1700000001583248</v>
      </c>
      <c r="G12" s="95" t="s">
        <v>733</v>
      </c>
      <c r="H12" s="97">
        <f>1567806.86</f>
        <v>1567806.86</v>
      </c>
      <c r="I12" s="45">
        <f>1567799.55</f>
        <v>1567799.55</v>
      </c>
      <c r="J12" s="45">
        <f>1567799.55</f>
        <v>1567799.55</v>
      </c>
      <c r="K12" s="100">
        <v>1529132.33</v>
      </c>
      <c r="L12" s="99">
        <f>H12-I12</f>
        <v>7.3100000000558794</v>
      </c>
    </row>
    <row r="13" spans="1:25" x14ac:dyDescent="0.15">
      <c r="A13" s="95" t="s">
        <v>739</v>
      </c>
      <c r="B13" s="101">
        <f>1351709.37</f>
        <v>1351709.37</v>
      </c>
      <c r="C13" s="98">
        <v>1351705.2</v>
      </c>
      <c r="D13" s="98">
        <v>1351705.2</v>
      </c>
      <c r="E13" s="99">
        <v>1351705.2</v>
      </c>
      <c r="F13" s="99">
        <f>B13-C13</f>
        <v>4.1700000001583248</v>
      </c>
      <c r="G13" s="95" t="s">
        <v>734</v>
      </c>
      <c r="H13" s="97">
        <v>136885.97</v>
      </c>
      <c r="I13" s="45">
        <v>136882.29999999999</v>
      </c>
      <c r="J13" s="45">
        <v>136882.29999999999</v>
      </c>
      <c r="K13" s="100">
        <v>136882.29999999999</v>
      </c>
      <c r="L13" s="99">
        <f>H13-I13</f>
        <v>3.6700000000128057</v>
      </c>
    </row>
    <row r="14" spans="1:25" x14ac:dyDescent="0.15">
      <c r="A14" s="95" t="s">
        <v>740</v>
      </c>
      <c r="B14" s="101">
        <v>436027.61</v>
      </c>
      <c r="C14" s="98">
        <v>436022.78</v>
      </c>
      <c r="D14" s="98">
        <v>436022.78</v>
      </c>
      <c r="E14" s="99">
        <v>436022.78</v>
      </c>
      <c r="F14" s="99">
        <f>B14-C14</f>
        <v>4.8299999999580905</v>
      </c>
      <c r="G14" s="117" t="s">
        <v>2650</v>
      </c>
      <c r="H14" s="97">
        <v>327330</v>
      </c>
      <c r="I14" s="45">
        <v>326511.12</v>
      </c>
      <c r="J14" s="45"/>
      <c r="K14" s="100"/>
      <c r="L14" s="99">
        <f>H14-I14</f>
        <v>818.88000000000466</v>
      </c>
    </row>
    <row r="15" spans="1:25" s="107" customFormat="1" x14ac:dyDescent="0.15">
      <c r="A15" s="102" t="s">
        <v>165</v>
      </c>
      <c r="B15" s="103">
        <f>SUM(B10:B14)</f>
        <v>20601691.170000002</v>
      </c>
      <c r="C15" s="104">
        <f>SUM(C10:C14)</f>
        <v>20599136.390000001</v>
      </c>
      <c r="D15" s="104">
        <f>SUM(D10:D14)</f>
        <v>20599136.390000001</v>
      </c>
      <c r="E15" s="105">
        <f>SUM(E10:E14)</f>
        <v>20121081.510000002</v>
      </c>
      <c r="F15" s="103">
        <f>SUM(F10:F14)</f>
        <v>2554.7800000015413</v>
      </c>
      <c r="G15" s="102" t="s">
        <v>166</v>
      </c>
      <c r="H15" s="103">
        <f>SUM(H10:H14)</f>
        <v>5075587.12</v>
      </c>
      <c r="I15" s="104">
        <f>SUM(I10:I14)</f>
        <v>5074748.09</v>
      </c>
      <c r="J15" s="104">
        <f>SUM(J10:J14)</f>
        <v>4748236.97</v>
      </c>
      <c r="K15" s="106">
        <f>SUM(K10:K14)</f>
        <v>4709458.0999999996</v>
      </c>
      <c r="L15" s="103">
        <f>SUM(L10:L14)</f>
        <v>839.02999999988242</v>
      </c>
    </row>
    <row r="16" spans="1:25" s="107" customFormat="1" x14ac:dyDescent="0.15">
      <c r="A16" s="108"/>
      <c r="B16" s="109"/>
      <c r="C16" s="110"/>
      <c r="D16" s="110"/>
      <c r="E16" s="111"/>
      <c r="F16" s="109"/>
      <c r="G16" s="108"/>
      <c r="H16" s="109"/>
      <c r="I16" s="110"/>
      <c r="J16" s="110"/>
      <c r="K16" s="111"/>
      <c r="L16" s="109"/>
      <c r="M16" s="84"/>
      <c r="N16" s="112"/>
      <c r="O16" s="112"/>
      <c r="P16" s="112"/>
    </row>
    <row r="17" spans="1:16" s="107" customFormat="1" x14ac:dyDescent="0.15">
      <c r="A17" s="108"/>
      <c r="C17" s="109" t="s">
        <v>167</v>
      </c>
      <c r="D17" s="110">
        <f>D15</f>
        <v>20599136.390000001</v>
      </c>
      <c r="E17" s="113">
        <f>D17/E37</f>
        <v>0.81267341185366915</v>
      </c>
      <c r="F17" s="109"/>
      <c r="G17" s="108"/>
      <c r="H17" s="109"/>
      <c r="I17" s="110" t="s">
        <v>168</v>
      </c>
      <c r="J17" s="110">
        <f>J15</f>
        <v>4748236.97</v>
      </c>
      <c r="K17" s="113">
        <f>J17/E37</f>
        <v>0.18732658814633091</v>
      </c>
      <c r="L17" s="109"/>
      <c r="M17" s="84"/>
      <c r="N17" s="112"/>
      <c r="O17" s="112"/>
      <c r="P17" s="112"/>
    </row>
    <row r="18" spans="1:16" s="107" customFormat="1" x14ac:dyDescent="0.15">
      <c r="A18" s="108"/>
      <c r="B18" s="109"/>
      <c r="C18" s="110"/>
      <c r="D18" s="110"/>
      <c r="E18" s="111"/>
      <c r="F18" s="109"/>
      <c r="G18" s="108"/>
      <c r="H18" s="109"/>
      <c r="I18" s="110"/>
      <c r="J18" s="110"/>
      <c r="K18" s="111"/>
      <c r="L18" s="109"/>
      <c r="M18" s="84"/>
      <c r="N18" s="112"/>
      <c r="O18" s="112"/>
      <c r="P18" s="112"/>
    </row>
    <row r="19" spans="1:16" x14ac:dyDescent="0.15">
      <c r="A19" s="88" t="s">
        <v>736</v>
      </c>
      <c r="B19" s="97">
        <v>1268601.19</v>
      </c>
      <c r="C19" s="98">
        <v>469117.58</v>
      </c>
      <c r="D19" s="98">
        <v>469117.58</v>
      </c>
      <c r="E19" s="98">
        <v>257808.77</v>
      </c>
      <c r="F19" s="99">
        <f t="shared" ref="F19:F24" si="0">B19-C19</f>
        <v>799483.60999999987</v>
      </c>
      <c r="G19" s="93" t="s">
        <v>731</v>
      </c>
      <c r="H19" s="97">
        <v>3351965.03</v>
      </c>
      <c r="I19" s="45">
        <v>2644521.9</v>
      </c>
      <c r="J19" s="45">
        <v>2644521.9</v>
      </c>
      <c r="K19" s="100">
        <v>2466859.7000000002</v>
      </c>
      <c r="L19" s="99">
        <f t="shared" ref="L19:L24" si="1">H19-I19</f>
        <v>707443.12999999989</v>
      </c>
    </row>
    <row r="20" spans="1:16" x14ac:dyDescent="0.15">
      <c r="A20" s="88" t="s">
        <v>737</v>
      </c>
      <c r="B20" s="97">
        <v>1084651.67</v>
      </c>
      <c r="C20" s="98">
        <v>444771.91</v>
      </c>
      <c r="D20" s="98">
        <v>444771.91</v>
      </c>
      <c r="E20" s="98">
        <v>393731.48</v>
      </c>
      <c r="F20" s="99">
        <f t="shared" si="0"/>
        <v>639879.76</v>
      </c>
      <c r="G20" s="93" t="s">
        <v>732</v>
      </c>
      <c r="H20" s="97">
        <f>611731.6</f>
        <v>611731.6</v>
      </c>
      <c r="I20" s="45">
        <v>146465.19</v>
      </c>
      <c r="J20" s="45">
        <v>146465.19</v>
      </c>
      <c r="K20" s="100">
        <v>131424.72</v>
      </c>
      <c r="L20" s="99">
        <f t="shared" si="1"/>
        <v>465266.41</v>
      </c>
    </row>
    <row r="21" spans="1:16" x14ac:dyDescent="0.15">
      <c r="A21" s="87" t="s">
        <v>738</v>
      </c>
      <c r="B21" s="101">
        <v>885868.11</v>
      </c>
      <c r="C21" s="98">
        <v>664665.07999999996</v>
      </c>
      <c r="D21" s="98">
        <v>664665.07999999996</v>
      </c>
      <c r="E21" s="98">
        <v>446839.5</v>
      </c>
      <c r="F21" s="99">
        <f t="shared" si="0"/>
        <v>221203.03000000003</v>
      </c>
      <c r="G21" s="95" t="s">
        <v>733</v>
      </c>
      <c r="H21" s="97">
        <v>1632619.83</v>
      </c>
      <c r="I21" s="45">
        <v>295782.34999999998</v>
      </c>
      <c r="J21" s="45">
        <v>295782.34999999998</v>
      </c>
      <c r="K21" s="100">
        <f>245986.71</f>
        <v>245986.71</v>
      </c>
      <c r="L21" s="99">
        <f t="shared" si="1"/>
        <v>1336837.48</v>
      </c>
    </row>
    <row r="22" spans="1:16" x14ac:dyDescent="0.15">
      <c r="A22" s="87" t="s">
        <v>740</v>
      </c>
      <c r="B22" s="101">
        <v>90533.96</v>
      </c>
      <c r="C22" s="98">
        <v>38185.68</v>
      </c>
      <c r="D22" s="98">
        <v>38185.68</v>
      </c>
      <c r="E22" s="98">
        <v>30832.400000000001</v>
      </c>
      <c r="F22" s="99">
        <f t="shared" si="0"/>
        <v>52348.280000000006</v>
      </c>
      <c r="G22" s="93" t="s">
        <v>735</v>
      </c>
      <c r="H22" s="97">
        <v>44311.27</v>
      </c>
      <c r="I22" s="45">
        <v>11432.96</v>
      </c>
      <c r="J22" s="45">
        <v>11432.96</v>
      </c>
      <c r="K22" s="100">
        <v>8412.18</v>
      </c>
      <c r="L22" s="99">
        <f t="shared" si="1"/>
        <v>32878.31</v>
      </c>
    </row>
    <row r="23" spans="1:16" x14ac:dyDescent="0.15">
      <c r="A23" s="87" t="s">
        <v>497</v>
      </c>
      <c r="B23" s="432">
        <v>387073.04</v>
      </c>
      <c r="C23" s="257">
        <v>90222.99</v>
      </c>
      <c r="D23" s="257">
        <v>90222.99</v>
      </c>
      <c r="E23" s="257">
        <v>69093.3</v>
      </c>
      <c r="F23" s="99">
        <f t="shared" si="0"/>
        <v>296850.05</v>
      </c>
      <c r="G23" s="93" t="s">
        <v>876</v>
      </c>
      <c r="H23" s="97">
        <v>297327.65999999997</v>
      </c>
      <c r="I23" s="45">
        <v>296357.49</v>
      </c>
      <c r="J23" s="45">
        <v>296357.49</v>
      </c>
      <c r="K23" s="100">
        <v>294350.64</v>
      </c>
      <c r="L23" s="99">
        <f t="shared" si="1"/>
        <v>970.1699999999837</v>
      </c>
    </row>
    <row r="24" spans="1:16" x14ac:dyDescent="0.15">
      <c r="A24" s="95" t="s">
        <v>498</v>
      </c>
      <c r="B24" s="98">
        <v>3080</v>
      </c>
      <c r="C24" s="232"/>
      <c r="D24" s="232"/>
      <c r="E24" s="232"/>
      <c r="F24" s="99">
        <f t="shared" si="0"/>
        <v>3080</v>
      </c>
      <c r="G24" s="95" t="s">
        <v>170</v>
      </c>
      <c r="H24" s="98">
        <v>2.77</v>
      </c>
      <c r="I24" s="98"/>
      <c r="J24" s="98"/>
      <c r="K24" s="98"/>
      <c r="L24" s="99">
        <f t="shared" si="1"/>
        <v>2.77</v>
      </c>
    </row>
    <row r="25" spans="1:16" x14ac:dyDescent="0.15">
      <c r="A25" s="117"/>
      <c r="B25" s="60"/>
      <c r="C25" s="60"/>
      <c r="D25" s="60"/>
      <c r="E25" s="60"/>
      <c r="F25" s="99">
        <f>B25-C25</f>
        <v>0</v>
      </c>
      <c r="G25" s="117" t="s">
        <v>2649</v>
      </c>
      <c r="H25" s="98">
        <v>1401602.8</v>
      </c>
      <c r="I25" s="98">
        <v>1345272.88</v>
      </c>
      <c r="J25" s="98">
        <v>1345272.88</v>
      </c>
      <c r="K25" s="98">
        <v>1321801.42</v>
      </c>
      <c r="L25" s="99">
        <f>H25-I25</f>
        <v>56329.920000000158</v>
      </c>
    </row>
    <row r="26" spans="1:16" x14ac:dyDescent="0.15">
      <c r="A26" s="114" t="s">
        <v>169</v>
      </c>
      <c r="B26" s="103">
        <f>SUM(B19:B25)</f>
        <v>3719807.9699999997</v>
      </c>
      <c r="C26" s="103">
        <f t="shared" ref="C26:F26" si="2">SUM(C19:C25)</f>
        <v>1706963.2399999998</v>
      </c>
      <c r="D26" s="103">
        <f>SUM(D19:D25)</f>
        <v>1706963.2399999998</v>
      </c>
      <c r="E26" s="103">
        <f t="shared" si="2"/>
        <v>1198305.45</v>
      </c>
      <c r="F26" s="103">
        <f t="shared" si="2"/>
        <v>2012844.73</v>
      </c>
      <c r="G26" s="114" t="s">
        <v>171</v>
      </c>
      <c r="H26" s="103">
        <f>SUM(H19:H25)</f>
        <v>7339560.959999999</v>
      </c>
      <c r="I26" s="104">
        <f>SUM(I19:I24)</f>
        <v>3394559.8899999997</v>
      </c>
      <c r="J26" s="104">
        <f>SUM(J19:J24)</f>
        <v>3394559.8899999997</v>
      </c>
      <c r="K26" s="103">
        <f>SUM(K19:K24)</f>
        <v>3147033.9500000007</v>
      </c>
      <c r="L26" s="103">
        <f>SUM(L19:L24)</f>
        <v>2543398.2699999996</v>
      </c>
    </row>
    <row r="27" spans="1:16" x14ac:dyDescent="0.15">
      <c r="C27" s="115"/>
      <c r="D27" s="115"/>
      <c r="E27" s="115"/>
      <c r="F27" s="115"/>
      <c r="G27" s="116"/>
      <c r="H27" s="116"/>
      <c r="I27" s="115"/>
      <c r="J27" s="115"/>
      <c r="K27" s="115"/>
      <c r="L27" s="115"/>
    </row>
    <row r="28" spans="1:16" x14ac:dyDescent="0.15">
      <c r="B28" s="60"/>
      <c r="C28" s="86" t="s">
        <v>496</v>
      </c>
      <c r="D28" s="115">
        <f>D26</f>
        <v>1706963.2399999998</v>
      </c>
      <c r="G28" s="117"/>
    </row>
    <row r="31" spans="1:16" x14ac:dyDescent="0.15">
      <c r="A31" s="59" t="s">
        <v>172</v>
      </c>
      <c r="B31" s="87" t="s">
        <v>173</v>
      </c>
      <c r="C31" s="59" t="s">
        <v>174</v>
      </c>
      <c r="D31" s="59" t="s">
        <v>175</v>
      </c>
      <c r="E31" s="59" t="s">
        <v>176</v>
      </c>
      <c r="F31" s="59" t="s">
        <v>177</v>
      </c>
      <c r="H31" s="95" t="s">
        <v>172</v>
      </c>
      <c r="I31" s="95" t="s">
        <v>161</v>
      </c>
      <c r="J31" s="95" t="s">
        <v>162</v>
      </c>
      <c r="K31" s="95" t="s">
        <v>163</v>
      </c>
    </row>
    <row r="32" spans="1:16" x14ac:dyDescent="0.15">
      <c r="A32" s="59" t="s">
        <v>178</v>
      </c>
      <c r="B32" s="59">
        <v>2221</v>
      </c>
      <c r="C32" s="118">
        <f>B32/B37</f>
        <v>0.58217562254259503</v>
      </c>
      <c r="D32" s="61">
        <f>C32*J34</f>
        <v>17726605.269800786</v>
      </c>
      <c r="E32" s="60">
        <f>D10+J10</f>
        <v>16083927.219999999</v>
      </c>
      <c r="F32" s="119">
        <f>D32-E32</f>
        <v>1642678.0498007871</v>
      </c>
      <c r="H32" s="95" t="s">
        <v>179</v>
      </c>
      <c r="I32" s="98">
        <f>C15+I15</f>
        <v>25673884.48</v>
      </c>
      <c r="J32" s="98">
        <f>D15+J15</f>
        <v>25347373.359999999</v>
      </c>
      <c r="K32" s="98">
        <f>E15+K15</f>
        <v>24830539.609999999</v>
      </c>
      <c r="N32" s="60"/>
    </row>
    <row r="33" spans="1:14" x14ac:dyDescent="0.15">
      <c r="A33" s="59" t="s">
        <v>180</v>
      </c>
      <c r="B33" s="59">
        <v>648</v>
      </c>
      <c r="C33" s="118">
        <f>B33/B37</f>
        <v>0.16985583224115333</v>
      </c>
      <c r="D33" s="61">
        <f>C33*J34</f>
        <v>5171922.6541336821</v>
      </c>
      <c r="E33" s="60">
        <f>D11+J11</f>
        <v>4419331.1100000003</v>
      </c>
      <c r="F33" s="119">
        <f>D33-E33</f>
        <v>752591.5441336818</v>
      </c>
      <c r="H33" s="95" t="s">
        <v>181</v>
      </c>
      <c r="I33" s="98">
        <f>C26+I26</f>
        <v>5101523.129999999</v>
      </c>
      <c r="J33" s="98">
        <f>D26+J26</f>
        <v>5101523.129999999</v>
      </c>
      <c r="K33" s="98">
        <f>E26+K26</f>
        <v>4345339.4000000004</v>
      </c>
      <c r="N33" s="61"/>
    </row>
    <row r="34" spans="1:14" x14ac:dyDescent="0.15">
      <c r="A34" s="59" t="s">
        <v>182</v>
      </c>
      <c r="B34" s="59">
        <v>480</v>
      </c>
      <c r="C34" s="118">
        <f>B34/B37</f>
        <v>0.12581913499344691</v>
      </c>
      <c r="D34" s="61">
        <f>C34*J34</f>
        <v>3831053.8178768014</v>
      </c>
      <c r="E34" s="60">
        <f>D12+J12</f>
        <v>2919504.75</v>
      </c>
      <c r="F34" s="119">
        <f>D34-E34</f>
        <v>911549.06787680136</v>
      </c>
      <c r="H34" s="120" t="s">
        <v>183</v>
      </c>
      <c r="I34" s="121">
        <f>I32+I33</f>
        <v>30775407.609999999</v>
      </c>
      <c r="J34" s="121">
        <f>J32+J33</f>
        <v>30448896.489999998</v>
      </c>
      <c r="K34" s="98">
        <f>K32+K33</f>
        <v>29175879.009999998</v>
      </c>
    </row>
    <row r="35" spans="1:14" x14ac:dyDescent="0.15">
      <c r="A35" s="59" t="s">
        <v>184</v>
      </c>
      <c r="B35" s="59">
        <v>143</v>
      </c>
      <c r="C35" s="118">
        <f>B35/B37</f>
        <v>3.7483617300131063E-2</v>
      </c>
      <c r="D35" s="61">
        <f>C35*J34</f>
        <v>1141334.7832424638</v>
      </c>
      <c r="E35" s="60">
        <f>D13+J13</f>
        <v>1488587.5</v>
      </c>
      <c r="F35" s="119">
        <f>D35-E35</f>
        <v>-347252.71675753617</v>
      </c>
      <c r="J35" s="119"/>
    </row>
    <row r="36" spans="1:14" x14ac:dyDescent="0.15">
      <c r="A36" s="59" t="s">
        <v>185</v>
      </c>
      <c r="B36" s="59">
        <v>323</v>
      </c>
      <c r="C36" s="118">
        <f>B36/B37</f>
        <v>8.4665792922673663E-2</v>
      </c>
      <c r="D36" s="61">
        <f>C36*J34</f>
        <v>2577979.9649462649</v>
      </c>
      <c r="E36" s="60">
        <f>D14+J14</f>
        <v>436022.78</v>
      </c>
      <c r="F36" s="119">
        <f>D36-E36</f>
        <v>2141957.1849462651</v>
      </c>
    </row>
    <row r="37" spans="1:14" x14ac:dyDescent="0.15">
      <c r="A37" s="122" t="s">
        <v>186</v>
      </c>
      <c r="B37" s="123">
        <f>SUM(B32:B36)</f>
        <v>3815</v>
      </c>
      <c r="C37" s="124">
        <f>SUM(C32:C36)</f>
        <v>0.99999999999999989</v>
      </c>
      <c r="D37" s="125">
        <f>SUM(D32:D36)</f>
        <v>30448896.489999998</v>
      </c>
      <c r="E37" s="126">
        <f>SUM(E32:E36)</f>
        <v>25347373.359999999</v>
      </c>
      <c r="F37" s="126">
        <f>SUM(F32:F36)</f>
        <v>5101523.129999999</v>
      </c>
      <c r="G37" s="119"/>
      <c r="K37" s="60"/>
    </row>
    <row r="38" spans="1:14" x14ac:dyDescent="0.15">
      <c r="D38" s="127">
        <f>SUM(E38:F38)</f>
        <v>1</v>
      </c>
      <c r="E38" s="128">
        <f>E37/D37</f>
        <v>0.83245622278378995</v>
      </c>
      <c r="F38" s="128">
        <f>F37/D37</f>
        <v>0.16754377721621003</v>
      </c>
      <c r="G38" s="119"/>
      <c r="H38" s="119"/>
    </row>
    <row r="39" spans="1:14" x14ac:dyDescent="0.15">
      <c r="G39" s="59" t="s">
        <v>187</v>
      </c>
      <c r="H39" s="59" t="s">
        <v>188</v>
      </c>
      <c r="K39" s="60"/>
    </row>
    <row r="40" spans="1:14" x14ac:dyDescent="0.15">
      <c r="A40" s="59" t="s">
        <v>189</v>
      </c>
      <c r="B40" s="61">
        <f>Míni!D20</f>
        <v>26879636.73</v>
      </c>
      <c r="C40" s="128">
        <f>D17/B40</f>
        <v>0.76634727607793829</v>
      </c>
      <c r="D40" s="59" t="s">
        <v>492</v>
      </c>
      <c r="G40" s="60">
        <f>D17</f>
        <v>20599136.390000001</v>
      </c>
      <c r="H40" s="129">
        <f>E17</f>
        <v>0.81267341185366915</v>
      </c>
    </row>
    <row r="41" spans="1:14" x14ac:dyDescent="0.15">
      <c r="B41" s="60"/>
      <c r="C41" s="128">
        <f>J17/B40</f>
        <v>0.17664810792255076</v>
      </c>
      <c r="D41" s="59" t="s">
        <v>696</v>
      </c>
      <c r="G41" s="60">
        <f>J17</f>
        <v>4748236.97</v>
      </c>
      <c r="H41" s="129">
        <f>K17</f>
        <v>0.18732658814633091</v>
      </c>
      <c r="K41" s="63"/>
      <c r="L41" s="63"/>
    </row>
    <row r="42" spans="1:14" x14ac:dyDescent="0.15">
      <c r="B42" s="130"/>
      <c r="C42" s="133">
        <f>SUM(C40:C41)</f>
        <v>0.94299538400048899</v>
      </c>
      <c r="D42" s="131"/>
      <c r="E42" s="131"/>
      <c r="F42" s="132" t="s">
        <v>190</v>
      </c>
      <c r="G42" s="131">
        <f>SUM(G40:G41)</f>
        <v>25347373.359999999</v>
      </c>
      <c r="H42" s="133">
        <f>SUM(H40:H41)</f>
        <v>1</v>
      </c>
      <c r="K42" s="63"/>
      <c r="L42" s="63"/>
    </row>
    <row r="43" spans="1:14" x14ac:dyDescent="0.15">
      <c r="B43" s="84"/>
      <c r="C43" s="112"/>
      <c r="D43" s="112"/>
      <c r="E43" s="112"/>
      <c r="K43" s="63"/>
      <c r="L43" s="63"/>
    </row>
    <row r="44" spans="1:14" x14ac:dyDescent="0.15">
      <c r="B44" s="84"/>
      <c r="C44" s="112"/>
      <c r="D44" s="112"/>
      <c r="E44" s="112"/>
      <c r="K44" s="63"/>
      <c r="L44" s="63"/>
    </row>
    <row r="45" spans="1:14" x14ac:dyDescent="0.15">
      <c r="B45" s="84"/>
      <c r="C45" s="112"/>
      <c r="D45" s="112"/>
      <c r="E45" s="112"/>
      <c r="K45" s="63"/>
      <c r="L45" s="63"/>
    </row>
    <row r="46" spans="1:14" x14ac:dyDescent="0.15">
      <c r="B46" s="84"/>
      <c r="C46" s="112"/>
      <c r="D46" s="112"/>
      <c r="E46" s="112"/>
      <c r="K46" s="63"/>
      <c r="L46" s="63"/>
    </row>
    <row r="47" spans="1:14" x14ac:dyDescent="0.15">
      <c r="B47" s="84"/>
      <c r="C47" s="112"/>
      <c r="D47" s="112"/>
      <c r="E47" s="112"/>
      <c r="K47" s="63"/>
      <c r="L47" s="63"/>
    </row>
    <row r="48" spans="1:14" x14ac:dyDescent="0.15">
      <c r="B48" s="84"/>
      <c r="C48" s="112"/>
      <c r="D48" s="112"/>
      <c r="E48" s="112"/>
      <c r="K48" s="63"/>
      <c r="L48" s="63"/>
    </row>
    <row r="49" spans="1:10" x14ac:dyDescent="0.15">
      <c r="A49" s="59" t="s">
        <v>99</v>
      </c>
      <c r="E49" s="59" t="s">
        <v>100</v>
      </c>
      <c r="J49" s="59" t="s">
        <v>101</v>
      </c>
    </row>
    <row r="50" spans="1:10" x14ac:dyDescent="0.15">
      <c r="A50" s="59" t="s">
        <v>102</v>
      </c>
      <c r="E50" s="59" t="s">
        <v>103</v>
      </c>
      <c r="J50" s="59" t="s">
        <v>104</v>
      </c>
    </row>
    <row r="55" spans="1:10" ht="11.25" x14ac:dyDescent="0.2">
      <c r="A55" s="2"/>
    </row>
    <row r="56" spans="1:10" ht="11.25" x14ac:dyDescent="0.2">
      <c r="A56" s="498"/>
    </row>
    <row r="57" spans="1:10" ht="11.25" x14ac:dyDescent="0.2">
      <c r="A57" s="498"/>
    </row>
    <row r="58" spans="1:10" ht="11.25" x14ac:dyDescent="0.2">
      <c r="A58" s="498"/>
    </row>
    <row r="59" spans="1:10" ht="11.25" x14ac:dyDescent="0.2">
      <c r="A59" s="498"/>
    </row>
    <row r="60" spans="1:10" ht="11.25" x14ac:dyDescent="0.2">
      <c r="A60" s="498"/>
    </row>
    <row r="61" spans="1:10" ht="11.25" x14ac:dyDescent="0.2">
      <c r="A61" s="498"/>
    </row>
    <row r="62" spans="1:10" ht="11.25" x14ac:dyDescent="0.2">
      <c r="A62" s="498"/>
    </row>
    <row r="63" spans="1:10" ht="11.25" x14ac:dyDescent="0.2">
      <c r="A63" s="498"/>
    </row>
    <row r="64" spans="1:10" ht="11.25" x14ac:dyDescent="0.2">
      <c r="A64" s="498"/>
    </row>
    <row r="65" spans="1:1" ht="11.25" x14ac:dyDescent="0.2">
      <c r="A65" s="498"/>
    </row>
    <row r="66" spans="1:1" ht="11.25" x14ac:dyDescent="0.2">
      <c r="A66" s="498"/>
    </row>
    <row r="67" spans="1:1" ht="11.25" x14ac:dyDescent="0.2">
      <c r="A67" s="498"/>
    </row>
    <row r="68" spans="1:1" ht="11.25" x14ac:dyDescent="0.2">
      <c r="A68" s="498"/>
    </row>
    <row r="69" spans="1:1" ht="11.25" x14ac:dyDescent="0.2">
      <c r="A69" s="498"/>
    </row>
    <row r="70" spans="1:1" ht="11.25" x14ac:dyDescent="0.2">
      <c r="A70" s="498"/>
    </row>
    <row r="71" spans="1:1" ht="11.25" x14ac:dyDescent="0.2">
      <c r="A71" s="2"/>
    </row>
    <row r="72" spans="1:1" ht="11.25" x14ac:dyDescent="0.2">
      <c r="A72" s="498"/>
    </row>
    <row r="73" spans="1:1" ht="11.25" x14ac:dyDescent="0.2">
      <c r="A73" s="498"/>
    </row>
    <row r="74" spans="1:1" ht="11.25" x14ac:dyDescent="0.2">
      <c r="A74" s="498"/>
    </row>
    <row r="75" spans="1:1" ht="11.25" x14ac:dyDescent="0.2">
      <c r="A75" s="498"/>
    </row>
    <row r="76" spans="1:1" ht="11.25" x14ac:dyDescent="0.2">
      <c r="A76" s="498"/>
    </row>
    <row r="77" spans="1:1" ht="11.25" x14ac:dyDescent="0.2">
      <c r="A77" s="498"/>
    </row>
    <row r="78" spans="1:1" ht="11.25" x14ac:dyDescent="0.2">
      <c r="A78" s="498"/>
    </row>
    <row r="79" spans="1:1" ht="11.25" x14ac:dyDescent="0.2">
      <c r="A79" s="2"/>
    </row>
    <row r="80" spans="1:1" ht="11.25" x14ac:dyDescent="0.2">
      <c r="A80" s="498"/>
    </row>
    <row r="81" spans="1:1" ht="11.25" x14ac:dyDescent="0.2">
      <c r="A81" s="498"/>
    </row>
    <row r="82" spans="1:1" ht="11.25" x14ac:dyDescent="0.2">
      <c r="A82" s="498"/>
    </row>
    <row r="83" spans="1:1" ht="11.25" x14ac:dyDescent="0.2">
      <c r="A83" s="498"/>
    </row>
    <row r="84" spans="1:1" ht="11.25" x14ac:dyDescent="0.2">
      <c r="A84" s="498"/>
    </row>
    <row r="85" spans="1:1" ht="11.25" x14ac:dyDescent="0.2">
      <c r="A85" s="498"/>
    </row>
    <row r="86" spans="1:1" ht="11.25" x14ac:dyDescent="0.2">
      <c r="A86" s="2"/>
    </row>
    <row r="87" spans="1:1" ht="11.25" x14ac:dyDescent="0.2">
      <c r="A87" s="498"/>
    </row>
    <row r="88" spans="1:1" ht="11.25" x14ac:dyDescent="0.2">
      <c r="A88" s="498"/>
    </row>
    <row r="89" spans="1:1" ht="11.25" x14ac:dyDescent="0.2">
      <c r="A89" s="498"/>
    </row>
    <row r="90" spans="1:1" ht="11.25" x14ac:dyDescent="0.2">
      <c r="A90" s="498"/>
    </row>
    <row r="91" spans="1:1" ht="11.25" x14ac:dyDescent="0.2">
      <c r="A91" s="498"/>
    </row>
    <row r="92" spans="1:1" ht="11.25" x14ac:dyDescent="0.2">
      <c r="A92" s="2"/>
    </row>
    <row r="93" spans="1:1" ht="11.25" x14ac:dyDescent="0.2">
      <c r="A93" s="498"/>
    </row>
    <row r="94" spans="1:1" ht="11.25" x14ac:dyDescent="0.2">
      <c r="A94" s="498"/>
    </row>
    <row r="95" spans="1:1" ht="11.25" x14ac:dyDescent="0.2">
      <c r="A95" s="2"/>
    </row>
    <row r="96" spans="1:1" ht="11.25" x14ac:dyDescent="0.2">
      <c r="A96" s="498"/>
    </row>
    <row r="97" spans="1:1" ht="11.25" x14ac:dyDescent="0.2">
      <c r="A97" s="498"/>
    </row>
    <row r="98" spans="1:1" ht="11.25" x14ac:dyDescent="0.2">
      <c r="A98" s="498"/>
    </row>
    <row r="99" spans="1:1" ht="11.25" x14ac:dyDescent="0.2">
      <c r="A99" s="498"/>
    </row>
    <row r="100" spans="1:1" ht="11.25" x14ac:dyDescent="0.2">
      <c r="A100" s="2"/>
    </row>
    <row r="101" spans="1:1" ht="11.25" x14ac:dyDescent="0.2">
      <c r="A101" s="498"/>
    </row>
    <row r="102" spans="1:1" ht="11.25" x14ac:dyDescent="0.2">
      <c r="A102" s="498"/>
    </row>
    <row r="103" spans="1:1" ht="11.25" x14ac:dyDescent="0.2">
      <c r="A103" s="498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93"/>
  <sheetViews>
    <sheetView workbookViewId="0">
      <selection activeCell="A7" sqref="A1:XFD1048576"/>
    </sheetView>
  </sheetViews>
  <sheetFormatPr defaultRowHeight="15" x14ac:dyDescent="0.25"/>
  <cols>
    <col min="4" max="5" width="12.7109375" customWidth="1"/>
    <col min="6" max="6" width="10.7109375" customWidth="1"/>
    <col min="7" max="9" width="12.7109375" customWidth="1"/>
    <col min="10" max="11" width="11.7109375" customWidth="1"/>
    <col min="12" max="12" width="13.7109375" customWidth="1"/>
  </cols>
  <sheetData>
    <row r="1" spans="1:12" x14ac:dyDescent="0.25">
      <c r="A1" s="369" t="s">
        <v>500</v>
      </c>
    </row>
    <row r="2" spans="1:12" x14ac:dyDescent="0.25">
      <c r="A2" s="369" t="s">
        <v>1095</v>
      </c>
    </row>
    <row r="4" spans="1:12" x14ac:dyDescent="0.25">
      <c r="A4" s="369" t="s">
        <v>501</v>
      </c>
      <c r="C4" s="540" t="s">
        <v>502</v>
      </c>
    </row>
    <row r="6" spans="1:12" x14ac:dyDescent="0.25">
      <c r="D6" s="715" t="s">
        <v>503</v>
      </c>
      <c r="E6" s="715" t="s">
        <v>504</v>
      </c>
      <c r="F6" s="715" t="s">
        <v>505</v>
      </c>
      <c r="G6" s="715" t="s">
        <v>506</v>
      </c>
      <c r="H6" s="715" t="s">
        <v>742</v>
      </c>
      <c r="I6" s="715" t="s">
        <v>743</v>
      </c>
      <c r="J6" s="715" t="s">
        <v>744</v>
      </c>
      <c r="K6" s="715" t="s">
        <v>510</v>
      </c>
      <c r="L6" s="715" t="s">
        <v>511</v>
      </c>
    </row>
    <row r="7" spans="1:12" x14ac:dyDescent="0.25">
      <c r="A7" s="370" t="s">
        <v>512</v>
      </c>
      <c r="D7" s="716"/>
      <c r="E7" s="716"/>
      <c r="F7" s="716"/>
      <c r="G7" s="716"/>
      <c r="H7" s="716"/>
      <c r="I7" s="716"/>
      <c r="J7" s="716"/>
      <c r="K7" s="716"/>
      <c r="L7" s="716"/>
    </row>
    <row r="8" spans="1:12" x14ac:dyDescent="0.25">
      <c r="A8" s="371">
        <v>1</v>
      </c>
      <c r="B8" s="714" t="s">
        <v>513</v>
      </c>
      <c r="C8" s="714"/>
      <c r="D8" s="371" t="s">
        <v>514</v>
      </c>
      <c r="E8" s="371" t="s">
        <v>1096</v>
      </c>
      <c r="F8" s="371" t="s">
        <v>1097</v>
      </c>
      <c r="G8" s="371" t="s">
        <v>1098</v>
      </c>
      <c r="H8" s="371" t="s">
        <v>1099</v>
      </c>
      <c r="I8" s="371" t="s">
        <v>745</v>
      </c>
      <c r="J8" s="371" t="s">
        <v>1100</v>
      </c>
      <c r="K8" s="371" t="s">
        <v>1097</v>
      </c>
      <c r="L8" s="371" t="s">
        <v>1101</v>
      </c>
    </row>
    <row r="9" spans="1:12" x14ac:dyDescent="0.25">
      <c r="A9" s="371">
        <v>20</v>
      </c>
      <c r="B9" s="714" t="s">
        <v>515</v>
      </c>
      <c r="C9" s="714"/>
      <c r="D9" s="371" t="s">
        <v>516</v>
      </c>
      <c r="E9" s="371" t="s">
        <v>1102</v>
      </c>
      <c r="F9" s="371" t="s">
        <v>517</v>
      </c>
      <c r="G9" s="371" t="s">
        <v>1103</v>
      </c>
      <c r="H9" s="371" t="s">
        <v>1104</v>
      </c>
      <c r="I9" s="371" t="s">
        <v>746</v>
      </c>
      <c r="J9" s="371" t="s">
        <v>1105</v>
      </c>
      <c r="K9" s="371" t="s">
        <v>517</v>
      </c>
      <c r="L9" s="371" t="s">
        <v>1106</v>
      </c>
    </row>
    <row r="10" spans="1:12" x14ac:dyDescent="0.25">
      <c r="A10" s="371">
        <v>30</v>
      </c>
      <c r="B10" s="714" t="s">
        <v>747</v>
      </c>
      <c r="C10" s="714"/>
      <c r="D10" s="371" t="s">
        <v>517</v>
      </c>
      <c r="E10" s="371" t="s">
        <v>517</v>
      </c>
      <c r="F10" s="371" t="s">
        <v>517</v>
      </c>
      <c r="G10" s="371" t="s">
        <v>517</v>
      </c>
      <c r="H10" s="371" t="s">
        <v>517</v>
      </c>
      <c r="I10" s="371" t="s">
        <v>748</v>
      </c>
      <c r="J10" s="371" t="s">
        <v>748</v>
      </c>
      <c r="K10" s="371" t="s">
        <v>517</v>
      </c>
      <c r="L10" s="371" t="s">
        <v>749</v>
      </c>
    </row>
    <row r="11" spans="1:12" x14ac:dyDescent="0.25">
      <c r="A11" s="371">
        <v>31</v>
      </c>
      <c r="B11" s="714" t="s">
        <v>518</v>
      </c>
      <c r="C11" s="714"/>
      <c r="D11" s="371" t="s">
        <v>519</v>
      </c>
      <c r="E11" s="371" t="s">
        <v>1107</v>
      </c>
      <c r="F11" s="371" t="s">
        <v>517</v>
      </c>
      <c r="G11" s="371" t="s">
        <v>1108</v>
      </c>
      <c r="H11" s="371" t="s">
        <v>1109</v>
      </c>
      <c r="I11" s="371" t="s">
        <v>750</v>
      </c>
      <c r="J11" s="371" t="s">
        <v>1110</v>
      </c>
      <c r="K11" s="371" t="s">
        <v>517</v>
      </c>
      <c r="L11" s="371" t="s">
        <v>1111</v>
      </c>
    </row>
    <row r="12" spans="1:12" x14ac:dyDescent="0.25">
      <c r="A12" s="371">
        <v>40</v>
      </c>
      <c r="B12" s="714" t="s">
        <v>520</v>
      </c>
      <c r="C12" s="714"/>
      <c r="D12" s="371" t="s">
        <v>521</v>
      </c>
      <c r="E12" s="371" t="s">
        <v>1112</v>
      </c>
      <c r="F12" s="371" t="s">
        <v>517</v>
      </c>
      <c r="G12" s="371" t="s">
        <v>1113</v>
      </c>
      <c r="H12" s="371" t="s">
        <v>1114</v>
      </c>
      <c r="I12" s="371" t="s">
        <v>751</v>
      </c>
      <c r="J12" s="371" t="s">
        <v>1115</v>
      </c>
      <c r="K12" s="371" t="s">
        <v>517</v>
      </c>
      <c r="L12" s="371" t="s">
        <v>1116</v>
      </c>
    </row>
    <row r="13" spans="1:12" x14ac:dyDescent="0.25">
      <c r="A13" s="371">
        <v>50</v>
      </c>
      <c r="B13" s="714" t="s">
        <v>522</v>
      </c>
      <c r="C13" s="714"/>
      <c r="D13" s="371" t="s">
        <v>523</v>
      </c>
      <c r="E13" s="371" t="s">
        <v>1117</v>
      </c>
      <c r="F13" s="371" t="s">
        <v>517</v>
      </c>
      <c r="G13" s="371" t="s">
        <v>1118</v>
      </c>
      <c r="H13" s="371" t="s">
        <v>1119</v>
      </c>
      <c r="I13" s="371" t="s">
        <v>752</v>
      </c>
      <c r="J13" s="371" t="s">
        <v>1120</v>
      </c>
      <c r="K13" s="371" t="s">
        <v>517</v>
      </c>
      <c r="L13" s="371" t="s">
        <v>1121</v>
      </c>
    </row>
    <row r="14" spans="1:12" x14ac:dyDescent="0.25">
      <c r="A14" s="371">
        <v>900</v>
      </c>
      <c r="B14" s="714" t="s">
        <v>524</v>
      </c>
      <c r="C14" s="714"/>
      <c r="D14" s="371" t="s">
        <v>525</v>
      </c>
      <c r="E14" s="371" t="s">
        <v>517</v>
      </c>
      <c r="F14" s="371" t="s">
        <v>517</v>
      </c>
      <c r="G14" s="371" t="s">
        <v>525</v>
      </c>
      <c r="H14" s="371" t="s">
        <v>517</v>
      </c>
      <c r="I14" s="371" t="s">
        <v>517</v>
      </c>
      <c r="J14" s="371" t="s">
        <v>517</v>
      </c>
      <c r="K14" s="371" t="s">
        <v>517</v>
      </c>
      <c r="L14" s="371" t="s">
        <v>525</v>
      </c>
    </row>
    <row r="15" spans="1:12" x14ac:dyDescent="0.25">
      <c r="A15" s="371">
        <v>1022</v>
      </c>
      <c r="B15" s="714" t="s">
        <v>526</v>
      </c>
      <c r="C15" s="714"/>
      <c r="D15" s="371" t="s">
        <v>527</v>
      </c>
      <c r="E15" s="371" t="s">
        <v>1122</v>
      </c>
      <c r="F15" s="371" t="s">
        <v>517</v>
      </c>
      <c r="G15" s="371" t="s">
        <v>1123</v>
      </c>
      <c r="H15" s="371" t="s">
        <v>1124</v>
      </c>
      <c r="I15" s="371" t="s">
        <v>517</v>
      </c>
      <c r="J15" s="371" t="s">
        <v>1124</v>
      </c>
      <c r="K15" s="371" t="s">
        <v>517</v>
      </c>
      <c r="L15" s="371" t="s">
        <v>1125</v>
      </c>
    </row>
    <row r="16" spans="1:12" x14ac:dyDescent="0.25">
      <c r="A16" s="371">
        <v>1023</v>
      </c>
      <c r="B16" s="714" t="s">
        <v>528</v>
      </c>
      <c r="C16" s="714"/>
      <c r="D16" s="371" t="s">
        <v>529</v>
      </c>
      <c r="E16" s="371" t="s">
        <v>1126</v>
      </c>
      <c r="F16" s="371" t="s">
        <v>517</v>
      </c>
      <c r="G16" s="371" t="s">
        <v>1127</v>
      </c>
      <c r="H16" s="371" t="s">
        <v>1128</v>
      </c>
      <c r="I16" s="371" t="s">
        <v>753</v>
      </c>
      <c r="J16" s="371" t="s">
        <v>1129</v>
      </c>
      <c r="K16" s="371" t="s">
        <v>517</v>
      </c>
      <c r="L16" s="371" t="s">
        <v>1130</v>
      </c>
    </row>
    <row r="17" spans="1:12" x14ac:dyDescent="0.25">
      <c r="A17" s="371">
        <v>1024</v>
      </c>
      <c r="B17" s="714" t="s">
        <v>531</v>
      </c>
      <c r="C17" s="714"/>
      <c r="D17" s="371" t="s">
        <v>532</v>
      </c>
      <c r="E17" s="371" t="s">
        <v>1131</v>
      </c>
      <c r="F17" s="371" t="s">
        <v>517</v>
      </c>
      <c r="G17" s="371" t="s">
        <v>1132</v>
      </c>
      <c r="H17" s="371" t="s">
        <v>1133</v>
      </c>
      <c r="I17" s="371" t="s">
        <v>517</v>
      </c>
      <c r="J17" s="371" t="s">
        <v>1133</v>
      </c>
      <c r="K17" s="371" t="s">
        <v>517</v>
      </c>
      <c r="L17" s="371" t="s">
        <v>1134</v>
      </c>
    </row>
    <row r="18" spans="1:12" x14ac:dyDescent="0.25">
      <c r="A18" s="371">
        <v>1025</v>
      </c>
      <c r="B18" s="714" t="s">
        <v>533</v>
      </c>
      <c r="C18" s="714"/>
      <c r="D18" s="371" t="s">
        <v>534</v>
      </c>
      <c r="E18" s="371" t="s">
        <v>1135</v>
      </c>
      <c r="F18" s="371" t="s">
        <v>517</v>
      </c>
      <c r="G18" s="371" t="s">
        <v>1136</v>
      </c>
      <c r="H18" s="371" t="s">
        <v>517</v>
      </c>
      <c r="I18" s="371" t="s">
        <v>517</v>
      </c>
      <c r="J18" s="371" t="s">
        <v>517</v>
      </c>
      <c r="K18" s="371" t="s">
        <v>517</v>
      </c>
      <c r="L18" s="371" t="s">
        <v>1136</v>
      </c>
    </row>
    <row r="19" spans="1:12" x14ac:dyDescent="0.25">
      <c r="A19" s="371">
        <v>1026</v>
      </c>
      <c r="B19" s="714" t="s">
        <v>535</v>
      </c>
      <c r="C19" s="714"/>
      <c r="D19" s="371" t="s">
        <v>536</v>
      </c>
      <c r="E19" s="371" t="s">
        <v>1137</v>
      </c>
      <c r="F19" s="371" t="s">
        <v>517</v>
      </c>
      <c r="G19" s="371" t="s">
        <v>1138</v>
      </c>
      <c r="H19" s="371" t="s">
        <v>1139</v>
      </c>
      <c r="I19" s="371" t="s">
        <v>754</v>
      </c>
      <c r="J19" s="371" t="s">
        <v>1140</v>
      </c>
      <c r="K19" s="371" t="s">
        <v>517</v>
      </c>
      <c r="L19" s="371" t="s">
        <v>1141</v>
      </c>
    </row>
    <row r="20" spans="1:12" x14ac:dyDescent="0.25">
      <c r="A20" s="371">
        <v>1031</v>
      </c>
      <c r="B20" s="714" t="s">
        <v>537</v>
      </c>
      <c r="C20" s="714"/>
      <c r="D20" s="371" t="s">
        <v>538</v>
      </c>
      <c r="E20" s="371" t="s">
        <v>1142</v>
      </c>
      <c r="F20" s="371" t="s">
        <v>517</v>
      </c>
      <c r="G20" s="371" t="s">
        <v>1143</v>
      </c>
      <c r="H20" s="371" t="s">
        <v>517</v>
      </c>
      <c r="I20" s="371" t="s">
        <v>517</v>
      </c>
      <c r="J20" s="371" t="s">
        <v>517</v>
      </c>
      <c r="K20" s="371" t="s">
        <v>517</v>
      </c>
      <c r="L20" s="371" t="s">
        <v>1143</v>
      </c>
    </row>
    <row r="21" spans="1:12" x14ac:dyDescent="0.25">
      <c r="A21" s="371">
        <v>1101</v>
      </c>
      <c r="B21" s="714" t="s">
        <v>539</v>
      </c>
      <c r="C21" s="714"/>
      <c r="D21" s="371" t="s">
        <v>540</v>
      </c>
      <c r="E21" s="371" t="s">
        <v>1144</v>
      </c>
      <c r="F21" s="371" t="s">
        <v>517</v>
      </c>
      <c r="G21" s="371" t="s">
        <v>1145</v>
      </c>
      <c r="H21" s="371" t="s">
        <v>517</v>
      </c>
      <c r="I21" s="371" t="s">
        <v>517</v>
      </c>
      <c r="J21" s="371" t="s">
        <v>517</v>
      </c>
      <c r="K21" s="371" t="s">
        <v>517</v>
      </c>
      <c r="L21" s="371" t="s">
        <v>1145</v>
      </c>
    </row>
    <row r="22" spans="1:12" x14ac:dyDescent="0.25">
      <c r="A22" s="371">
        <v>1103</v>
      </c>
      <c r="B22" s="714" t="s">
        <v>541</v>
      </c>
      <c r="C22" s="714"/>
      <c r="D22" s="371" t="s">
        <v>542</v>
      </c>
      <c r="E22" s="371" t="s">
        <v>1146</v>
      </c>
      <c r="F22" s="371" t="s">
        <v>517</v>
      </c>
      <c r="G22" s="371" t="s">
        <v>1147</v>
      </c>
      <c r="H22" s="371" t="s">
        <v>1148</v>
      </c>
      <c r="I22" s="371" t="s">
        <v>755</v>
      </c>
      <c r="J22" s="371" t="s">
        <v>1149</v>
      </c>
      <c r="K22" s="371" t="s">
        <v>517</v>
      </c>
      <c r="L22" s="371" t="s">
        <v>1150</v>
      </c>
    </row>
    <row r="23" spans="1:12" x14ac:dyDescent="0.25">
      <c r="A23" s="371">
        <v>1104</v>
      </c>
      <c r="B23" s="714" t="s">
        <v>543</v>
      </c>
      <c r="C23" s="714"/>
      <c r="D23" s="371" t="s">
        <v>544</v>
      </c>
      <c r="E23" s="371" t="s">
        <v>818</v>
      </c>
      <c r="F23" s="371" t="s">
        <v>517</v>
      </c>
      <c r="G23" s="371" t="s">
        <v>819</v>
      </c>
      <c r="H23" s="371" t="s">
        <v>819</v>
      </c>
      <c r="I23" s="371" t="s">
        <v>517</v>
      </c>
      <c r="J23" s="371" t="s">
        <v>819</v>
      </c>
      <c r="K23" s="371" t="s">
        <v>517</v>
      </c>
      <c r="L23" s="371" t="s">
        <v>517</v>
      </c>
    </row>
    <row r="24" spans="1:12" x14ac:dyDescent="0.25">
      <c r="A24" s="371">
        <v>1121</v>
      </c>
      <c r="B24" s="714" t="s">
        <v>545</v>
      </c>
      <c r="C24" s="714"/>
      <c r="D24" s="371" t="s">
        <v>546</v>
      </c>
      <c r="E24" s="371" t="s">
        <v>1151</v>
      </c>
      <c r="F24" s="371" t="s">
        <v>517</v>
      </c>
      <c r="G24" s="371" t="s">
        <v>1152</v>
      </c>
      <c r="H24" s="371" t="s">
        <v>1153</v>
      </c>
      <c r="I24" s="371" t="s">
        <v>756</v>
      </c>
      <c r="J24" s="371" t="s">
        <v>1154</v>
      </c>
      <c r="K24" s="371" t="s">
        <v>517</v>
      </c>
      <c r="L24" s="371" t="s">
        <v>1155</v>
      </c>
    </row>
    <row r="25" spans="1:12" x14ac:dyDescent="0.25">
      <c r="A25" s="371">
        <v>1122</v>
      </c>
      <c r="B25" s="714" t="s">
        <v>547</v>
      </c>
      <c r="C25" s="714"/>
      <c r="D25" s="371" t="s">
        <v>548</v>
      </c>
      <c r="E25" s="371" t="s">
        <v>1156</v>
      </c>
      <c r="F25" s="371" t="s">
        <v>517</v>
      </c>
      <c r="G25" s="371" t="s">
        <v>1157</v>
      </c>
      <c r="H25" s="371" t="s">
        <v>517</v>
      </c>
      <c r="I25" s="371" t="s">
        <v>757</v>
      </c>
      <c r="J25" s="371" t="s">
        <v>757</v>
      </c>
      <c r="K25" s="371" t="s">
        <v>517</v>
      </c>
      <c r="L25" s="371" t="s">
        <v>1158</v>
      </c>
    </row>
    <row r="26" spans="1:12" x14ac:dyDescent="0.25">
      <c r="A26" s="371">
        <v>1123</v>
      </c>
      <c r="B26" s="714" t="s">
        <v>549</v>
      </c>
      <c r="C26" s="714"/>
      <c r="D26" s="371" t="s">
        <v>550</v>
      </c>
      <c r="E26" s="371" t="s">
        <v>758</v>
      </c>
      <c r="F26" s="371" t="s">
        <v>517</v>
      </c>
      <c r="G26" s="371" t="s">
        <v>759</v>
      </c>
      <c r="H26" s="371" t="s">
        <v>759</v>
      </c>
      <c r="I26" s="371" t="s">
        <v>517</v>
      </c>
      <c r="J26" s="371" t="s">
        <v>759</v>
      </c>
      <c r="K26" s="371" t="s">
        <v>517</v>
      </c>
      <c r="L26" s="371" t="s">
        <v>517</v>
      </c>
    </row>
    <row r="27" spans="1:12" x14ac:dyDescent="0.25">
      <c r="A27" s="371">
        <v>1124</v>
      </c>
      <c r="B27" s="714" t="s">
        <v>551</v>
      </c>
      <c r="C27" s="714"/>
      <c r="D27" s="371" t="s">
        <v>552</v>
      </c>
      <c r="E27" s="371" t="s">
        <v>1159</v>
      </c>
      <c r="F27" s="371" t="s">
        <v>517</v>
      </c>
      <c r="G27" s="371" t="s">
        <v>1160</v>
      </c>
      <c r="H27" s="371" t="s">
        <v>1161</v>
      </c>
      <c r="I27" s="371" t="s">
        <v>760</v>
      </c>
      <c r="J27" s="371" t="s">
        <v>1162</v>
      </c>
      <c r="K27" s="371" t="s">
        <v>517</v>
      </c>
      <c r="L27" s="371" t="s">
        <v>1163</v>
      </c>
    </row>
    <row r="28" spans="1:12" x14ac:dyDescent="0.25">
      <c r="A28" s="371">
        <v>1180</v>
      </c>
      <c r="B28" s="714" t="s">
        <v>553</v>
      </c>
      <c r="C28" s="714"/>
      <c r="D28" s="371" t="s">
        <v>554</v>
      </c>
      <c r="E28" s="371" t="s">
        <v>517</v>
      </c>
      <c r="F28" s="371" t="s">
        <v>517</v>
      </c>
      <c r="G28" s="371" t="s">
        <v>554</v>
      </c>
      <c r="H28" s="371" t="s">
        <v>517</v>
      </c>
      <c r="I28" s="371" t="s">
        <v>517</v>
      </c>
      <c r="J28" s="371" t="s">
        <v>517</v>
      </c>
      <c r="K28" s="371" t="s">
        <v>517</v>
      </c>
      <c r="L28" s="371" t="s">
        <v>554</v>
      </c>
    </row>
    <row r="29" spans="1:12" x14ac:dyDescent="0.25">
      <c r="A29" s="371">
        <v>1181</v>
      </c>
      <c r="B29" s="714" t="s">
        <v>555</v>
      </c>
      <c r="C29" s="714"/>
      <c r="D29" s="371" t="s">
        <v>556</v>
      </c>
      <c r="E29" s="371" t="s">
        <v>1164</v>
      </c>
      <c r="F29" s="371" t="s">
        <v>517</v>
      </c>
      <c r="G29" s="371" t="s">
        <v>1165</v>
      </c>
      <c r="H29" s="371" t="s">
        <v>517</v>
      </c>
      <c r="I29" s="371" t="s">
        <v>517</v>
      </c>
      <c r="J29" s="371" t="s">
        <v>517</v>
      </c>
      <c r="K29" s="371" t="s">
        <v>517</v>
      </c>
      <c r="L29" s="371" t="s">
        <v>1165</v>
      </c>
    </row>
    <row r="30" spans="1:12" x14ac:dyDescent="0.25">
      <c r="A30" s="371">
        <v>1182</v>
      </c>
      <c r="B30" s="714" t="s">
        <v>557</v>
      </c>
      <c r="C30" s="714"/>
      <c r="D30" s="371" t="s">
        <v>558</v>
      </c>
      <c r="E30" s="371" t="s">
        <v>1166</v>
      </c>
      <c r="F30" s="371" t="s">
        <v>517</v>
      </c>
      <c r="G30" s="371" t="s">
        <v>1167</v>
      </c>
      <c r="H30" s="371" t="s">
        <v>559</v>
      </c>
      <c r="I30" s="371" t="s">
        <v>761</v>
      </c>
      <c r="J30" s="371" t="s">
        <v>762</v>
      </c>
      <c r="K30" s="371" t="s">
        <v>517</v>
      </c>
      <c r="L30" s="371" t="s">
        <v>1168</v>
      </c>
    </row>
    <row r="31" spans="1:12" x14ac:dyDescent="0.25">
      <c r="A31" s="371">
        <v>1184</v>
      </c>
      <c r="B31" s="714" t="s">
        <v>562</v>
      </c>
      <c r="C31" s="714"/>
      <c r="D31" s="371" t="s">
        <v>563</v>
      </c>
      <c r="E31" s="371" t="s">
        <v>1169</v>
      </c>
      <c r="F31" s="371" t="s">
        <v>517</v>
      </c>
      <c r="G31" s="371" t="s">
        <v>1170</v>
      </c>
      <c r="H31" s="371" t="s">
        <v>1171</v>
      </c>
      <c r="I31" s="371" t="s">
        <v>763</v>
      </c>
      <c r="J31" s="371" t="s">
        <v>1172</v>
      </c>
      <c r="K31" s="371" t="s">
        <v>517</v>
      </c>
      <c r="L31" s="371" t="s">
        <v>1173</v>
      </c>
    </row>
    <row r="32" spans="1:12" x14ac:dyDescent="0.25">
      <c r="A32" s="371">
        <v>1186</v>
      </c>
      <c r="B32" s="714" t="s">
        <v>565</v>
      </c>
      <c r="C32" s="714"/>
      <c r="D32" s="371" t="s">
        <v>566</v>
      </c>
      <c r="E32" s="371" t="s">
        <v>1174</v>
      </c>
      <c r="F32" s="371" t="s">
        <v>517</v>
      </c>
      <c r="G32" s="371" t="s">
        <v>1175</v>
      </c>
      <c r="H32" s="371" t="s">
        <v>517</v>
      </c>
      <c r="I32" s="371" t="s">
        <v>517</v>
      </c>
      <c r="J32" s="371" t="s">
        <v>517</v>
      </c>
      <c r="K32" s="371" t="s">
        <v>517</v>
      </c>
      <c r="L32" s="371" t="s">
        <v>1175</v>
      </c>
    </row>
    <row r="33" spans="1:12" x14ac:dyDescent="0.25">
      <c r="A33" s="371">
        <v>1187</v>
      </c>
      <c r="B33" s="714" t="s">
        <v>567</v>
      </c>
      <c r="C33" s="714"/>
      <c r="D33" s="371" t="s">
        <v>568</v>
      </c>
      <c r="E33" s="371" t="s">
        <v>1176</v>
      </c>
      <c r="F33" s="371" t="s">
        <v>517</v>
      </c>
      <c r="G33" s="371" t="s">
        <v>1177</v>
      </c>
      <c r="H33" s="371" t="s">
        <v>517</v>
      </c>
      <c r="I33" s="371" t="s">
        <v>517</v>
      </c>
      <c r="J33" s="371" t="s">
        <v>517</v>
      </c>
      <c r="K33" s="371" t="s">
        <v>517</v>
      </c>
      <c r="L33" s="371" t="s">
        <v>1177</v>
      </c>
    </row>
    <row r="34" spans="1:12" x14ac:dyDescent="0.25">
      <c r="A34" s="371">
        <v>1188</v>
      </c>
      <c r="B34" s="714" t="s">
        <v>569</v>
      </c>
      <c r="C34" s="714"/>
      <c r="D34" s="371" t="s">
        <v>570</v>
      </c>
      <c r="E34" s="371" t="s">
        <v>1178</v>
      </c>
      <c r="F34" s="371" t="s">
        <v>517</v>
      </c>
      <c r="G34" s="371" t="s">
        <v>1179</v>
      </c>
      <c r="H34" s="371" t="s">
        <v>1180</v>
      </c>
      <c r="I34" s="371" t="s">
        <v>764</v>
      </c>
      <c r="J34" s="371" t="s">
        <v>1181</v>
      </c>
      <c r="K34" s="371" t="s">
        <v>517</v>
      </c>
      <c r="L34" s="371" t="s">
        <v>1182</v>
      </c>
    </row>
    <row r="35" spans="1:12" x14ac:dyDescent="0.25">
      <c r="A35" s="371">
        <v>1190</v>
      </c>
      <c r="B35" s="714" t="s">
        <v>571</v>
      </c>
      <c r="C35" s="714"/>
      <c r="D35" s="371" t="s">
        <v>572</v>
      </c>
      <c r="E35" s="371" t="s">
        <v>1183</v>
      </c>
      <c r="F35" s="371" t="s">
        <v>517</v>
      </c>
      <c r="G35" s="371" t="s">
        <v>1184</v>
      </c>
      <c r="H35" s="371" t="s">
        <v>830</v>
      </c>
      <c r="I35" s="371" t="s">
        <v>674</v>
      </c>
      <c r="J35" s="371" t="s">
        <v>831</v>
      </c>
      <c r="K35" s="371" t="s">
        <v>517</v>
      </c>
      <c r="L35" s="371" t="s">
        <v>1185</v>
      </c>
    </row>
    <row r="36" spans="1:12" x14ac:dyDescent="0.25">
      <c r="A36" s="371">
        <v>1500</v>
      </c>
      <c r="B36" s="714" t="s">
        <v>148</v>
      </c>
      <c r="C36" s="714"/>
      <c r="D36" s="371" t="s">
        <v>573</v>
      </c>
      <c r="E36" s="371" t="s">
        <v>1186</v>
      </c>
      <c r="F36" s="371" t="s">
        <v>517</v>
      </c>
      <c r="G36" s="371" t="s">
        <v>1187</v>
      </c>
      <c r="H36" s="371" t="s">
        <v>1188</v>
      </c>
      <c r="I36" s="371" t="s">
        <v>675</v>
      </c>
      <c r="J36" s="371" t="s">
        <v>1189</v>
      </c>
      <c r="K36" s="371" t="s">
        <v>517</v>
      </c>
      <c r="L36" s="371" t="s">
        <v>1190</v>
      </c>
    </row>
    <row r="37" spans="1:12" x14ac:dyDescent="0.25">
      <c r="A37" s="371">
        <v>3812</v>
      </c>
      <c r="B37" s="714" t="s">
        <v>574</v>
      </c>
      <c r="C37" s="714"/>
      <c r="D37" s="371" t="s">
        <v>575</v>
      </c>
      <c r="E37" s="371" t="s">
        <v>1191</v>
      </c>
      <c r="F37" s="371" t="s">
        <v>517</v>
      </c>
      <c r="G37" s="371" t="s">
        <v>1192</v>
      </c>
      <c r="H37" s="371" t="s">
        <v>517</v>
      </c>
      <c r="I37" s="371" t="s">
        <v>765</v>
      </c>
      <c r="J37" s="371" t="s">
        <v>765</v>
      </c>
      <c r="K37" s="371" t="s">
        <v>517</v>
      </c>
      <c r="L37" s="371" t="s">
        <v>1193</v>
      </c>
    </row>
    <row r="38" spans="1:12" x14ac:dyDescent="0.25">
      <c r="A38" s="371">
        <v>3813</v>
      </c>
      <c r="B38" s="714" t="s">
        <v>576</v>
      </c>
      <c r="C38" s="714"/>
      <c r="D38" s="371" t="s">
        <v>577</v>
      </c>
      <c r="E38" s="371" t="s">
        <v>1194</v>
      </c>
      <c r="F38" s="371" t="s">
        <v>517</v>
      </c>
      <c r="G38" s="371" t="s">
        <v>1195</v>
      </c>
      <c r="H38" s="371" t="s">
        <v>517</v>
      </c>
      <c r="I38" s="371" t="s">
        <v>517</v>
      </c>
      <c r="J38" s="371" t="s">
        <v>517</v>
      </c>
      <c r="K38" s="371" t="s">
        <v>517</v>
      </c>
      <c r="L38" s="371" t="s">
        <v>1195</v>
      </c>
    </row>
    <row r="39" spans="1:12" x14ac:dyDescent="0.25">
      <c r="A39" s="371">
        <v>3814</v>
      </c>
      <c r="B39" s="714" t="s">
        <v>877</v>
      </c>
      <c r="C39" s="714"/>
      <c r="D39" s="371" t="s">
        <v>517</v>
      </c>
      <c r="E39" s="371" t="s">
        <v>1196</v>
      </c>
      <c r="F39" s="371" t="s">
        <v>517</v>
      </c>
      <c r="G39" s="371" t="s">
        <v>1196</v>
      </c>
      <c r="H39" s="371" t="s">
        <v>517</v>
      </c>
      <c r="I39" s="371" t="s">
        <v>517</v>
      </c>
      <c r="J39" s="371" t="s">
        <v>517</v>
      </c>
      <c r="K39" s="371" t="s">
        <v>517</v>
      </c>
      <c r="L39" s="371" t="s">
        <v>1196</v>
      </c>
    </row>
    <row r="40" spans="1:12" x14ac:dyDescent="0.25">
      <c r="A40" s="371">
        <v>3818</v>
      </c>
      <c r="B40" s="714" t="s">
        <v>578</v>
      </c>
      <c r="C40" s="714"/>
      <c r="D40" s="371" t="s">
        <v>579</v>
      </c>
      <c r="E40" s="371" t="s">
        <v>766</v>
      </c>
      <c r="F40" s="371" t="s">
        <v>517</v>
      </c>
      <c r="G40" s="371" t="s">
        <v>767</v>
      </c>
      <c r="H40" s="371" t="s">
        <v>767</v>
      </c>
      <c r="I40" s="371" t="s">
        <v>517</v>
      </c>
      <c r="J40" s="371" t="s">
        <v>767</v>
      </c>
      <c r="K40" s="371" t="s">
        <v>517</v>
      </c>
      <c r="L40" s="371" t="s">
        <v>517</v>
      </c>
    </row>
    <row r="41" spans="1:12" x14ac:dyDescent="0.25">
      <c r="A41" s="371">
        <v>3819</v>
      </c>
      <c r="B41" s="714" t="s">
        <v>580</v>
      </c>
      <c r="C41" s="714"/>
      <c r="D41" s="371" t="s">
        <v>581</v>
      </c>
      <c r="E41" s="371" t="s">
        <v>878</v>
      </c>
      <c r="F41" s="371" t="s">
        <v>517</v>
      </c>
      <c r="G41" s="371" t="s">
        <v>879</v>
      </c>
      <c r="H41" s="371" t="s">
        <v>1197</v>
      </c>
      <c r="I41" s="371" t="s">
        <v>768</v>
      </c>
      <c r="J41" s="371" t="s">
        <v>1198</v>
      </c>
      <c r="K41" s="371" t="s">
        <v>517</v>
      </c>
      <c r="L41" s="371" t="s">
        <v>1199</v>
      </c>
    </row>
    <row r="42" spans="1:12" x14ac:dyDescent="0.25">
      <c r="A42" s="371">
        <v>3821</v>
      </c>
      <c r="B42" s="714" t="s">
        <v>582</v>
      </c>
      <c r="C42" s="714"/>
      <c r="D42" s="371" t="s">
        <v>583</v>
      </c>
      <c r="E42" s="371" t="s">
        <v>880</v>
      </c>
      <c r="F42" s="371" t="s">
        <v>517</v>
      </c>
      <c r="G42" s="371" t="s">
        <v>881</v>
      </c>
      <c r="H42" s="371" t="s">
        <v>881</v>
      </c>
      <c r="I42" s="371" t="s">
        <v>517</v>
      </c>
      <c r="J42" s="371" t="s">
        <v>881</v>
      </c>
      <c r="K42" s="371" t="s">
        <v>517</v>
      </c>
      <c r="L42" s="371" t="s">
        <v>517</v>
      </c>
    </row>
    <row r="43" spans="1:12" x14ac:dyDescent="0.25">
      <c r="A43" s="371">
        <v>3822</v>
      </c>
      <c r="B43" s="714" t="s">
        <v>584</v>
      </c>
      <c r="C43" s="714"/>
      <c r="D43" s="371" t="s">
        <v>585</v>
      </c>
      <c r="E43" s="371" t="s">
        <v>882</v>
      </c>
      <c r="F43" s="371" t="s">
        <v>517</v>
      </c>
      <c r="G43" s="371" t="s">
        <v>883</v>
      </c>
      <c r="H43" s="371" t="s">
        <v>769</v>
      </c>
      <c r="I43" s="371" t="s">
        <v>770</v>
      </c>
      <c r="J43" s="371" t="s">
        <v>771</v>
      </c>
      <c r="K43" s="371" t="s">
        <v>517</v>
      </c>
      <c r="L43" s="371" t="s">
        <v>884</v>
      </c>
    </row>
    <row r="44" spans="1:12" x14ac:dyDescent="0.25">
      <c r="A44" s="371">
        <v>3826</v>
      </c>
      <c r="B44" s="714" t="s">
        <v>586</v>
      </c>
      <c r="C44" s="714"/>
      <c r="D44" s="371" t="s">
        <v>587</v>
      </c>
      <c r="E44" s="371" t="s">
        <v>588</v>
      </c>
      <c r="F44" s="371" t="s">
        <v>517</v>
      </c>
      <c r="G44" s="371" t="s">
        <v>589</v>
      </c>
      <c r="H44" s="371" t="s">
        <v>517</v>
      </c>
      <c r="I44" s="371" t="s">
        <v>517</v>
      </c>
      <c r="J44" s="371" t="s">
        <v>517</v>
      </c>
      <c r="K44" s="371" t="s">
        <v>517</v>
      </c>
      <c r="L44" s="371" t="s">
        <v>589</v>
      </c>
    </row>
    <row r="45" spans="1:12" x14ac:dyDescent="0.25">
      <c r="A45" s="371">
        <v>3827</v>
      </c>
      <c r="B45" s="714" t="s">
        <v>590</v>
      </c>
      <c r="C45" s="714"/>
      <c r="D45" s="371" t="s">
        <v>591</v>
      </c>
      <c r="E45" s="371" t="s">
        <v>592</v>
      </c>
      <c r="F45" s="371" t="s">
        <v>517</v>
      </c>
      <c r="G45" s="371" t="s">
        <v>593</v>
      </c>
      <c r="H45" s="371" t="s">
        <v>594</v>
      </c>
      <c r="I45" s="371" t="s">
        <v>772</v>
      </c>
      <c r="J45" s="371" t="s">
        <v>773</v>
      </c>
      <c r="K45" s="371" t="s">
        <v>517</v>
      </c>
      <c r="L45" s="371" t="s">
        <v>774</v>
      </c>
    </row>
    <row r="46" spans="1:12" x14ac:dyDescent="0.25">
      <c r="A46" s="371">
        <v>3829</v>
      </c>
      <c r="B46" s="714" t="s">
        <v>775</v>
      </c>
      <c r="C46" s="714"/>
      <c r="D46" s="371" t="s">
        <v>517</v>
      </c>
      <c r="E46" s="371" t="s">
        <v>517</v>
      </c>
      <c r="F46" s="371" t="s">
        <v>517</v>
      </c>
      <c r="G46" s="371" t="s">
        <v>517</v>
      </c>
      <c r="H46" s="371" t="s">
        <v>517</v>
      </c>
      <c r="I46" s="371" t="s">
        <v>776</v>
      </c>
      <c r="J46" s="371" t="s">
        <v>776</v>
      </c>
      <c r="K46" s="371" t="s">
        <v>517</v>
      </c>
      <c r="L46" s="371" t="s">
        <v>777</v>
      </c>
    </row>
    <row r="47" spans="1:12" x14ac:dyDescent="0.25">
      <c r="A47" s="371">
        <v>3831</v>
      </c>
      <c r="B47" s="714" t="s">
        <v>596</v>
      </c>
      <c r="C47" s="714"/>
      <c r="D47" s="371" t="s">
        <v>597</v>
      </c>
      <c r="E47" s="371" t="s">
        <v>1200</v>
      </c>
      <c r="F47" s="371" t="s">
        <v>517</v>
      </c>
      <c r="G47" s="371" t="s">
        <v>1201</v>
      </c>
      <c r="H47" s="371" t="s">
        <v>517</v>
      </c>
      <c r="I47" s="371" t="s">
        <v>778</v>
      </c>
      <c r="J47" s="371" t="s">
        <v>778</v>
      </c>
      <c r="K47" s="371" t="s">
        <v>517</v>
      </c>
      <c r="L47" s="371" t="s">
        <v>1202</v>
      </c>
    </row>
    <row r="48" spans="1:12" x14ac:dyDescent="0.25">
      <c r="A48" s="371">
        <v>3832</v>
      </c>
      <c r="B48" s="714" t="s">
        <v>599</v>
      </c>
      <c r="C48" s="714"/>
      <c r="D48" s="371" t="s">
        <v>600</v>
      </c>
      <c r="E48" s="371" t="s">
        <v>1203</v>
      </c>
      <c r="F48" s="371" t="s">
        <v>517</v>
      </c>
      <c r="G48" s="371" t="s">
        <v>1204</v>
      </c>
      <c r="H48" s="371" t="s">
        <v>779</v>
      </c>
      <c r="I48" s="371" t="s">
        <v>780</v>
      </c>
      <c r="J48" s="371" t="s">
        <v>781</v>
      </c>
      <c r="K48" s="371" t="s">
        <v>517</v>
      </c>
      <c r="L48" s="371" t="s">
        <v>1205</v>
      </c>
    </row>
    <row r="49" spans="1:12" x14ac:dyDescent="0.25">
      <c r="A49" s="371">
        <v>3833</v>
      </c>
      <c r="B49" s="714" t="s">
        <v>602</v>
      </c>
      <c r="C49" s="714"/>
      <c r="D49" s="371" t="s">
        <v>603</v>
      </c>
      <c r="E49" s="371" t="s">
        <v>1206</v>
      </c>
      <c r="F49" s="371" t="s">
        <v>517</v>
      </c>
      <c r="G49" s="371" t="s">
        <v>1207</v>
      </c>
      <c r="H49" s="371" t="s">
        <v>517</v>
      </c>
      <c r="I49" s="371" t="s">
        <v>782</v>
      </c>
      <c r="J49" s="371" t="s">
        <v>782</v>
      </c>
      <c r="K49" s="371" t="s">
        <v>517</v>
      </c>
      <c r="L49" s="371" t="s">
        <v>1208</v>
      </c>
    </row>
    <row r="50" spans="1:12" x14ac:dyDescent="0.25">
      <c r="A50" s="371">
        <v>3836</v>
      </c>
      <c r="B50" s="714" t="s">
        <v>604</v>
      </c>
      <c r="C50" s="714"/>
      <c r="D50" s="371" t="s">
        <v>517</v>
      </c>
      <c r="E50" s="371" t="s">
        <v>1209</v>
      </c>
      <c r="F50" s="371" t="s">
        <v>517</v>
      </c>
      <c r="G50" s="371" t="s">
        <v>1209</v>
      </c>
      <c r="H50" s="371" t="s">
        <v>1209</v>
      </c>
      <c r="I50" s="371" t="s">
        <v>517</v>
      </c>
      <c r="J50" s="371" t="s">
        <v>1209</v>
      </c>
      <c r="K50" s="371" t="s">
        <v>517</v>
      </c>
      <c r="L50" s="371" t="s">
        <v>517</v>
      </c>
    </row>
    <row r="51" spans="1:12" x14ac:dyDescent="0.25">
      <c r="A51" s="371">
        <v>3838</v>
      </c>
      <c r="B51" s="714" t="s">
        <v>783</v>
      </c>
      <c r="C51" s="714"/>
      <c r="D51" s="371" t="s">
        <v>517</v>
      </c>
      <c r="E51" s="371" t="s">
        <v>1210</v>
      </c>
      <c r="F51" s="371" t="s">
        <v>517</v>
      </c>
      <c r="G51" s="371" t="s">
        <v>1210</v>
      </c>
      <c r="H51" s="371" t="s">
        <v>517</v>
      </c>
      <c r="I51" s="371" t="s">
        <v>517</v>
      </c>
      <c r="J51" s="371" t="s">
        <v>517</v>
      </c>
      <c r="K51" s="371" t="s">
        <v>517</v>
      </c>
      <c r="L51" s="371" t="s">
        <v>1210</v>
      </c>
    </row>
    <row r="52" spans="1:12" x14ac:dyDescent="0.25">
      <c r="A52" s="371">
        <v>3839</v>
      </c>
      <c r="B52" s="714" t="s">
        <v>784</v>
      </c>
      <c r="C52" s="714"/>
      <c r="D52" s="371" t="s">
        <v>517</v>
      </c>
      <c r="E52" s="371" t="s">
        <v>1211</v>
      </c>
      <c r="F52" s="371" t="s">
        <v>517</v>
      </c>
      <c r="G52" s="371" t="s">
        <v>1211</v>
      </c>
      <c r="H52" s="371" t="s">
        <v>517</v>
      </c>
      <c r="I52" s="371" t="s">
        <v>517</v>
      </c>
      <c r="J52" s="371" t="s">
        <v>517</v>
      </c>
      <c r="K52" s="371" t="s">
        <v>517</v>
      </c>
      <c r="L52" s="371" t="s">
        <v>1211</v>
      </c>
    </row>
    <row r="53" spans="1:12" x14ac:dyDescent="0.25">
      <c r="A53" s="371">
        <v>3841</v>
      </c>
      <c r="B53" s="714" t="s">
        <v>885</v>
      </c>
      <c r="C53" s="714"/>
      <c r="D53" s="371" t="s">
        <v>517</v>
      </c>
      <c r="E53" s="371" t="s">
        <v>1212</v>
      </c>
      <c r="F53" s="371" t="s">
        <v>517</v>
      </c>
      <c r="G53" s="371" t="s">
        <v>1212</v>
      </c>
      <c r="H53" s="371" t="s">
        <v>1213</v>
      </c>
      <c r="I53" s="371" t="s">
        <v>517</v>
      </c>
      <c r="J53" s="371" t="s">
        <v>1213</v>
      </c>
      <c r="K53" s="371" t="s">
        <v>517</v>
      </c>
      <c r="L53" s="371" t="s">
        <v>1214</v>
      </c>
    </row>
    <row r="54" spans="1:12" x14ac:dyDescent="0.25">
      <c r="A54" s="371">
        <v>3843</v>
      </c>
      <c r="B54" s="714" t="s">
        <v>1215</v>
      </c>
      <c r="C54" s="714"/>
      <c r="D54" s="371" t="s">
        <v>1216</v>
      </c>
      <c r="E54" s="371" t="s">
        <v>1217</v>
      </c>
      <c r="F54" s="371" t="s">
        <v>517</v>
      </c>
      <c r="G54" s="371" t="s">
        <v>1218</v>
      </c>
      <c r="H54" s="371" t="s">
        <v>517</v>
      </c>
      <c r="I54" s="371" t="s">
        <v>517</v>
      </c>
      <c r="J54" s="371" t="s">
        <v>517</v>
      </c>
      <c r="K54" s="371" t="s">
        <v>517</v>
      </c>
      <c r="L54" s="371" t="s">
        <v>1218</v>
      </c>
    </row>
    <row r="55" spans="1:12" x14ac:dyDescent="0.25">
      <c r="A55" s="371">
        <v>4000</v>
      </c>
      <c r="B55" s="714" t="s">
        <v>605</v>
      </c>
      <c r="C55" s="714"/>
      <c r="D55" s="371" t="s">
        <v>606</v>
      </c>
      <c r="E55" s="371" t="s">
        <v>517</v>
      </c>
      <c r="F55" s="371" t="s">
        <v>517</v>
      </c>
      <c r="G55" s="371" t="s">
        <v>606</v>
      </c>
      <c r="H55" s="371" t="s">
        <v>517</v>
      </c>
      <c r="I55" s="371" t="s">
        <v>517</v>
      </c>
      <c r="J55" s="371" t="s">
        <v>517</v>
      </c>
      <c r="K55" s="371" t="s">
        <v>517</v>
      </c>
      <c r="L55" s="371" t="s">
        <v>606</v>
      </c>
    </row>
    <row r="56" spans="1:12" x14ac:dyDescent="0.25">
      <c r="A56" s="371">
        <v>4001</v>
      </c>
      <c r="B56" s="714" t="s">
        <v>607</v>
      </c>
      <c r="C56" s="714"/>
      <c r="D56" s="371" t="s">
        <v>1219</v>
      </c>
      <c r="E56" s="371" t="s">
        <v>1220</v>
      </c>
      <c r="F56" s="371" t="s">
        <v>517</v>
      </c>
      <c r="G56" s="371" t="s">
        <v>1221</v>
      </c>
      <c r="H56" s="371" t="s">
        <v>822</v>
      </c>
      <c r="I56" s="371" t="s">
        <v>785</v>
      </c>
      <c r="J56" s="371" t="s">
        <v>1222</v>
      </c>
      <c r="K56" s="371" t="s">
        <v>517</v>
      </c>
      <c r="L56" s="371" t="s">
        <v>1223</v>
      </c>
    </row>
    <row r="57" spans="1:12" x14ac:dyDescent="0.25">
      <c r="A57" s="371">
        <v>4011</v>
      </c>
      <c r="B57" s="714" t="s">
        <v>608</v>
      </c>
      <c r="C57" s="714"/>
      <c r="D57" s="371" t="s">
        <v>609</v>
      </c>
      <c r="E57" s="371" t="s">
        <v>1224</v>
      </c>
      <c r="F57" s="371" t="s">
        <v>517</v>
      </c>
      <c r="G57" s="371" t="s">
        <v>1225</v>
      </c>
      <c r="H57" s="371" t="s">
        <v>1226</v>
      </c>
      <c r="I57" s="371" t="s">
        <v>786</v>
      </c>
      <c r="J57" s="371" t="s">
        <v>1227</v>
      </c>
      <c r="K57" s="371" t="s">
        <v>517</v>
      </c>
      <c r="L57" s="371" t="s">
        <v>1228</v>
      </c>
    </row>
    <row r="58" spans="1:12" x14ac:dyDescent="0.25">
      <c r="A58" s="371">
        <v>4030</v>
      </c>
      <c r="B58" s="714" t="s">
        <v>610</v>
      </c>
      <c r="C58" s="714"/>
      <c r="D58" s="371" t="s">
        <v>611</v>
      </c>
      <c r="E58" s="371" t="s">
        <v>517</v>
      </c>
      <c r="F58" s="371" t="s">
        <v>517</v>
      </c>
      <c r="G58" s="371" t="s">
        <v>611</v>
      </c>
      <c r="H58" s="371" t="s">
        <v>517</v>
      </c>
      <c r="I58" s="371" t="s">
        <v>517</v>
      </c>
      <c r="J58" s="371" t="s">
        <v>517</v>
      </c>
      <c r="K58" s="371" t="s">
        <v>517</v>
      </c>
      <c r="L58" s="371" t="s">
        <v>611</v>
      </c>
    </row>
    <row r="59" spans="1:12" x14ac:dyDescent="0.25">
      <c r="A59" s="371">
        <v>4050</v>
      </c>
      <c r="B59" s="714" t="s">
        <v>612</v>
      </c>
      <c r="C59" s="714"/>
      <c r="D59" s="371" t="s">
        <v>613</v>
      </c>
      <c r="E59" s="371" t="s">
        <v>1229</v>
      </c>
      <c r="F59" s="371" t="s">
        <v>517</v>
      </c>
      <c r="G59" s="371" t="s">
        <v>1230</v>
      </c>
      <c r="H59" s="371" t="s">
        <v>1231</v>
      </c>
      <c r="I59" s="371" t="s">
        <v>787</v>
      </c>
      <c r="J59" s="371" t="s">
        <v>1232</v>
      </c>
      <c r="K59" s="371" t="s">
        <v>517</v>
      </c>
      <c r="L59" s="371" t="s">
        <v>1233</v>
      </c>
    </row>
    <row r="60" spans="1:12" x14ac:dyDescent="0.25">
      <c r="A60" s="371">
        <v>4051</v>
      </c>
      <c r="B60" s="714" t="s">
        <v>614</v>
      </c>
      <c r="C60" s="714"/>
      <c r="D60" s="371" t="s">
        <v>615</v>
      </c>
      <c r="E60" s="371" t="s">
        <v>1234</v>
      </c>
      <c r="F60" s="371" t="s">
        <v>517</v>
      </c>
      <c r="G60" s="371" t="s">
        <v>1235</v>
      </c>
      <c r="H60" s="371" t="s">
        <v>517</v>
      </c>
      <c r="I60" s="371" t="s">
        <v>517</v>
      </c>
      <c r="J60" s="371" t="s">
        <v>517</v>
      </c>
      <c r="K60" s="371" t="s">
        <v>517</v>
      </c>
      <c r="L60" s="371" t="s">
        <v>1235</v>
      </c>
    </row>
    <row r="61" spans="1:12" x14ac:dyDescent="0.25">
      <c r="A61" s="371">
        <v>4080</v>
      </c>
      <c r="B61" s="714" t="s">
        <v>616</v>
      </c>
      <c r="C61" s="714"/>
      <c r="D61" s="371" t="s">
        <v>617</v>
      </c>
      <c r="E61" s="371" t="s">
        <v>517</v>
      </c>
      <c r="F61" s="371" t="s">
        <v>517</v>
      </c>
      <c r="G61" s="371" t="s">
        <v>617</v>
      </c>
      <c r="H61" s="371" t="s">
        <v>517</v>
      </c>
      <c r="I61" s="371" t="s">
        <v>517</v>
      </c>
      <c r="J61" s="371" t="s">
        <v>517</v>
      </c>
      <c r="K61" s="371" t="s">
        <v>517</v>
      </c>
      <c r="L61" s="371" t="s">
        <v>617</v>
      </c>
    </row>
    <row r="62" spans="1:12" x14ac:dyDescent="0.25">
      <c r="A62" s="371">
        <v>4090</v>
      </c>
      <c r="B62" s="714" t="s">
        <v>618</v>
      </c>
      <c r="C62" s="714"/>
      <c r="D62" s="371" t="s">
        <v>619</v>
      </c>
      <c r="E62" s="371" t="s">
        <v>1236</v>
      </c>
      <c r="F62" s="371" t="s">
        <v>517</v>
      </c>
      <c r="G62" s="371" t="s">
        <v>1237</v>
      </c>
      <c r="H62" s="371" t="s">
        <v>1238</v>
      </c>
      <c r="I62" s="371" t="s">
        <v>788</v>
      </c>
      <c r="J62" s="371" t="s">
        <v>1239</v>
      </c>
      <c r="K62" s="371" t="s">
        <v>517</v>
      </c>
      <c r="L62" s="371" t="s">
        <v>1240</v>
      </c>
    </row>
    <row r="63" spans="1:12" x14ac:dyDescent="0.25">
      <c r="A63" s="371">
        <v>4160</v>
      </c>
      <c r="B63" s="714" t="s">
        <v>620</v>
      </c>
      <c r="C63" s="714"/>
      <c r="D63" s="371" t="s">
        <v>621</v>
      </c>
      <c r="E63" s="371" t="s">
        <v>1241</v>
      </c>
      <c r="F63" s="371" t="s">
        <v>517</v>
      </c>
      <c r="G63" s="371" t="s">
        <v>1242</v>
      </c>
      <c r="H63" s="371" t="s">
        <v>517</v>
      </c>
      <c r="I63" s="371" t="s">
        <v>517</v>
      </c>
      <c r="J63" s="371" t="s">
        <v>517</v>
      </c>
      <c r="K63" s="371" t="s">
        <v>517</v>
      </c>
      <c r="L63" s="371" t="s">
        <v>1242</v>
      </c>
    </row>
    <row r="64" spans="1:12" x14ac:dyDescent="0.25">
      <c r="A64" s="371">
        <v>4170</v>
      </c>
      <c r="B64" s="714" t="s">
        <v>622</v>
      </c>
      <c r="C64" s="714"/>
      <c r="D64" s="371" t="s">
        <v>623</v>
      </c>
      <c r="E64" s="371" t="s">
        <v>1243</v>
      </c>
      <c r="F64" s="371" t="s">
        <v>517</v>
      </c>
      <c r="G64" s="371" t="s">
        <v>1244</v>
      </c>
      <c r="H64" s="371" t="s">
        <v>1245</v>
      </c>
      <c r="I64" s="371" t="s">
        <v>517</v>
      </c>
      <c r="J64" s="371" t="s">
        <v>1245</v>
      </c>
      <c r="K64" s="371" t="s">
        <v>517</v>
      </c>
      <c r="L64" s="371" t="s">
        <v>1246</v>
      </c>
    </row>
    <row r="65" spans="1:12" x14ac:dyDescent="0.25">
      <c r="A65" s="371">
        <v>4190</v>
      </c>
      <c r="B65" s="714" t="s">
        <v>624</v>
      </c>
      <c r="C65" s="714"/>
      <c r="D65" s="371" t="s">
        <v>625</v>
      </c>
      <c r="E65" s="371" t="s">
        <v>1247</v>
      </c>
      <c r="F65" s="371" t="s">
        <v>517</v>
      </c>
      <c r="G65" s="371" t="s">
        <v>1248</v>
      </c>
      <c r="H65" s="371" t="s">
        <v>706</v>
      </c>
      <c r="I65" s="371" t="s">
        <v>517</v>
      </c>
      <c r="J65" s="371" t="s">
        <v>706</v>
      </c>
      <c r="K65" s="371" t="s">
        <v>517</v>
      </c>
      <c r="L65" s="371" t="s">
        <v>1249</v>
      </c>
    </row>
    <row r="66" spans="1:12" x14ac:dyDescent="0.25">
      <c r="A66" s="371">
        <v>4220</v>
      </c>
      <c r="B66" s="714" t="s">
        <v>626</v>
      </c>
      <c r="C66" s="714"/>
      <c r="D66" s="371" t="s">
        <v>627</v>
      </c>
      <c r="E66" s="371" t="s">
        <v>1250</v>
      </c>
      <c r="F66" s="371" t="s">
        <v>517</v>
      </c>
      <c r="G66" s="371" t="s">
        <v>1251</v>
      </c>
      <c r="H66" s="371" t="s">
        <v>1252</v>
      </c>
      <c r="I66" s="371" t="s">
        <v>517</v>
      </c>
      <c r="J66" s="371" t="s">
        <v>1252</v>
      </c>
      <c r="K66" s="371" t="s">
        <v>517</v>
      </c>
      <c r="L66" s="371" t="s">
        <v>1253</v>
      </c>
    </row>
    <row r="67" spans="1:12" x14ac:dyDescent="0.25">
      <c r="A67" s="371">
        <v>4234</v>
      </c>
      <c r="B67" s="714" t="s">
        <v>628</v>
      </c>
      <c r="C67" s="714"/>
      <c r="D67" s="371" t="s">
        <v>629</v>
      </c>
      <c r="E67" s="371" t="s">
        <v>517</v>
      </c>
      <c r="F67" s="371" t="s">
        <v>517</v>
      </c>
      <c r="G67" s="371" t="s">
        <v>629</v>
      </c>
      <c r="H67" s="371" t="s">
        <v>517</v>
      </c>
      <c r="I67" s="371" t="s">
        <v>517</v>
      </c>
      <c r="J67" s="371" t="s">
        <v>517</v>
      </c>
      <c r="K67" s="371" t="s">
        <v>517</v>
      </c>
      <c r="L67" s="371" t="s">
        <v>629</v>
      </c>
    </row>
    <row r="68" spans="1:12" x14ac:dyDescent="0.25">
      <c r="A68" s="371">
        <v>4270</v>
      </c>
      <c r="B68" s="714" t="s">
        <v>630</v>
      </c>
      <c r="C68" s="714"/>
      <c r="D68" s="371" t="s">
        <v>631</v>
      </c>
      <c r="E68" s="371" t="s">
        <v>1254</v>
      </c>
      <c r="F68" s="371" t="s">
        <v>517</v>
      </c>
      <c r="G68" s="371" t="s">
        <v>1255</v>
      </c>
      <c r="H68" s="371" t="s">
        <v>517</v>
      </c>
      <c r="I68" s="371" t="s">
        <v>789</v>
      </c>
      <c r="J68" s="371" t="s">
        <v>789</v>
      </c>
      <c r="K68" s="371" t="s">
        <v>517</v>
      </c>
      <c r="L68" s="371" t="s">
        <v>1256</v>
      </c>
    </row>
    <row r="69" spans="1:12" x14ac:dyDescent="0.25">
      <c r="A69" s="371">
        <v>4290</v>
      </c>
      <c r="B69" s="714" t="s">
        <v>632</v>
      </c>
      <c r="C69" s="714"/>
      <c r="D69" s="371" t="s">
        <v>633</v>
      </c>
      <c r="E69" s="371" t="s">
        <v>517</v>
      </c>
      <c r="F69" s="371" t="s">
        <v>517</v>
      </c>
      <c r="G69" s="371" t="s">
        <v>633</v>
      </c>
      <c r="H69" s="371" t="s">
        <v>517</v>
      </c>
      <c r="I69" s="371" t="s">
        <v>517</v>
      </c>
      <c r="J69" s="371" t="s">
        <v>517</v>
      </c>
      <c r="K69" s="371" t="s">
        <v>517</v>
      </c>
      <c r="L69" s="371" t="s">
        <v>633</v>
      </c>
    </row>
    <row r="70" spans="1:12" x14ac:dyDescent="0.25">
      <c r="A70" s="371">
        <v>4292</v>
      </c>
      <c r="B70" s="714" t="s">
        <v>634</v>
      </c>
      <c r="C70" s="714"/>
      <c r="D70" s="371" t="s">
        <v>635</v>
      </c>
      <c r="E70" s="371" t="s">
        <v>1257</v>
      </c>
      <c r="F70" s="371" t="s">
        <v>517</v>
      </c>
      <c r="G70" s="371" t="s">
        <v>1258</v>
      </c>
      <c r="H70" s="371" t="s">
        <v>517</v>
      </c>
      <c r="I70" s="371" t="s">
        <v>517</v>
      </c>
      <c r="J70" s="371" t="s">
        <v>517</v>
      </c>
      <c r="K70" s="371" t="s">
        <v>517</v>
      </c>
      <c r="L70" s="371" t="s">
        <v>1258</v>
      </c>
    </row>
    <row r="71" spans="1:12" x14ac:dyDescent="0.25">
      <c r="A71" s="371">
        <v>4293</v>
      </c>
      <c r="B71" s="714" t="s">
        <v>636</v>
      </c>
      <c r="C71" s="714"/>
      <c r="D71" s="371" t="s">
        <v>637</v>
      </c>
      <c r="E71" s="371" t="s">
        <v>1259</v>
      </c>
      <c r="F71" s="371" t="s">
        <v>517</v>
      </c>
      <c r="G71" s="371" t="s">
        <v>1260</v>
      </c>
      <c r="H71" s="371" t="s">
        <v>517</v>
      </c>
      <c r="I71" s="371" t="s">
        <v>517</v>
      </c>
      <c r="J71" s="371" t="s">
        <v>517</v>
      </c>
      <c r="K71" s="371" t="s">
        <v>517</v>
      </c>
      <c r="L71" s="371" t="s">
        <v>1260</v>
      </c>
    </row>
    <row r="72" spans="1:12" x14ac:dyDescent="0.25">
      <c r="A72" s="371">
        <v>4294</v>
      </c>
      <c r="B72" s="714" t="s">
        <v>638</v>
      </c>
      <c r="C72" s="714"/>
      <c r="D72" s="371" t="s">
        <v>639</v>
      </c>
      <c r="E72" s="371" t="s">
        <v>1261</v>
      </c>
      <c r="F72" s="371" t="s">
        <v>517</v>
      </c>
      <c r="G72" s="371" t="s">
        <v>1262</v>
      </c>
      <c r="H72" s="371" t="s">
        <v>517</v>
      </c>
      <c r="I72" s="371" t="s">
        <v>790</v>
      </c>
      <c r="J72" s="371" t="s">
        <v>790</v>
      </c>
      <c r="K72" s="371" t="s">
        <v>517</v>
      </c>
      <c r="L72" s="371" t="s">
        <v>1263</v>
      </c>
    </row>
    <row r="73" spans="1:12" x14ac:dyDescent="0.25">
      <c r="A73" s="371">
        <v>4295</v>
      </c>
      <c r="B73" s="714" t="s">
        <v>640</v>
      </c>
      <c r="C73" s="714"/>
      <c r="D73" s="371" t="s">
        <v>641</v>
      </c>
      <c r="E73" s="371" t="s">
        <v>1264</v>
      </c>
      <c r="F73" s="371" t="s">
        <v>517</v>
      </c>
      <c r="G73" s="371" t="s">
        <v>1265</v>
      </c>
      <c r="H73" s="371" t="s">
        <v>791</v>
      </c>
      <c r="I73" s="371" t="s">
        <v>517</v>
      </c>
      <c r="J73" s="371" t="s">
        <v>791</v>
      </c>
      <c r="K73" s="371" t="s">
        <v>517</v>
      </c>
      <c r="L73" s="371" t="s">
        <v>1266</v>
      </c>
    </row>
    <row r="74" spans="1:12" x14ac:dyDescent="0.25">
      <c r="A74" s="371">
        <v>4500</v>
      </c>
      <c r="B74" s="714" t="s">
        <v>642</v>
      </c>
      <c r="C74" s="714"/>
      <c r="D74" s="371" t="s">
        <v>643</v>
      </c>
      <c r="E74" s="371" t="s">
        <v>1267</v>
      </c>
      <c r="F74" s="371" t="s">
        <v>517</v>
      </c>
      <c r="G74" s="371" t="s">
        <v>1268</v>
      </c>
      <c r="H74" s="371" t="s">
        <v>1269</v>
      </c>
      <c r="I74" s="371" t="s">
        <v>792</v>
      </c>
      <c r="J74" s="371" t="s">
        <v>1270</v>
      </c>
      <c r="K74" s="371" t="s">
        <v>517</v>
      </c>
      <c r="L74" s="371" t="s">
        <v>1271</v>
      </c>
    </row>
    <row r="75" spans="1:12" x14ac:dyDescent="0.25">
      <c r="A75" s="371">
        <v>4501</v>
      </c>
      <c r="B75" s="714" t="s">
        <v>644</v>
      </c>
      <c r="C75" s="714"/>
      <c r="D75" s="371" t="s">
        <v>645</v>
      </c>
      <c r="E75" s="371" t="s">
        <v>1272</v>
      </c>
      <c r="F75" s="371" t="s">
        <v>517</v>
      </c>
      <c r="G75" s="371" t="s">
        <v>1273</v>
      </c>
      <c r="H75" s="371" t="s">
        <v>1274</v>
      </c>
      <c r="I75" s="371" t="s">
        <v>793</v>
      </c>
      <c r="J75" s="371" t="s">
        <v>1275</v>
      </c>
      <c r="K75" s="371" t="s">
        <v>517</v>
      </c>
      <c r="L75" s="371" t="s">
        <v>1276</v>
      </c>
    </row>
    <row r="76" spans="1:12" x14ac:dyDescent="0.25">
      <c r="A76" s="371">
        <v>4502</v>
      </c>
      <c r="B76" s="714" t="s">
        <v>646</v>
      </c>
      <c r="C76" s="714"/>
      <c r="D76" s="371" t="s">
        <v>647</v>
      </c>
      <c r="E76" s="371" t="s">
        <v>1277</v>
      </c>
      <c r="F76" s="371" t="s">
        <v>517</v>
      </c>
      <c r="G76" s="371" t="s">
        <v>1278</v>
      </c>
      <c r="H76" s="371" t="s">
        <v>1279</v>
      </c>
      <c r="I76" s="371" t="s">
        <v>794</v>
      </c>
      <c r="J76" s="371" t="s">
        <v>1280</v>
      </c>
      <c r="K76" s="371" t="s">
        <v>517</v>
      </c>
      <c r="L76" s="371" t="s">
        <v>1281</v>
      </c>
    </row>
    <row r="77" spans="1:12" x14ac:dyDescent="0.25">
      <c r="A77" s="371">
        <v>4503</v>
      </c>
      <c r="B77" s="714" t="s">
        <v>648</v>
      </c>
      <c r="C77" s="714"/>
      <c r="D77" s="371" t="s">
        <v>649</v>
      </c>
      <c r="E77" s="371" t="s">
        <v>1282</v>
      </c>
      <c r="F77" s="371" t="s">
        <v>517</v>
      </c>
      <c r="G77" s="371" t="s">
        <v>1283</v>
      </c>
      <c r="H77" s="371" t="s">
        <v>1284</v>
      </c>
      <c r="I77" s="371" t="s">
        <v>676</v>
      </c>
      <c r="J77" s="371" t="s">
        <v>1285</v>
      </c>
      <c r="K77" s="371" t="s">
        <v>517</v>
      </c>
      <c r="L77" s="371" t="s">
        <v>1286</v>
      </c>
    </row>
    <row r="78" spans="1:12" x14ac:dyDescent="0.25">
      <c r="A78" s="371">
        <v>4504</v>
      </c>
      <c r="B78" s="714" t="s">
        <v>650</v>
      </c>
      <c r="C78" s="714"/>
      <c r="D78" s="371" t="s">
        <v>651</v>
      </c>
      <c r="E78" s="371" t="s">
        <v>1287</v>
      </c>
      <c r="F78" s="371" t="s">
        <v>517</v>
      </c>
      <c r="G78" s="371" t="s">
        <v>1288</v>
      </c>
      <c r="H78" s="371" t="s">
        <v>820</v>
      </c>
      <c r="I78" s="371" t="s">
        <v>796</v>
      </c>
      <c r="J78" s="371" t="s">
        <v>821</v>
      </c>
      <c r="K78" s="371" t="s">
        <v>517</v>
      </c>
      <c r="L78" s="371" t="s">
        <v>1289</v>
      </c>
    </row>
    <row r="79" spans="1:12" x14ac:dyDescent="0.25">
      <c r="A79" s="371">
        <v>4505</v>
      </c>
      <c r="B79" s="714" t="s">
        <v>652</v>
      </c>
      <c r="C79" s="714"/>
      <c r="D79" s="371" t="s">
        <v>653</v>
      </c>
      <c r="E79" s="371" t="s">
        <v>1290</v>
      </c>
      <c r="F79" s="371" t="s">
        <v>517</v>
      </c>
      <c r="G79" s="371" t="s">
        <v>1291</v>
      </c>
      <c r="H79" s="371" t="s">
        <v>1292</v>
      </c>
      <c r="I79" s="371" t="s">
        <v>517</v>
      </c>
      <c r="J79" s="371" t="s">
        <v>1292</v>
      </c>
      <c r="K79" s="371" t="s">
        <v>517</v>
      </c>
      <c r="L79" s="371" t="s">
        <v>1293</v>
      </c>
    </row>
    <row r="80" spans="1:12" x14ac:dyDescent="0.25">
      <c r="A80" s="371">
        <v>4506</v>
      </c>
      <c r="B80" s="714" t="s">
        <v>654</v>
      </c>
      <c r="C80" s="714"/>
      <c r="D80" s="371" t="s">
        <v>655</v>
      </c>
      <c r="E80" s="371" t="s">
        <v>1294</v>
      </c>
      <c r="F80" s="371" t="s">
        <v>517</v>
      </c>
      <c r="G80" s="371" t="s">
        <v>1295</v>
      </c>
      <c r="H80" s="371" t="s">
        <v>1296</v>
      </c>
      <c r="I80" s="371" t="s">
        <v>517</v>
      </c>
      <c r="J80" s="371" t="s">
        <v>1296</v>
      </c>
      <c r="K80" s="371" t="s">
        <v>517</v>
      </c>
      <c r="L80" s="371" t="s">
        <v>1297</v>
      </c>
    </row>
    <row r="81" spans="1:12" x14ac:dyDescent="0.25">
      <c r="A81" s="371">
        <v>4507</v>
      </c>
      <c r="B81" s="714" t="s">
        <v>656</v>
      </c>
      <c r="C81" s="714"/>
      <c r="D81" s="371" t="s">
        <v>657</v>
      </c>
      <c r="E81" s="371" t="s">
        <v>1298</v>
      </c>
      <c r="F81" s="371" t="s">
        <v>517</v>
      </c>
      <c r="G81" s="371" t="s">
        <v>1299</v>
      </c>
      <c r="H81" s="371" t="s">
        <v>517</v>
      </c>
      <c r="I81" s="371" t="s">
        <v>517</v>
      </c>
      <c r="J81" s="371" t="s">
        <v>517</v>
      </c>
      <c r="K81" s="371" t="s">
        <v>517</v>
      </c>
      <c r="L81" s="371" t="s">
        <v>1299</v>
      </c>
    </row>
    <row r="82" spans="1:12" x14ac:dyDescent="0.25">
      <c r="A82" s="371">
        <v>4509</v>
      </c>
      <c r="B82" s="714" t="s">
        <v>658</v>
      </c>
      <c r="C82" s="714"/>
      <c r="D82" s="371" t="s">
        <v>659</v>
      </c>
      <c r="E82" s="371" t="s">
        <v>1300</v>
      </c>
      <c r="F82" s="371" t="s">
        <v>517</v>
      </c>
      <c r="G82" s="371" t="s">
        <v>1301</v>
      </c>
      <c r="H82" s="371" t="s">
        <v>517</v>
      </c>
      <c r="I82" s="371" t="s">
        <v>517</v>
      </c>
      <c r="J82" s="371" t="s">
        <v>517</v>
      </c>
      <c r="K82" s="371" t="s">
        <v>517</v>
      </c>
      <c r="L82" s="371" t="s">
        <v>1301</v>
      </c>
    </row>
    <row r="83" spans="1:12" x14ac:dyDescent="0.25">
      <c r="A83" s="371">
        <v>4510</v>
      </c>
      <c r="B83" s="714" t="s">
        <v>797</v>
      </c>
      <c r="C83" s="714"/>
      <c r="D83" s="371" t="s">
        <v>517</v>
      </c>
      <c r="E83" s="371" t="s">
        <v>517</v>
      </c>
      <c r="F83" s="371" t="s">
        <v>517</v>
      </c>
      <c r="G83" s="371" t="s">
        <v>517</v>
      </c>
      <c r="H83" s="371" t="s">
        <v>517</v>
      </c>
      <c r="I83" s="371" t="s">
        <v>798</v>
      </c>
      <c r="J83" s="371" t="s">
        <v>798</v>
      </c>
      <c r="K83" s="371" t="s">
        <v>517</v>
      </c>
      <c r="L83" s="371" t="s">
        <v>799</v>
      </c>
    </row>
    <row r="84" spans="1:12" x14ac:dyDescent="0.25">
      <c r="A84" s="371">
        <v>4511</v>
      </c>
      <c r="B84" s="714" t="s">
        <v>660</v>
      </c>
      <c r="C84" s="714"/>
      <c r="D84" s="371" t="s">
        <v>661</v>
      </c>
      <c r="E84" s="371" t="s">
        <v>1302</v>
      </c>
      <c r="F84" s="371" t="s">
        <v>517</v>
      </c>
      <c r="G84" s="371" t="s">
        <v>1303</v>
      </c>
      <c r="H84" s="371" t="s">
        <v>1304</v>
      </c>
      <c r="I84" s="371" t="s">
        <v>677</v>
      </c>
      <c r="J84" s="371" t="s">
        <v>1305</v>
      </c>
      <c r="K84" s="371" t="s">
        <v>517</v>
      </c>
      <c r="L84" s="371" t="s">
        <v>1306</v>
      </c>
    </row>
    <row r="85" spans="1:12" x14ac:dyDescent="0.25">
      <c r="A85" s="371">
        <v>4512</v>
      </c>
      <c r="B85" s="714" t="s">
        <v>663</v>
      </c>
      <c r="C85" s="714"/>
      <c r="D85" s="371" t="s">
        <v>664</v>
      </c>
      <c r="E85" s="371" t="s">
        <v>1307</v>
      </c>
      <c r="F85" s="371" t="s">
        <v>517</v>
      </c>
      <c r="G85" s="371" t="s">
        <v>1308</v>
      </c>
      <c r="H85" s="371" t="s">
        <v>517</v>
      </c>
      <c r="I85" s="371" t="s">
        <v>517</v>
      </c>
      <c r="J85" s="371" t="s">
        <v>517</v>
      </c>
      <c r="K85" s="371" t="s">
        <v>517</v>
      </c>
      <c r="L85" s="371" t="s">
        <v>1308</v>
      </c>
    </row>
    <row r="86" spans="1:12" x14ac:dyDescent="0.25">
      <c r="A86" s="371">
        <v>4710</v>
      </c>
      <c r="B86" s="714" t="s">
        <v>800</v>
      </c>
      <c r="C86" s="714"/>
      <c r="D86" s="371" t="s">
        <v>517</v>
      </c>
      <c r="E86" s="371" t="s">
        <v>517</v>
      </c>
      <c r="F86" s="371" t="s">
        <v>517</v>
      </c>
      <c r="G86" s="371" t="s">
        <v>517</v>
      </c>
      <c r="H86" s="371" t="s">
        <v>517</v>
      </c>
      <c r="I86" s="371" t="s">
        <v>801</v>
      </c>
      <c r="J86" s="371" t="s">
        <v>801</v>
      </c>
      <c r="K86" s="371" t="s">
        <v>517</v>
      </c>
      <c r="L86" s="371" t="s">
        <v>802</v>
      </c>
    </row>
    <row r="87" spans="1:12" x14ac:dyDescent="0.25">
      <c r="A87" s="371">
        <v>4931</v>
      </c>
      <c r="B87" s="714" t="s">
        <v>636</v>
      </c>
      <c r="C87" s="714"/>
      <c r="D87" s="371" t="s">
        <v>517</v>
      </c>
      <c r="E87" s="371" t="s">
        <v>517</v>
      </c>
      <c r="F87" s="371" t="s">
        <v>517</v>
      </c>
      <c r="G87" s="371" t="s">
        <v>517</v>
      </c>
      <c r="H87" s="371" t="s">
        <v>517</v>
      </c>
      <c r="I87" s="371" t="s">
        <v>803</v>
      </c>
      <c r="J87" s="371" t="s">
        <v>803</v>
      </c>
      <c r="K87" s="371" t="s">
        <v>517</v>
      </c>
      <c r="L87" s="371" t="s">
        <v>804</v>
      </c>
    </row>
    <row r="88" spans="1:12" x14ac:dyDescent="0.25">
      <c r="A88" s="371">
        <v>4986</v>
      </c>
      <c r="B88" s="714" t="s">
        <v>665</v>
      </c>
      <c r="C88" s="714"/>
      <c r="D88" s="371" t="s">
        <v>666</v>
      </c>
      <c r="E88" s="371" t="s">
        <v>1309</v>
      </c>
      <c r="F88" s="371" t="s">
        <v>517</v>
      </c>
      <c r="G88" s="371" t="s">
        <v>1310</v>
      </c>
      <c r="H88" s="371" t="s">
        <v>517</v>
      </c>
      <c r="I88" s="371" t="s">
        <v>517</v>
      </c>
      <c r="J88" s="371" t="s">
        <v>517</v>
      </c>
      <c r="K88" s="371" t="s">
        <v>517</v>
      </c>
      <c r="L88" s="371" t="s">
        <v>1310</v>
      </c>
    </row>
    <row r="89" spans="1:12" x14ac:dyDescent="0.25">
      <c r="A89" s="371">
        <v>8001</v>
      </c>
      <c r="B89" s="714" t="s">
        <v>667</v>
      </c>
      <c r="C89" s="714"/>
      <c r="D89" s="371" t="s">
        <v>668</v>
      </c>
      <c r="E89" s="371" t="s">
        <v>517</v>
      </c>
      <c r="F89" s="371" t="s">
        <v>517</v>
      </c>
      <c r="G89" s="371" t="s">
        <v>668</v>
      </c>
      <c r="H89" s="371" t="s">
        <v>517</v>
      </c>
      <c r="I89" s="371" t="s">
        <v>517</v>
      </c>
      <c r="J89" s="371" t="s">
        <v>517</v>
      </c>
      <c r="K89" s="371" t="s">
        <v>517</v>
      </c>
      <c r="L89" s="371" t="s">
        <v>668</v>
      </c>
    </row>
    <row r="90" spans="1:12" x14ac:dyDescent="0.25">
      <c r="A90" s="371">
        <v>8024</v>
      </c>
      <c r="B90" s="714" t="s">
        <v>669</v>
      </c>
      <c r="C90" s="714"/>
      <c r="D90" s="371" t="s">
        <v>670</v>
      </c>
      <c r="E90" s="371" t="s">
        <v>517</v>
      </c>
      <c r="F90" s="371" t="s">
        <v>517</v>
      </c>
      <c r="G90" s="371" t="s">
        <v>670</v>
      </c>
      <c r="H90" s="371" t="s">
        <v>517</v>
      </c>
      <c r="I90" s="371" t="s">
        <v>517</v>
      </c>
      <c r="J90" s="371" t="s">
        <v>517</v>
      </c>
      <c r="K90" s="371" t="s">
        <v>517</v>
      </c>
      <c r="L90" s="371" t="s">
        <v>670</v>
      </c>
    </row>
    <row r="91" spans="1:12" x14ac:dyDescent="0.25">
      <c r="A91" s="371">
        <v>8050</v>
      </c>
      <c r="B91" s="714" t="s">
        <v>671</v>
      </c>
      <c r="C91" s="714"/>
      <c r="D91" s="371" t="s">
        <v>672</v>
      </c>
      <c r="E91" s="371" t="s">
        <v>517</v>
      </c>
      <c r="F91" s="371" t="s">
        <v>517</v>
      </c>
      <c r="G91" s="371" t="s">
        <v>672</v>
      </c>
      <c r="H91" s="371" t="s">
        <v>517</v>
      </c>
      <c r="I91" s="371" t="s">
        <v>517</v>
      </c>
      <c r="J91" s="371" t="s">
        <v>517</v>
      </c>
      <c r="K91" s="371" t="s">
        <v>517</v>
      </c>
      <c r="L91" s="371" t="s">
        <v>672</v>
      </c>
    </row>
    <row r="93" spans="1:12" x14ac:dyDescent="0.25">
      <c r="A93" s="713" t="s">
        <v>183</v>
      </c>
      <c r="B93" s="713"/>
      <c r="C93" s="713"/>
      <c r="D93" s="372" t="s">
        <v>673</v>
      </c>
      <c r="E93" s="372" t="s">
        <v>1311</v>
      </c>
      <c r="F93" s="372" t="s">
        <v>1097</v>
      </c>
      <c r="G93" s="372" t="s">
        <v>1312</v>
      </c>
      <c r="H93" s="372" t="s">
        <v>1313</v>
      </c>
      <c r="I93" s="372" t="s">
        <v>805</v>
      </c>
      <c r="J93" s="372" t="s">
        <v>1314</v>
      </c>
      <c r="K93" s="372" t="s">
        <v>1097</v>
      </c>
      <c r="L93" s="372" t="s">
        <v>1315</v>
      </c>
    </row>
  </sheetData>
  <mergeCells count="94">
    <mergeCell ref="B90:C90"/>
    <mergeCell ref="B91:C91"/>
    <mergeCell ref="B79:C79"/>
    <mergeCell ref="B80:C80"/>
    <mergeCell ref="B81:C81"/>
    <mergeCell ref="B89:C89"/>
    <mergeCell ref="B84:C84"/>
    <mergeCell ref="B85:C85"/>
    <mergeCell ref="B86:C86"/>
    <mergeCell ref="B87:C87"/>
    <mergeCell ref="B88:C88"/>
    <mergeCell ref="B82:C82"/>
    <mergeCell ref="B83:C83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77:C77"/>
    <mergeCell ref="B78:C78"/>
    <mergeCell ref="B64:C64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76:C76"/>
    <mergeCell ref="B65:C65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25:C25"/>
    <mergeCell ref="B26:C26"/>
    <mergeCell ref="B27:C27"/>
    <mergeCell ref="B16:C16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D6:D7"/>
    <mergeCell ref="L6:L7"/>
    <mergeCell ref="B8:C8"/>
    <mergeCell ref="B9:C9"/>
    <mergeCell ref="H6:H7"/>
    <mergeCell ref="I6:I7"/>
    <mergeCell ref="E6:E7"/>
    <mergeCell ref="F6:F7"/>
    <mergeCell ref="G6:G7"/>
    <mergeCell ref="J6:J7"/>
    <mergeCell ref="K6:K7"/>
    <mergeCell ref="A93:C93"/>
    <mergeCell ref="B11:C11"/>
    <mergeCell ref="B12:C12"/>
    <mergeCell ref="B13:C13"/>
    <mergeCell ref="B10:C10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88"/>
  <sheetViews>
    <sheetView workbookViewId="0">
      <selection sqref="A1:XFD1048576"/>
    </sheetView>
  </sheetViews>
  <sheetFormatPr defaultRowHeight="15" x14ac:dyDescent="0.25"/>
  <cols>
    <col min="4" max="5" width="12.7109375" customWidth="1"/>
    <col min="6" max="6" width="10.7109375" customWidth="1"/>
    <col min="7" max="9" width="12.7109375" customWidth="1"/>
    <col min="11" max="11" width="11.7109375" customWidth="1"/>
    <col min="12" max="12" width="13.7109375" customWidth="1"/>
  </cols>
  <sheetData>
    <row r="1" spans="1:12" x14ac:dyDescent="0.25">
      <c r="A1" s="369" t="s">
        <v>500</v>
      </c>
    </row>
    <row r="2" spans="1:12" x14ac:dyDescent="0.25">
      <c r="A2" s="369" t="s">
        <v>1095</v>
      </c>
    </row>
    <row r="4" spans="1:12" x14ac:dyDescent="0.25">
      <c r="A4" s="369" t="s">
        <v>501</v>
      </c>
      <c r="C4" s="540" t="s">
        <v>502</v>
      </c>
    </row>
    <row r="6" spans="1:12" x14ac:dyDescent="0.25">
      <c r="D6" s="715" t="s">
        <v>503</v>
      </c>
      <c r="E6" s="715" t="s">
        <v>504</v>
      </c>
      <c r="F6" s="715" t="s">
        <v>505</v>
      </c>
      <c r="G6" s="715" t="s">
        <v>506</v>
      </c>
      <c r="H6" s="715" t="s">
        <v>507</v>
      </c>
      <c r="I6" s="715" t="s">
        <v>508</v>
      </c>
      <c r="J6" s="715" t="s">
        <v>509</v>
      </c>
      <c r="K6" s="715" t="s">
        <v>510</v>
      </c>
      <c r="L6" s="715" t="s">
        <v>511</v>
      </c>
    </row>
    <row r="7" spans="1:12" x14ac:dyDescent="0.25">
      <c r="A7" s="370" t="s">
        <v>512</v>
      </c>
      <c r="D7" s="716"/>
      <c r="E7" s="716"/>
      <c r="F7" s="716"/>
      <c r="G7" s="716"/>
      <c r="H7" s="716"/>
      <c r="I7" s="716"/>
      <c r="J7" s="716"/>
      <c r="K7" s="716"/>
      <c r="L7" s="716"/>
    </row>
    <row r="8" spans="1:12" x14ac:dyDescent="0.25">
      <c r="A8" s="371">
        <v>1</v>
      </c>
      <c r="B8" s="714" t="s">
        <v>513</v>
      </c>
      <c r="C8" s="714"/>
      <c r="D8" s="371" t="s">
        <v>514</v>
      </c>
      <c r="E8" s="371" t="s">
        <v>1096</v>
      </c>
      <c r="F8" s="371" t="s">
        <v>1097</v>
      </c>
      <c r="G8" s="371" t="s">
        <v>1098</v>
      </c>
      <c r="H8" s="371" t="s">
        <v>1316</v>
      </c>
      <c r="I8" s="371" t="s">
        <v>1317</v>
      </c>
      <c r="J8" s="371" t="s">
        <v>1318</v>
      </c>
      <c r="K8" s="371" t="s">
        <v>1097</v>
      </c>
      <c r="L8" s="371" t="s">
        <v>1319</v>
      </c>
    </row>
    <row r="9" spans="1:12" x14ac:dyDescent="0.25">
      <c r="A9" s="371">
        <v>20</v>
      </c>
      <c r="B9" s="714" t="s">
        <v>515</v>
      </c>
      <c r="C9" s="714"/>
      <c r="D9" s="371" t="s">
        <v>516</v>
      </c>
      <c r="E9" s="371" t="s">
        <v>1102</v>
      </c>
      <c r="F9" s="371" t="s">
        <v>517</v>
      </c>
      <c r="G9" s="371" t="s">
        <v>1103</v>
      </c>
      <c r="H9" s="371" t="s">
        <v>1320</v>
      </c>
      <c r="I9" s="371" t="s">
        <v>1321</v>
      </c>
      <c r="J9" s="371" t="s">
        <v>1322</v>
      </c>
      <c r="K9" s="371" t="s">
        <v>517</v>
      </c>
      <c r="L9" s="371" t="s">
        <v>1323</v>
      </c>
    </row>
    <row r="10" spans="1:12" x14ac:dyDescent="0.25">
      <c r="A10" s="371">
        <v>31</v>
      </c>
      <c r="B10" s="714" t="s">
        <v>518</v>
      </c>
      <c r="C10" s="714"/>
      <c r="D10" s="371" t="s">
        <v>519</v>
      </c>
      <c r="E10" s="371" t="s">
        <v>1107</v>
      </c>
      <c r="F10" s="371" t="s">
        <v>517</v>
      </c>
      <c r="G10" s="371" t="s">
        <v>1108</v>
      </c>
      <c r="H10" s="371" t="s">
        <v>1324</v>
      </c>
      <c r="I10" s="371" t="s">
        <v>517</v>
      </c>
      <c r="J10" s="371" t="s">
        <v>1324</v>
      </c>
      <c r="K10" s="371" t="s">
        <v>517</v>
      </c>
      <c r="L10" s="371" t="s">
        <v>1325</v>
      </c>
    </row>
    <row r="11" spans="1:12" x14ac:dyDescent="0.25">
      <c r="A11" s="371">
        <v>40</v>
      </c>
      <c r="B11" s="714" t="s">
        <v>520</v>
      </c>
      <c r="C11" s="714"/>
      <c r="D11" s="371" t="s">
        <v>521</v>
      </c>
      <c r="E11" s="371" t="s">
        <v>1112</v>
      </c>
      <c r="F11" s="371" t="s">
        <v>517</v>
      </c>
      <c r="G11" s="371" t="s">
        <v>1113</v>
      </c>
      <c r="H11" s="371" t="s">
        <v>1326</v>
      </c>
      <c r="I11" s="371" t="s">
        <v>806</v>
      </c>
      <c r="J11" s="371" t="s">
        <v>1327</v>
      </c>
      <c r="K11" s="371" t="s">
        <v>517</v>
      </c>
      <c r="L11" s="371" t="s">
        <v>1328</v>
      </c>
    </row>
    <row r="12" spans="1:12" x14ac:dyDescent="0.25">
      <c r="A12" s="371">
        <v>50</v>
      </c>
      <c r="B12" s="714" t="s">
        <v>522</v>
      </c>
      <c r="C12" s="714"/>
      <c r="D12" s="371" t="s">
        <v>523</v>
      </c>
      <c r="E12" s="371" t="s">
        <v>1117</v>
      </c>
      <c r="F12" s="371" t="s">
        <v>517</v>
      </c>
      <c r="G12" s="371" t="s">
        <v>1118</v>
      </c>
      <c r="H12" s="371" t="s">
        <v>1329</v>
      </c>
      <c r="I12" s="371" t="s">
        <v>517</v>
      </c>
      <c r="J12" s="371" t="s">
        <v>1329</v>
      </c>
      <c r="K12" s="371" t="s">
        <v>517</v>
      </c>
      <c r="L12" s="371" t="s">
        <v>1330</v>
      </c>
    </row>
    <row r="13" spans="1:12" x14ac:dyDescent="0.25">
      <c r="A13" s="371">
        <v>900</v>
      </c>
      <c r="B13" s="714" t="s">
        <v>524</v>
      </c>
      <c r="C13" s="714"/>
      <c r="D13" s="371" t="s">
        <v>525</v>
      </c>
      <c r="E13" s="371" t="s">
        <v>517</v>
      </c>
      <c r="F13" s="371" t="s">
        <v>517</v>
      </c>
      <c r="G13" s="371" t="s">
        <v>525</v>
      </c>
      <c r="H13" s="371" t="s">
        <v>517</v>
      </c>
      <c r="I13" s="371" t="s">
        <v>517</v>
      </c>
      <c r="J13" s="371" t="s">
        <v>517</v>
      </c>
      <c r="K13" s="371" t="s">
        <v>517</v>
      </c>
      <c r="L13" s="371" t="s">
        <v>525</v>
      </c>
    </row>
    <row r="14" spans="1:12" x14ac:dyDescent="0.25">
      <c r="A14" s="371">
        <v>1022</v>
      </c>
      <c r="B14" s="714" t="s">
        <v>526</v>
      </c>
      <c r="C14" s="714"/>
      <c r="D14" s="371" t="s">
        <v>527</v>
      </c>
      <c r="E14" s="371" t="s">
        <v>1122</v>
      </c>
      <c r="F14" s="371" t="s">
        <v>517</v>
      </c>
      <c r="G14" s="371" t="s">
        <v>1123</v>
      </c>
      <c r="H14" s="371" t="s">
        <v>1124</v>
      </c>
      <c r="I14" s="371" t="s">
        <v>517</v>
      </c>
      <c r="J14" s="371" t="s">
        <v>1124</v>
      </c>
      <c r="K14" s="371" t="s">
        <v>517</v>
      </c>
      <c r="L14" s="371" t="s">
        <v>1125</v>
      </c>
    </row>
    <row r="15" spans="1:12" x14ac:dyDescent="0.25">
      <c r="A15" s="371">
        <v>1023</v>
      </c>
      <c r="B15" s="714" t="s">
        <v>528</v>
      </c>
      <c r="C15" s="714"/>
      <c r="D15" s="371" t="s">
        <v>529</v>
      </c>
      <c r="E15" s="371" t="s">
        <v>1126</v>
      </c>
      <c r="F15" s="371" t="s">
        <v>517</v>
      </c>
      <c r="G15" s="371" t="s">
        <v>1127</v>
      </c>
      <c r="H15" s="371" t="s">
        <v>1331</v>
      </c>
      <c r="I15" s="371" t="s">
        <v>530</v>
      </c>
      <c r="J15" s="371" t="s">
        <v>1332</v>
      </c>
      <c r="K15" s="371" t="s">
        <v>517</v>
      </c>
      <c r="L15" s="371" t="s">
        <v>1333</v>
      </c>
    </row>
    <row r="16" spans="1:12" x14ac:dyDescent="0.25">
      <c r="A16" s="371">
        <v>1024</v>
      </c>
      <c r="B16" s="714" t="s">
        <v>531</v>
      </c>
      <c r="C16" s="714"/>
      <c r="D16" s="371" t="s">
        <v>532</v>
      </c>
      <c r="E16" s="371" t="s">
        <v>1131</v>
      </c>
      <c r="F16" s="371" t="s">
        <v>517</v>
      </c>
      <c r="G16" s="371" t="s">
        <v>1132</v>
      </c>
      <c r="H16" s="371" t="s">
        <v>1133</v>
      </c>
      <c r="I16" s="371" t="s">
        <v>517</v>
      </c>
      <c r="J16" s="371" t="s">
        <v>1133</v>
      </c>
      <c r="K16" s="371" t="s">
        <v>517</v>
      </c>
      <c r="L16" s="371" t="s">
        <v>1134</v>
      </c>
    </row>
    <row r="17" spans="1:12" x14ac:dyDescent="0.25">
      <c r="A17" s="371">
        <v>1025</v>
      </c>
      <c r="B17" s="714" t="s">
        <v>533</v>
      </c>
      <c r="C17" s="714"/>
      <c r="D17" s="371" t="s">
        <v>534</v>
      </c>
      <c r="E17" s="371" t="s">
        <v>1135</v>
      </c>
      <c r="F17" s="371" t="s">
        <v>517</v>
      </c>
      <c r="G17" s="371" t="s">
        <v>1136</v>
      </c>
      <c r="H17" s="371" t="s">
        <v>517</v>
      </c>
      <c r="I17" s="371" t="s">
        <v>517</v>
      </c>
      <c r="J17" s="371" t="s">
        <v>517</v>
      </c>
      <c r="K17" s="371" t="s">
        <v>517</v>
      </c>
      <c r="L17" s="371" t="s">
        <v>1136</v>
      </c>
    </row>
    <row r="18" spans="1:12" x14ac:dyDescent="0.25">
      <c r="A18" s="371">
        <v>1026</v>
      </c>
      <c r="B18" s="714" t="s">
        <v>535</v>
      </c>
      <c r="C18" s="714"/>
      <c r="D18" s="371" t="s">
        <v>536</v>
      </c>
      <c r="E18" s="371" t="s">
        <v>1137</v>
      </c>
      <c r="F18" s="371" t="s">
        <v>517</v>
      </c>
      <c r="G18" s="371" t="s">
        <v>1138</v>
      </c>
      <c r="H18" s="371" t="s">
        <v>1139</v>
      </c>
      <c r="I18" s="371" t="s">
        <v>517</v>
      </c>
      <c r="J18" s="371" t="s">
        <v>1139</v>
      </c>
      <c r="K18" s="371" t="s">
        <v>517</v>
      </c>
      <c r="L18" s="371" t="s">
        <v>1334</v>
      </c>
    </row>
    <row r="19" spans="1:12" x14ac:dyDescent="0.25">
      <c r="A19" s="371">
        <v>1031</v>
      </c>
      <c r="B19" s="714" t="s">
        <v>537</v>
      </c>
      <c r="C19" s="714"/>
      <c r="D19" s="371" t="s">
        <v>538</v>
      </c>
      <c r="E19" s="371" t="s">
        <v>1142</v>
      </c>
      <c r="F19" s="371" t="s">
        <v>517</v>
      </c>
      <c r="G19" s="371" t="s">
        <v>1143</v>
      </c>
      <c r="H19" s="371" t="s">
        <v>517</v>
      </c>
      <c r="I19" s="371" t="s">
        <v>517</v>
      </c>
      <c r="J19" s="371" t="s">
        <v>517</v>
      </c>
      <c r="K19" s="371" t="s">
        <v>517</v>
      </c>
      <c r="L19" s="371" t="s">
        <v>1143</v>
      </c>
    </row>
    <row r="20" spans="1:12" x14ac:dyDescent="0.25">
      <c r="A20" s="371">
        <v>1101</v>
      </c>
      <c r="B20" s="714" t="s">
        <v>539</v>
      </c>
      <c r="C20" s="714"/>
      <c r="D20" s="371" t="s">
        <v>540</v>
      </c>
      <c r="E20" s="371" t="s">
        <v>1144</v>
      </c>
      <c r="F20" s="371" t="s">
        <v>517</v>
      </c>
      <c r="G20" s="371" t="s">
        <v>1145</v>
      </c>
      <c r="H20" s="371" t="s">
        <v>517</v>
      </c>
      <c r="I20" s="371" t="s">
        <v>517</v>
      </c>
      <c r="J20" s="371" t="s">
        <v>517</v>
      </c>
      <c r="K20" s="371" t="s">
        <v>517</v>
      </c>
      <c r="L20" s="371" t="s">
        <v>1145</v>
      </c>
    </row>
    <row r="21" spans="1:12" x14ac:dyDescent="0.25">
      <c r="A21" s="371">
        <v>1103</v>
      </c>
      <c r="B21" s="714" t="s">
        <v>541</v>
      </c>
      <c r="C21" s="714"/>
      <c r="D21" s="371" t="s">
        <v>542</v>
      </c>
      <c r="E21" s="371" t="s">
        <v>1146</v>
      </c>
      <c r="F21" s="371" t="s">
        <v>517</v>
      </c>
      <c r="G21" s="371" t="s">
        <v>1147</v>
      </c>
      <c r="H21" s="371" t="s">
        <v>1335</v>
      </c>
      <c r="I21" s="371" t="s">
        <v>517</v>
      </c>
      <c r="J21" s="371" t="s">
        <v>1335</v>
      </c>
      <c r="K21" s="371" t="s">
        <v>517</v>
      </c>
      <c r="L21" s="371" t="s">
        <v>1336</v>
      </c>
    </row>
    <row r="22" spans="1:12" x14ac:dyDescent="0.25">
      <c r="A22" s="371">
        <v>1104</v>
      </c>
      <c r="B22" s="714" t="s">
        <v>543</v>
      </c>
      <c r="C22" s="714"/>
      <c r="D22" s="371" t="s">
        <v>544</v>
      </c>
      <c r="E22" s="371" t="s">
        <v>818</v>
      </c>
      <c r="F22" s="371" t="s">
        <v>517</v>
      </c>
      <c r="G22" s="371" t="s">
        <v>819</v>
      </c>
      <c r="H22" s="371" t="s">
        <v>819</v>
      </c>
      <c r="I22" s="371" t="s">
        <v>517</v>
      </c>
      <c r="J22" s="371" t="s">
        <v>819</v>
      </c>
      <c r="K22" s="371" t="s">
        <v>517</v>
      </c>
      <c r="L22" s="371" t="s">
        <v>517</v>
      </c>
    </row>
    <row r="23" spans="1:12" x14ac:dyDescent="0.25">
      <c r="A23" s="371">
        <v>1121</v>
      </c>
      <c r="B23" s="714" t="s">
        <v>545</v>
      </c>
      <c r="C23" s="714"/>
      <c r="D23" s="371" t="s">
        <v>546</v>
      </c>
      <c r="E23" s="371" t="s">
        <v>1151</v>
      </c>
      <c r="F23" s="371" t="s">
        <v>517</v>
      </c>
      <c r="G23" s="371" t="s">
        <v>1152</v>
      </c>
      <c r="H23" s="371" t="s">
        <v>1337</v>
      </c>
      <c r="I23" s="371" t="s">
        <v>517</v>
      </c>
      <c r="J23" s="371" t="s">
        <v>1337</v>
      </c>
      <c r="K23" s="371" t="s">
        <v>517</v>
      </c>
      <c r="L23" s="371" t="s">
        <v>1338</v>
      </c>
    </row>
    <row r="24" spans="1:12" x14ac:dyDescent="0.25">
      <c r="A24" s="371">
        <v>1122</v>
      </c>
      <c r="B24" s="714" t="s">
        <v>547</v>
      </c>
      <c r="C24" s="714"/>
      <c r="D24" s="371" t="s">
        <v>548</v>
      </c>
      <c r="E24" s="371" t="s">
        <v>1156</v>
      </c>
      <c r="F24" s="371" t="s">
        <v>517</v>
      </c>
      <c r="G24" s="371" t="s">
        <v>1157</v>
      </c>
      <c r="H24" s="371" t="s">
        <v>517</v>
      </c>
      <c r="I24" s="371" t="s">
        <v>517</v>
      </c>
      <c r="J24" s="371" t="s">
        <v>517</v>
      </c>
      <c r="K24" s="371" t="s">
        <v>517</v>
      </c>
      <c r="L24" s="371" t="s">
        <v>1157</v>
      </c>
    </row>
    <row r="25" spans="1:12" x14ac:dyDescent="0.25">
      <c r="A25" s="371">
        <v>1123</v>
      </c>
      <c r="B25" s="714" t="s">
        <v>549</v>
      </c>
      <c r="C25" s="714"/>
      <c r="D25" s="371" t="s">
        <v>550</v>
      </c>
      <c r="E25" s="371" t="s">
        <v>758</v>
      </c>
      <c r="F25" s="371" t="s">
        <v>517</v>
      </c>
      <c r="G25" s="371" t="s">
        <v>759</v>
      </c>
      <c r="H25" s="371" t="s">
        <v>759</v>
      </c>
      <c r="I25" s="371" t="s">
        <v>517</v>
      </c>
      <c r="J25" s="371" t="s">
        <v>759</v>
      </c>
      <c r="K25" s="371" t="s">
        <v>517</v>
      </c>
      <c r="L25" s="371" t="s">
        <v>517</v>
      </c>
    </row>
    <row r="26" spans="1:12" x14ac:dyDescent="0.25">
      <c r="A26" s="371">
        <v>1124</v>
      </c>
      <c r="B26" s="714" t="s">
        <v>551</v>
      </c>
      <c r="C26" s="714"/>
      <c r="D26" s="371" t="s">
        <v>552</v>
      </c>
      <c r="E26" s="371" t="s">
        <v>1159</v>
      </c>
      <c r="F26" s="371" t="s">
        <v>517</v>
      </c>
      <c r="G26" s="371" t="s">
        <v>1160</v>
      </c>
      <c r="H26" s="371" t="s">
        <v>1161</v>
      </c>
      <c r="I26" s="371" t="s">
        <v>517</v>
      </c>
      <c r="J26" s="371" t="s">
        <v>1161</v>
      </c>
      <c r="K26" s="371" t="s">
        <v>517</v>
      </c>
      <c r="L26" s="371" t="s">
        <v>1339</v>
      </c>
    </row>
    <row r="27" spans="1:12" x14ac:dyDescent="0.25">
      <c r="A27" s="371">
        <v>1180</v>
      </c>
      <c r="B27" s="714" t="s">
        <v>553</v>
      </c>
      <c r="C27" s="714"/>
      <c r="D27" s="371" t="s">
        <v>554</v>
      </c>
      <c r="E27" s="371" t="s">
        <v>517</v>
      </c>
      <c r="F27" s="371" t="s">
        <v>517</v>
      </c>
      <c r="G27" s="371" t="s">
        <v>554</v>
      </c>
      <c r="H27" s="371" t="s">
        <v>517</v>
      </c>
      <c r="I27" s="371" t="s">
        <v>517</v>
      </c>
      <c r="J27" s="371" t="s">
        <v>517</v>
      </c>
      <c r="K27" s="371" t="s">
        <v>517</v>
      </c>
      <c r="L27" s="371" t="s">
        <v>554</v>
      </c>
    </row>
    <row r="28" spans="1:12" x14ac:dyDescent="0.25">
      <c r="A28" s="371">
        <v>1181</v>
      </c>
      <c r="B28" s="714" t="s">
        <v>555</v>
      </c>
      <c r="C28" s="714"/>
      <c r="D28" s="371" t="s">
        <v>556</v>
      </c>
      <c r="E28" s="371" t="s">
        <v>1164</v>
      </c>
      <c r="F28" s="371" t="s">
        <v>517</v>
      </c>
      <c r="G28" s="371" t="s">
        <v>1165</v>
      </c>
      <c r="H28" s="371" t="s">
        <v>517</v>
      </c>
      <c r="I28" s="371" t="s">
        <v>517</v>
      </c>
      <c r="J28" s="371" t="s">
        <v>517</v>
      </c>
      <c r="K28" s="371" t="s">
        <v>517</v>
      </c>
      <c r="L28" s="371" t="s">
        <v>1165</v>
      </c>
    </row>
    <row r="29" spans="1:12" x14ac:dyDescent="0.25">
      <c r="A29" s="371">
        <v>1182</v>
      </c>
      <c r="B29" s="714" t="s">
        <v>557</v>
      </c>
      <c r="C29" s="714"/>
      <c r="D29" s="371" t="s">
        <v>558</v>
      </c>
      <c r="E29" s="371" t="s">
        <v>1166</v>
      </c>
      <c r="F29" s="371" t="s">
        <v>517</v>
      </c>
      <c r="G29" s="371" t="s">
        <v>1167</v>
      </c>
      <c r="H29" s="371" t="s">
        <v>559</v>
      </c>
      <c r="I29" s="371" t="s">
        <v>560</v>
      </c>
      <c r="J29" s="371" t="s">
        <v>561</v>
      </c>
      <c r="K29" s="371" t="s">
        <v>517</v>
      </c>
      <c r="L29" s="371" t="s">
        <v>1340</v>
      </c>
    </row>
    <row r="30" spans="1:12" x14ac:dyDescent="0.25">
      <c r="A30" s="371">
        <v>1184</v>
      </c>
      <c r="B30" s="714" t="s">
        <v>562</v>
      </c>
      <c r="C30" s="714"/>
      <c r="D30" s="371" t="s">
        <v>563</v>
      </c>
      <c r="E30" s="371" t="s">
        <v>1169</v>
      </c>
      <c r="F30" s="371" t="s">
        <v>517</v>
      </c>
      <c r="G30" s="371" t="s">
        <v>1170</v>
      </c>
      <c r="H30" s="371" t="s">
        <v>1341</v>
      </c>
      <c r="I30" s="371" t="s">
        <v>564</v>
      </c>
      <c r="J30" s="371" t="s">
        <v>1342</v>
      </c>
      <c r="K30" s="371" t="s">
        <v>517</v>
      </c>
      <c r="L30" s="371" t="s">
        <v>1343</v>
      </c>
    </row>
    <row r="31" spans="1:12" x14ac:dyDescent="0.25">
      <c r="A31" s="371">
        <v>1186</v>
      </c>
      <c r="B31" s="714" t="s">
        <v>565</v>
      </c>
      <c r="C31" s="714"/>
      <c r="D31" s="371" t="s">
        <v>566</v>
      </c>
      <c r="E31" s="371" t="s">
        <v>1174</v>
      </c>
      <c r="F31" s="371" t="s">
        <v>517</v>
      </c>
      <c r="G31" s="371" t="s">
        <v>1175</v>
      </c>
      <c r="H31" s="371" t="s">
        <v>517</v>
      </c>
      <c r="I31" s="371" t="s">
        <v>517</v>
      </c>
      <c r="J31" s="371" t="s">
        <v>517</v>
      </c>
      <c r="K31" s="371" t="s">
        <v>517</v>
      </c>
      <c r="L31" s="371" t="s">
        <v>1175</v>
      </c>
    </row>
    <row r="32" spans="1:12" x14ac:dyDescent="0.25">
      <c r="A32" s="371">
        <v>1187</v>
      </c>
      <c r="B32" s="714" t="s">
        <v>567</v>
      </c>
      <c r="C32" s="714"/>
      <c r="D32" s="371" t="s">
        <v>568</v>
      </c>
      <c r="E32" s="371" t="s">
        <v>1176</v>
      </c>
      <c r="F32" s="371" t="s">
        <v>517</v>
      </c>
      <c r="G32" s="371" t="s">
        <v>1177</v>
      </c>
      <c r="H32" s="371" t="s">
        <v>517</v>
      </c>
      <c r="I32" s="371" t="s">
        <v>517</v>
      </c>
      <c r="J32" s="371" t="s">
        <v>517</v>
      </c>
      <c r="K32" s="371" t="s">
        <v>517</v>
      </c>
      <c r="L32" s="371" t="s">
        <v>1177</v>
      </c>
    </row>
    <row r="33" spans="1:12" x14ac:dyDescent="0.25">
      <c r="A33" s="371">
        <v>1188</v>
      </c>
      <c r="B33" s="714" t="s">
        <v>569</v>
      </c>
      <c r="C33" s="714"/>
      <c r="D33" s="371" t="s">
        <v>570</v>
      </c>
      <c r="E33" s="371" t="s">
        <v>1178</v>
      </c>
      <c r="F33" s="371" t="s">
        <v>517</v>
      </c>
      <c r="G33" s="371" t="s">
        <v>1179</v>
      </c>
      <c r="H33" s="371" t="s">
        <v>1180</v>
      </c>
      <c r="I33" s="371" t="s">
        <v>517</v>
      </c>
      <c r="J33" s="371" t="s">
        <v>1180</v>
      </c>
      <c r="K33" s="371" t="s">
        <v>517</v>
      </c>
      <c r="L33" s="371" t="s">
        <v>1344</v>
      </c>
    </row>
    <row r="34" spans="1:12" x14ac:dyDescent="0.25">
      <c r="A34" s="371">
        <v>1190</v>
      </c>
      <c r="B34" s="714" t="s">
        <v>571</v>
      </c>
      <c r="C34" s="714"/>
      <c r="D34" s="371" t="s">
        <v>572</v>
      </c>
      <c r="E34" s="371" t="s">
        <v>1183</v>
      </c>
      <c r="F34" s="371" t="s">
        <v>517</v>
      </c>
      <c r="G34" s="371" t="s">
        <v>1184</v>
      </c>
      <c r="H34" s="371" t="s">
        <v>830</v>
      </c>
      <c r="I34" s="371" t="s">
        <v>517</v>
      </c>
      <c r="J34" s="371" t="s">
        <v>830</v>
      </c>
      <c r="K34" s="371" t="s">
        <v>517</v>
      </c>
      <c r="L34" s="371" t="s">
        <v>1345</v>
      </c>
    </row>
    <row r="35" spans="1:12" x14ac:dyDescent="0.25">
      <c r="A35" s="371">
        <v>1500</v>
      </c>
      <c r="B35" s="714" t="s">
        <v>148</v>
      </c>
      <c r="C35" s="714"/>
      <c r="D35" s="371" t="s">
        <v>573</v>
      </c>
      <c r="E35" s="371" t="s">
        <v>1186</v>
      </c>
      <c r="F35" s="371" t="s">
        <v>517</v>
      </c>
      <c r="G35" s="371" t="s">
        <v>1187</v>
      </c>
      <c r="H35" s="371" t="s">
        <v>1188</v>
      </c>
      <c r="I35" s="371" t="s">
        <v>517</v>
      </c>
      <c r="J35" s="371" t="s">
        <v>1188</v>
      </c>
      <c r="K35" s="371" t="s">
        <v>517</v>
      </c>
      <c r="L35" s="371" t="s">
        <v>1346</v>
      </c>
    </row>
    <row r="36" spans="1:12" x14ac:dyDescent="0.25">
      <c r="A36" s="371">
        <v>3812</v>
      </c>
      <c r="B36" s="714" t="s">
        <v>574</v>
      </c>
      <c r="C36" s="714"/>
      <c r="D36" s="371" t="s">
        <v>575</v>
      </c>
      <c r="E36" s="371" t="s">
        <v>1191</v>
      </c>
      <c r="F36" s="371" t="s">
        <v>517</v>
      </c>
      <c r="G36" s="371" t="s">
        <v>1192</v>
      </c>
      <c r="H36" s="371" t="s">
        <v>517</v>
      </c>
      <c r="I36" s="371" t="s">
        <v>517</v>
      </c>
      <c r="J36" s="371" t="s">
        <v>517</v>
      </c>
      <c r="K36" s="371" t="s">
        <v>517</v>
      </c>
      <c r="L36" s="371" t="s">
        <v>1192</v>
      </c>
    </row>
    <row r="37" spans="1:12" x14ac:dyDescent="0.25">
      <c r="A37" s="371">
        <v>3813</v>
      </c>
      <c r="B37" s="714" t="s">
        <v>576</v>
      </c>
      <c r="C37" s="714"/>
      <c r="D37" s="371" t="s">
        <v>577</v>
      </c>
      <c r="E37" s="371" t="s">
        <v>1194</v>
      </c>
      <c r="F37" s="371" t="s">
        <v>517</v>
      </c>
      <c r="G37" s="371" t="s">
        <v>1195</v>
      </c>
      <c r="H37" s="371" t="s">
        <v>517</v>
      </c>
      <c r="I37" s="371" t="s">
        <v>517</v>
      </c>
      <c r="J37" s="371" t="s">
        <v>517</v>
      </c>
      <c r="K37" s="371" t="s">
        <v>517</v>
      </c>
      <c r="L37" s="371" t="s">
        <v>1195</v>
      </c>
    </row>
    <row r="38" spans="1:12" x14ac:dyDescent="0.25">
      <c r="A38" s="371">
        <v>3814</v>
      </c>
      <c r="B38" s="714" t="s">
        <v>877</v>
      </c>
      <c r="C38" s="714"/>
      <c r="D38" s="371" t="s">
        <v>517</v>
      </c>
      <c r="E38" s="371" t="s">
        <v>1196</v>
      </c>
      <c r="F38" s="371" t="s">
        <v>517</v>
      </c>
      <c r="G38" s="371" t="s">
        <v>1196</v>
      </c>
      <c r="H38" s="371" t="s">
        <v>517</v>
      </c>
      <c r="I38" s="371" t="s">
        <v>517</v>
      </c>
      <c r="J38" s="371" t="s">
        <v>517</v>
      </c>
      <c r="K38" s="371" t="s">
        <v>517</v>
      </c>
      <c r="L38" s="371" t="s">
        <v>1196</v>
      </c>
    </row>
    <row r="39" spans="1:12" x14ac:dyDescent="0.25">
      <c r="A39" s="371">
        <v>3818</v>
      </c>
      <c r="B39" s="714" t="s">
        <v>578</v>
      </c>
      <c r="C39" s="714"/>
      <c r="D39" s="371" t="s">
        <v>579</v>
      </c>
      <c r="E39" s="371" t="s">
        <v>766</v>
      </c>
      <c r="F39" s="371" t="s">
        <v>517</v>
      </c>
      <c r="G39" s="371" t="s">
        <v>767</v>
      </c>
      <c r="H39" s="371" t="s">
        <v>767</v>
      </c>
      <c r="I39" s="371" t="s">
        <v>517</v>
      </c>
      <c r="J39" s="371" t="s">
        <v>767</v>
      </c>
      <c r="K39" s="371" t="s">
        <v>517</v>
      </c>
      <c r="L39" s="371" t="s">
        <v>517</v>
      </c>
    </row>
    <row r="40" spans="1:12" x14ac:dyDescent="0.25">
      <c r="A40" s="371">
        <v>3819</v>
      </c>
      <c r="B40" s="714" t="s">
        <v>580</v>
      </c>
      <c r="C40" s="714"/>
      <c r="D40" s="371" t="s">
        <v>581</v>
      </c>
      <c r="E40" s="371" t="s">
        <v>878</v>
      </c>
      <c r="F40" s="371" t="s">
        <v>517</v>
      </c>
      <c r="G40" s="371" t="s">
        <v>879</v>
      </c>
      <c r="H40" s="371" t="s">
        <v>1197</v>
      </c>
      <c r="I40" s="371" t="s">
        <v>1347</v>
      </c>
      <c r="J40" s="371" t="s">
        <v>1348</v>
      </c>
      <c r="K40" s="371" t="s">
        <v>517</v>
      </c>
      <c r="L40" s="371" t="s">
        <v>1349</v>
      </c>
    </row>
    <row r="41" spans="1:12" x14ac:dyDescent="0.25">
      <c r="A41" s="371">
        <v>3821</v>
      </c>
      <c r="B41" s="714" t="s">
        <v>582</v>
      </c>
      <c r="C41" s="714"/>
      <c r="D41" s="371" t="s">
        <v>583</v>
      </c>
      <c r="E41" s="371" t="s">
        <v>880</v>
      </c>
      <c r="F41" s="371" t="s">
        <v>517</v>
      </c>
      <c r="G41" s="371" t="s">
        <v>881</v>
      </c>
      <c r="H41" s="371" t="s">
        <v>881</v>
      </c>
      <c r="I41" s="371" t="s">
        <v>517</v>
      </c>
      <c r="J41" s="371" t="s">
        <v>881</v>
      </c>
      <c r="K41" s="371" t="s">
        <v>517</v>
      </c>
      <c r="L41" s="371" t="s">
        <v>517</v>
      </c>
    </row>
    <row r="42" spans="1:12" x14ac:dyDescent="0.25">
      <c r="A42" s="371">
        <v>3822</v>
      </c>
      <c r="B42" s="714" t="s">
        <v>584</v>
      </c>
      <c r="C42" s="714"/>
      <c r="D42" s="371" t="s">
        <v>585</v>
      </c>
      <c r="E42" s="371" t="s">
        <v>882</v>
      </c>
      <c r="F42" s="371" t="s">
        <v>517</v>
      </c>
      <c r="G42" s="371" t="s">
        <v>883</v>
      </c>
      <c r="H42" s="371" t="s">
        <v>769</v>
      </c>
      <c r="I42" s="371" t="s">
        <v>770</v>
      </c>
      <c r="J42" s="371" t="s">
        <v>771</v>
      </c>
      <c r="K42" s="371" t="s">
        <v>517</v>
      </c>
      <c r="L42" s="371" t="s">
        <v>884</v>
      </c>
    </row>
    <row r="43" spans="1:12" x14ac:dyDescent="0.25">
      <c r="A43" s="371">
        <v>3826</v>
      </c>
      <c r="B43" s="714" t="s">
        <v>586</v>
      </c>
      <c r="C43" s="714"/>
      <c r="D43" s="371" t="s">
        <v>587</v>
      </c>
      <c r="E43" s="371" t="s">
        <v>588</v>
      </c>
      <c r="F43" s="371" t="s">
        <v>517</v>
      </c>
      <c r="G43" s="371" t="s">
        <v>589</v>
      </c>
      <c r="H43" s="371" t="s">
        <v>517</v>
      </c>
      <c r="I43" s="371" t="s">
        <v>517</v>
      </c>
      <c r="J43" s="371" t="s">
        <v>517</v>
      </c>
      <c r="K43" s="371" t="s">
        <v>517</v>
      </c>
      <c r="L43" s="371" t="s">
        <v>589</v>
      </c>
    </row>
    <row r="44" spans="1:12" x14ac:dyDescent="0.25">
      <c r="A44" s="371">
        <v>3827</v>
      </c>
      <c r="B44" s="714" t="s">
        <v>590</v>
      </c>
      <c r="C44" s="714"/>
      <c r="D44" s="371" t="s">
        <v>591</v>
      </c>
      <c r="E44" s="371" t="s">
        <v>592</v>
      </c>
      <c r="F44" s="371" t="s">
        <v>517</v>
      </c>
      <c r="G44" s="371" t="s">
        <v>593</v>
      </c>
      <c r="H44" s="371" t="s">
        <v>594</v>
      </c>
      <c r="I44" s="371" t="s">
        <v>517</v>
      </c>
      <c r="J44" s="371" t="s">
        <v>594</v>
      </c>
      <c r="K44" s="371" t="s">
        <v>517</v>
      </c>
      <c r="L44" s="371" t="s">
        <v>595</v>
      </c>
    </row>
    <row r="45" spans="1:12" x14ac:dyDescent="0.25">
      <c r="A45" s="371">
        <v>3831</v>
      </c>
      <c r="B45" s="714" t="s">
        <v>596</v>
      </c>
      <c r="C45" s="714"/>
      <c r="D45" s="371" t="s">
        <v>597</v>
      </c>
      <c r="E45" s="371" t="s">
        <v>1200</v>
      </c>
      <c r="F45" s="371" t="s">
        <v>517</v>
      </c>
      <c r="G45" s="371" t="s">
        <v>1201</v>
      </c>
      <c r="H45" s="371" t="s">
        <v>517</v>
      </c>
      <c r="I45" s="371" t="s">
        <v>1350</v>
      </c>
      <c r="J45" s="371" t="s">
        <v>1350</v>
      </c>
      <c r="K45" s="371" t="s">
        <v>517</v>
      </c>
      <c r="L45" s="371" t="s">
        <v>1351</v>
      </c>
    </row>
    <row r="46" spans="1:12" x14ac:dyDescent="0.25">
      <c r="A46" s="371">
        <v>3832</v>
      </c>
      <c r="B46" s="714" t="s">
        <v>599</v>
      </c>
      <c r="C46" s="714"/>
      <c r="D46" s="371" t="s">
        <v>600</v>
      </c>
      <c r="E46" s="371" t="s">
        <v>1203</v>
      </c>
      <c r="F46" s="371" t="s">
        <v>517</v>
      </c>
      <c r="G46" s="371" t="s">
        <v>1204</v>
      </c>
      <c r="H46" s="371" t="s">
        <v>779</v>
      </c>
      <c r="I46" s="371" t="s">
        <v>780</v>
      </c>
      <c r="J46" s="371" t="s">
        <v>781</v>
      </c>
      <c r="K46" s="371" t="s">
        <v>517</v>
      </c>
      <c r="L46" s="371" t="s">
        <v>1205</v>
      </c>
    </row>
    <row r="47" spans="1:12" x14ac:dyDescent="0.25">
      <c r="A47" s="371">
        <v>3833</v>
      </c>
      <c r="B47" s="714" t="s">
        <v>602</v>
      </c>
      <c r="C47" s="714"/>
      <c r="D47" s="371" t="s">
        <v>603</v>
      </c>
      <c r="E47" s="371" t="s">
        <v>1206</v>
      </c>
      <c r="F47" s="371" t="s">
        <v>517</v>
      </c>
      <c r="G47" s="371" t="s">
        <v>1207</v>
      </c>
      <c r="H47" s="371" t="s">
        <v>517</v>
      </c>
      <c r="I47" s="371" t="s">
        <v>888</v>
      </c>
      <c r="J47" s="371" t="s">
        <v>888</v>
      </c>
      <c r="K47" s="371" t="s">
        <v>517</v>
      </c>
      <c r="L47" s="371" t="s">
        <v>1352</v>
      </c>
    </row>
    <row r="48" spans="1:12" x14ac:dyDescent="0.25">
      <c r="A48" s="371">
        <v>3836</v>
      </c>
      <c r="B48" s="714" t="s">
        <v>604</v>
      </c>
      <c r="C48" s="714"/>
      <c r="D48" s="371" t="s">
        <v>517</v>
      </c>
      <c r="E48" s="371" t="s">
        <v>1209</v>
      </c>
      <c r="F48" s="371" t="s">
        <v>517</v>
      </c>
      <c r="G48" s="371" t="s">
        <v>1209</v>
      </c>
      <c r="H48" s="371" t="s">
        <v>1209</v>
      </c>
      <c r="I48" s="371" t="s">
        <v>517</v>
      </c>
      <c r="J48" s="371" t="s">
        <v>1209</v>
      </c>
      <c r="K48" s="371" t="s">
        <v>517</v>
      </c>
      <c r="L48" s="371" t="s">
        <v>517</v>
      </c>
    </row>
    <row r="49" spans="1:12" x14ac:dyDescent="0.25">
      <c r="A49" s="371">
        <v>3838</v>
      </c>
      <c r="B49" s="714" t="s">
        <v>783</v>
      </c>
      <c r="C49" s="714"/>
      <c r="D49" s="371" t="s">
        <v>517</v>
      </c>
      <c r="E49" s="371" t="s">
        <v>1210</v>
      </c>
      <c r="F49" s="371" t="s">
        <v>517</v>
      </c>
      <c r="G49" s="371" t="s">
        <v>1210</v>
      </c>
      <c r="H49" s="371" t="s">
        <v>517</v>
      </c>
      <c r="I49" s="371" t="s">
        <v>517</v>
      </c>
      <c r="J49" s="371" t="s">
        <v>517</v>
      </c>
      <c r="K49" s="371" t="s">
        <v>517</v>
      </c>
      <c r="L49" s="371" t="s">
        <v>1210</v>
      </c>
    </row>
    <row r="50" spans="1:12" x14ac:dyDescent="0.25">
      <c r="A50" s="371">
        <v>3839</v>
      </c>
      <c r="B50" s="714" t="s">
        <v>784</v>
      </c>
      <c r="C50" s="714"/>
      <c r="D50" s="371" t="s">
        <v>517</v>
      </c>
      <c r="E50" s="371" t="s">
        <v>1211</v>
      </c>
      <c r="F50" s="371" t="s">
        <v>517</v>
      </c>
      <c r="G50" s="371" t="s">
        <v>1211</v>
      </c>
      <c r="H50" s="371" t="s">
        <v>517</v>
      </c>
      <c r="I50" s="371" t="s">
        <v>517</v>
      </c>
      <c r="J50" s="371" t="s">
        <v>517</v>
      </c>
      <c r="K50" s="371" t="s">
        <v>517</v>
      </c>
      <c r="L50" s="371" t="s">
        <v>1211</v>
      </c>
    </row>
    <row r="51" spans="1:12" x14ac:dyDescent="0.25">
      <c r="A51" s="371">
        <v>3841</v>
      </c>
      <c r="B51" s="714" t="s">
        <v>885</v>
      </c>
      <c r="C51" s="714"/>
      <c r="D51" s="371" t="s">
        <v>517</v>
      </c>
      <c r="E51" s="371" t="s">
        <v>1212</v>
      </c>
      <c r="F51" s="371" t="s">
        <v>517</v>
      </c>
      <c r="G51" s="371" t="s">
        <v>1212</v>
      </c>
      <c r="H51" s="371" t="s">
        <v>1213</v>
      </c>
      <c r="I51" s="371" t="s">
        <v>517</v>
      </c>
      <c r="J51" s="371" t="s">
        <v>1213</v>
      </c>
      <c r="K51" s="371" t="s">
        <v>517</v>
      </c>
      <c r="L51" s="371" t="s">
        <v>1214</v>
      </c>
    </row>
    <row r="52" spans="1:12" x14ac:dyDescent="0.25">
      <c r="A52" s="371">
        <v>3843</v>
      </c>
      <c r="B52" s="714" t="s">
        <v>1215</v>
      </c>
      <c r="C52" s="714"/>
      <c r="D52" s="371" t="s">
        <v>1216</v>
      </c>
      <c r="E52" s="371" t="s">
        <v>1217</v>
      </c>
      <c r="F52" s="371" t="s">
        <v>517</v>
      </c>
      <c r="G52" s="371" t="s">
        <v>1218</v>
      </c>
      <c r="H52" s="371" t="s">
        <v>517</v>
      </c>
      <c r="I52" s="371" t="s">
        <v>517</v>
      </c>
      <c r="J52" s="371" t="s">
        <v>517</v>
      </c>
      <c r="K52" s="371" t="s">
        <v>517</v>
      </c>
      <c r="L52" s="371" t="s">
        <v>1218</v>
      </c>
    </row>
    <row r="53" spans="1:12" x14ac:dyDescent="0.25">
      <c r="A53" s="371">
        <v>4000</v>
      </c>
      <c r="B53" s="714" t="s">
        <v>605</v>
      </c>
      <c r="C53" s="714"/>
      <c r="D53" s="371" t="s">
        <v>606</v>
      </c>
      <c r="E53" s="371" t="s">
        <v>517</v>
      </c>
      <c r="F53" s="371" t="s">
        <v>517</v>
      </c>
      <c r="G53" s="371" t="s">
        <v>606</v>
      </c>
      <c r="H53" s="371" t="s">
        <v>517</v>
      </c>
      <c r="I53" s="371" t="s">
        <v>517</v>
      </c>
      <c r="J53" s="371" t="s">
        <v>517</v>
      </c>
      <c r="K53" s="371" t="s">
        <v>517</v>
      </c>
      <c r="L53" s="371" t="s">
        <v>606</v>
      </c>
    </row>
    <row r="54" spans="1:12" x14ac:dyDescent="0.25">
      <c r="A54" s="371">
        <v>4001</v>
      </c>
      <c r="B54" s="714" t="s">
        <v>607</v>
      </c>
      <c r="C54" s="714"/>
      <c r="D54" s="371" t="s">
        <v>1219</v>
      </c>
      <c r="E54" s="371" t="s">
        <v>1220</v>
      </c>
      <c r="F54" s="371" t="s">
        <v>517</v>
      </c>
      <c r="G54" s="371" t="s">
        <v>1221</v>
      </c>
      <c r="H54" s="371" t="s">
        <v>822</v>
      </c>
      <c r="I54" s="371" t="s">
        <v>517</v>
      </c>
      <c r="J54" s="371" t="s">
        <v>822</v>
      </c>
      <c r="K54" s="371" t="s">
        <v>517</v>
      </c>
      <c r="L54" s="371" t="s">
        <v>1353</v>
      </c>
    </row>
    <row r="55" spans="1:12" x14ac:dyDescent="0.25">
      <c r="A55" s="371">
        <v>4011</v>
      </c>
      <c r="B55" s="714" t="s">
        <v>608</v>
      </c>
      <c r="C55" s="714"/>
      <c r="D55" s="371" t="s">
        <v>609</v>
      </c>
      <c r="E55" s="371" t="s">
        <v>1224</v>
      </c>
      <c r="F55" s="371" t="s">
        <v>517</v>
      </c>
      <c r="G55" s="371" t="s">
        <v>1225</v>
      </c>
      <c r="H55" s="371" t="s">
        <v>1226</v>
      </c>
      <c r="I55" s="371" t="s">
        <v>517</v>
      </c>
      <c r="J55" s="371" t="s">
        <v>1226</v>
      </c>
      <c r="K55" s="371" t="s">
        <v>517</v>
      </c>
      <c r="L55" s="371" t="s">
        <v>1354</v>
      </c>
    </row>
    <row r="56" spans="1:12" x14ac:dyDescent="0.25">
      <c r="A56" s="371">
        <v>4030</v>
      </c>
      <c r="B56" s="714" t="s">
        <v>610</v>
      </c>
      <c r="C56" s="714"/>
      <c r="D56" s="371" t="s">
        <v>611</v>
      </c>
      <c r="E56" s="371" t="s">
        <v>517</v>
      </c>
      <c r="F56" s="371" t="s">
        <v>517</v>
      </c>
      <c r="G56" s="371" t="s">
        <v>611</v>
      </c>
      <c r="H56" s="371" t="s">
        <v>517</v>
      </c>
      <c r="I56" s="371" t="s">
        <v>517</v>
      </c>
      <c r="J56" s="371" t="s">
        <v>517</v>
      </c>
      <c r="K56" s="371" t="s">
        <v>517</v>
      </c>
      <c r="L56" s="371" t="s">
        <v>611</v>
      </c>
    </row>
    <row r="57" spans="1:12" x14ac:dyDescent="0.25">
      <c r="A57" s="371">
        <v>4050</v>
      </c>
      <c r="B57" s="714" t="s">
        <v>612</v>
      </c>
      <c r="C57" s="714"/>
      <c r="D57" s="371" t="s">
        <v>613</v>
      </c>
      <c r="E57" s="371" t="s">
        <v>1229</v>
      </c>
      <c r="F57" s="371" t="s">
        <v>517</v>
      </c>
      <c r="G57" s="371" t="s">
        <v>1230</v>
      </c>
      <c r="H57" s="371" t="s">
        <v>1231</v>
      </c>
      <c r="I57" s="371" t="s">
        <v>517</v>
      </c>
      <c r="J57" s="371" t="s">
        <v>1231</v>
      </c>
      <c r="K57" s="371" t="s">
        <v>517</v>
      </c>
      <c r="L57" s="371" t="s">
        <v>1355</v>
      </c>
    </row>
    <row r="58" spans="1:12" x14ac:dyDescent="0.25">
      <c r="A58" s="371">
        <v>4051</v>
      </c>
      <c r="B58" s="714" t="s">
        <v>614</v>
      </c>
      <c r="C58" s="714"/>
      <c r="D58" s="371" t="s">
        <v>615</v>
      </c>
      <c r="E58" s="371" t="s">
        <v>1234</v>
      </c>
      <c r="F58" s="371" t="s">
        <v>517</v>
      </c>
      <c r="G58" s="371" t="s">
        <v>1235</v>
      </c>
      <c r="H58" s="371" t="s">
        <v>517</v>
      </c>
      <c r="I58" s="371" t="s">
        <v>517</v>
      </c>
      <c r="J58" s="371" t="s">
        <v>517</v>
      </c>
      <c r="K58" s="371" t="s">
        <v>517</v>
      </c>
      <c r="L58" s="371" t="s">
        <v>1235</v>
      </c>
    </row>
    <row r="59" spans="1:12" x14ac:dyDescent="0.25">
      <c r="A59" s="371">
        <v>4080</v>
      </c>
      <c r="B59" s="714" t="s">
        <v>616</v>
      </c>
      <c r="C59" s="714"/>
      <c r="D59" s="371" t="s">
        <v>617</v>
      </c>
      <c r="E59" s="371" t="s">
        <v>517</v>
      </c>
      <c r="F59" s="371" t="s">
        <v>517</v>
      </c>
      <c r="G59" s="371" t="s">
        <v>617</v>
      </c>
      <c r="H59" s="371" t="s">
        <v>517</v>
      </c>
      <c r="I59" s="371" t="s">
        <v>517</v>
      </c>
      <c r="J59" s="371" t="s">
        <v>517</v>
      </c>
      <c r="K59" s="371" t="s">
        <v>517</v>
      </c>
      <c r="L59" s="371" t="s">
        <v>617</v>
      </c>
    </row>
    <row r="60" spans="1:12" x14ac:dyDescent="0.25">
      <c r="A60" s="371">
        <v>4090</v>
      </c>
      <c r="B60" s="714" t="s">
        <v>618</v>
      </c>
      <c r="C60" s="714"/>
      <c r="D60" s="371" t="s">
        <v>619</v>
      </c>
      <c r="E60" s="371" t="s">
        <v>1236</v>
      </c>
      <c r="F60" s="371" t="s">
        <v>517</v>
      </c>
      <c r="G60" s="371" t="s">
        <v>1237</v>
      </c>
      <c r="H60" s="371" t="s">
        <v>1238</v>
      </c>
      <c r="I60" s="371" t="s">
        <v>517</v>
      </c>
      <c r="J60" s="371" t="s">
        <v>1238</v>
      </c>
      <c r="K60" s="371" t="s">
        <v>517</v>
      </c>
      <c r="L60" s="371" t="s">
        <v>1356</v>
      </c>
    </row>
    <row r="61" spans="1:12" x14ac:dyDescent="0.25">
      <c r="A61" s="371">
        <v>4160</v>
      </c>
      <c r="B61" s="714" t="s">
        <v>620</v>
      </c>
      <c r="C61" s="714"/>
      <c r="D61" s="371" t="s">
        <v>621</v>
      </c>
      <c r="E61" s="371" t="s">
        <v>1241</v>
      </c>
      <c r="F61" s="371" t="s">
        <v>517</v>
      </c>
      <c r="G61" s="371" t="s">
        <v>1242</v>
      </c>
      <c r="H61" s="371" t="s">
        <v>517</v>
      </c>
      <c r="I61" s="371" t="s">
        <v>517</v>
      </c>
      <c r="J61" s="371" t="s">
        <v>517</v>
      </c>
      <c r="K61" s="371" t="s">
        <v>517</v>
      </c>
      <c r="L61" s="371" t="s">
        <v>1242</v>
      </c>
    </row>
    <row r="62" spans="1:12" x14ac:dyDescent="0.25">
      <c r="A62" s="371">
        <v>4170</v>
      </c>
      <c r="B62" s="714" t="s">
        <v>622</v>
      </c>
      <c r="C62" s="714"/>
      <c r="D62" s="371" t="s">
        <v>623</v>
      </c>
      <c r="E62" s="371" t="s">
        <v>1243</v>
      </c>
      <c r="F62" s="371" t="s">
        <v>517</v>
      </c>
      <c r="G62" s="371" t="s">
        <v>1244</v>
      </c>
      <c r="H62" s="371" t="s">
        <v>1357</v>
      </c>
      <c r="I62" s="371" t="s">
        <v>517</v>
      </c>
      <c r="J62" s="371" t="s">
        <v>1357</v>
      </c>
      <c r="K62" s="371" t="s">
        <v>517</v>
      </c>
      <c r="L62" s="371" t="s">
        <v>1358</v>
      </c>
    </row>
    <row r="63" spans="1:12" x14ac:dyDescent="0.25">
      <c r="A63" s="371">
        <v>4190</v>
      </c>
      <c r="B63" s="714" t="s">
        <v>624</v>
      </c>
      <c r="C63" s="714"/>
      <c r="D63" s="371" t="s">
        <v>625</v>
      </c>
      <c r="E63" s="371" t="s">
        <v>1247</v>
      </c>
      <c r="F63" s="371" t="s">
        <v>517</v>
      </c>
      <c r="G63" s="371" t="s">
        <v>1248</v>
      </c>
      <c r="H63" s="371" t="s">
        <v>706</v>
      </c>
      <c r="I63" s="371" t="s">
        <v>517</v>
      </c>
      <c r="J63" s="371" t="s">
        <v>706</v>
      </c>
      <c r="K63" s="371" t="s">
        <v>517</v>
      </c>
      <c r="L63" s="371" t="s">
        <v>1249</v>
      </c>
    </row>
    <row r="64" spans="1:12" x14ac:dyDescent="0.25">
      <c r="A64" s="371">
        <v>4220</v>
      </c>
      <c r="B64" s="714" t="s">
        <v>626</v>
      </c>
      <c r="C64" s="714"/>
      <c r="D64" s="371" t="s">
        <v>627</v>
      </c>
      <c r="E64" s="371" t="s">
        <v>1250</v>
      </c>
      <c r="F64" s="371" t="s">
        <v>517</v>
      </c>
      <c r="G64" s="371" t="s">
        <v>1251</v>
      </c>
      <c r="H64" s="371" t="s">
        <v>1252</v>
      </c>
      <c r="I64" s="371" t="s">
        <v>517</v>
      </c>
      <c r="J64" s="371" t="s">
        <v>1252</v>
      </c>
      <c r="K64" s="371" t="s">
        <v>517</v>
      </c>
      <c r="L64" s="371" t="s">
        <v>1253</v>
      </c>
    </row>
    <row r="65" spans="1:12" x14ac:dyDescent="0.25">
      <c r="A65" s="371">
        <v>4234</v>
      </c>
      <c r="B65" s="714" t="s">
        <v>628</v>
      </c>
      <c r="C65" s="714"/>
      <c r="D65" s="371" t="s">
        <v>629</v>
      </c>
      <c r="E65" s="371" t="s">
        <v>517</v>
      </c>
      <c r="F65" s="371" t="s">
        <v>517</v>
      </c>
      <c r="G65" s="371" t="s">
        <v>629</v>
      </c>
      <c r="H65" s="371" t="s">
        <v>517</v>
      </c>
      <c r="I65" s="371" t="s">
        <v>517</v>
      </c>
      <c r="J65" s="371" t="s">
        <v>517</v>
      </c>
      <c r="K65" s="371" t="s">
        <v>517</v>
      </c>
      <c r="L65" s="371" t="s">
        <v>629</v>
      </c>
    </row>
    <row r="66" spans="1:12" x14ac:dyDescent="0.25">
      <c r="A66" s="371">
        <v>4270</v>
      </c>
      <c r="B66" s="714" t="s">
        <v>630</v>
      </c>
      <c r="C66" s="714"/>
      <c r="D66" s="371" t="s">
        <v>631</v>
      </c>
      <c r="E66" s="371" t="s">
        <v>1254</v>
      </c>
      <c r="F66" s="371" t="s">
        <v>517</v>
      </c>
      <c r="G66" s="371" t="s">
        <v>1255</v>
      </c>
      <c r="H66" s="371" t="s">
        <v>517</v>
      </c>
      <c r="I66" s="371" t="s">
        <v>517</v>
      </c>
      <c r="J66" s="371" t="s">
        <v>517</v>
      </c>
      <c r="K66" s="371" t="s">
        <v>517</v>
      </c>
      <c r="L66" s="371" t="s">
        <v>1255</v>
      </c>
    </row>
    <row r="67" spans="1:12" x14ac:dyDescent="0.25">
      <c r="A67" s="371">
        <v>4290</v>
      </c>
      <c r="B67" s="714" t="s">
        <v>632</v>
      </c>
      <c r="C67" s="714"/>
      <c r="D67" s="371" t="s">
        <v>633</v>
      </c>
      <c r="E67" s="371" t="s">
        <v>517</v>
      </c>
      <c r="F67" s="371" t="s">
        <v>517</v>
      </c>
      <c r="G67" s="371" t="s">
        <v>633</v>
      </c>
      <c r="H67" s="371" t="s">
        <v>517</v>
      </c>
      <c r="I67" s="371" t="s">
        <v>517</v>
      </c>
      <c r="J67" s="371" t="s">
        <v>517</v>
      </c>
      <c r="K67" s="371" t="s">
        <v>517</v>
      </c>
      <c r="L67" s="371" t="s">
        <v>633</v>
      </c>
    </row>
    <row r="68" spans="1:12" x14ac:dyDescent="0.25">
      <c r="A68" s="371">
        <v>4292</v>
      </c>
      <c r="B68" s="714" t="s">
        <v>634</v>
      </c>
      <c r="C68" s="714"/>
      <c r="D68" s="371" t="s">
        <v>635</v>
      </c>
      <c r="E68" s="371" t="s">
        <v>1257</v>
      </c>
      <c r="F68" s="371" t="s">
        <v>517</v>
      </c>
      <c r="G68" s="371" t="s">
        <v>1258</v>
      </c>
      <c r="H68" s="371" t="s">
        <v>517</v>
      </c>
      <c r="I68" s="371" t="s">
        <v>517</v>
      </c>
      <c r="J68" s="371" t="s">
        <v>517</v>
      </c>
      <c r="K68" s="371" t="s">
        <v>517</v>
      </c>
      <c r="L68" s="371" t="s">
        <v>1258</v>
      </c>
    </row>
    <row r="69" spans="1:12" x14ac:dyDescent="0.25">
      <c r="A69" s="371">
        <v>4293</v>
      </c>
      <c r="B69" s="714" t="s">
        <v>636</v>
      </c>
      <c r="C69" s="714"/>
      <c r="D69" s="371" t="s">
        <v>637</v>
      </c>
      <c r="E69" s="371" t="s">
        <v>1259</v>
      </c>
      <c r="F69" s="371" t="s">
        <v>517</v>
      </c>
      <c r="G69" s="371" t="s">
        <v>1260</v>
      </c>
      <c r="H69" s="371" t="s">
        <v>517</v>
      </c>
      <c r="I69" s="371" t="s">
        <v>517</v>
      </c>
      <c r="J69" s="371" t="s">
        <v>517</v>
      </c>
      <c r="K69" s="371" t="s">
        <v>517</v>
      </c>
      <c r="L69" s="371" t="s">
        <v>1260</v>
      </c>
    </row>
    <row r="70" spans="1:12" x14ac:dyDescent="0.25">
      <c r="A70" s="371">
        <v>4294</v>
      </c>
      <c r="B70" s="714" t="s">
        <v>638</v>
      </c>
      <c r="C70" s="714"/>
      <c r="D70" s="371" t="s">
        <v>639</v>
      </c>
      <c r="E70" s="371" t="s">
        <v>1261</v>
      </c>
      <c r="F70" s="371" t="s">
        <v>517</v>
      </c>
      <c r="G70" s="371" t="s">
        <v>1262</v>
      </c>
      <c r="H70" s="371" t="s">
        <v>517</v>
      </c>
      <c r="I70" s="371" t="s">
        <v>517</v>
      </c>
      <c r="J70" s="371" t="s">
        <v>517</v>
      </c>
      <c r="K70" s="371" t="s">
        <v>517</v>
      </c>
      <c r="L70" s="371" t="s">
        <v>1262</v>
      </c>
    </row>
    <row r="71" spans="1:12" x14ac:dyDescent="0.25">
      <c r="A71" s="371">
        <v>4295</v>
      </c>
      <c r="B71" s="714" t="s">
        <v>640</v>
      </c>
      <c r="C71" s="714"/>
      <c r="D71" s="371" t="s">
        <v>641</v>
      </c>
      <c r="E71" s="371" t="s">
        <v>1264</v>
      </c>
      <c r="F71" s="371" t="s">
        <v>517</v>
      </c>
      <c r="G71" s="371" t="s">
        <v>1265</v>
      </c>
      <c r="H71" s="371" t="s">
        <v>889</v>
      </c>
      <c r="I71" s="371" t="s">
        <v>517</v>
      </c>
      <c r="J71" s="371" t="s">
        <v>889</v>
      </c>
      <c r="K71" s="371" t="s">
        <v>517</v>
      </c>
      <c r="L71" s="371" t="s">
        <v>1359</v>
      </c>
    </row>
    <row r="72" spans="1:12" x14ac:dyDescent="0.25">
      <c r="A72" s="371">
        <v>4500</v>
      </c>
      <c r="B72" s="714" t="s">
        <v>642</v>
      </c>
      <c r="C72" s="714"/>
      <c r="D72" s="371" t="s">
        <v>643</v>
      </c>
      <c r="E72" s="371" t="s">
        <v>1267</v>
      </c>
      <c r="F72" s="371" t="s">
        <v>517</v>
      </c>
      <c r="G72" s="371" t="s">
        <v>1268</v>
      </c>
      <c r="H72" s="371" t="s">
        <v>1360</v>
      </c>
      <c r="I72" s="371" t="s">
        <v>517</v>
      </c>
      <c r="J72" s="371" t="s">
        <v>1360</v>
      </c>
      <c r="K72" s="371" t="s">
        <v>517</v>
      </c>
      <c r="L72" s="371" t="s">
        <v>1361</v>
      </c>
    </row>
    <row r="73" spans="1:12" x14ac:dyDescent="0.25">
      <c r="A73" s="371">
        <v>4501</v>
      </c>
      <c r="B73" s="714" t="s">
        <v>644</v>
      </c>
      <c r="C73" s="714"/>
      <c r="D73" s="371" t="s">
        <v>645</v>
      </c>
      <c r="E73" s="371" t="s">
        <v>1272</v>
      </c>
      <c r="F73" s="371" t="s">
        <v>517</v>
      </c>
      <c r="G73" s="371" t="s">
        <v>1273</v>
      </c>
      <c r="H73" s="371" t="s">
        <v>1274</v>
      </c>
      <c r="I73" s="371" t="s">
        <v>517</v>
      </c>
      <c r="J73" s="371" t="s">
        <v>1274</v>
      </c>
      <c r="K73" s="371" t="s">
        <v>517</v>
      </c>
      <c r="L73" s="371" t="s">
        <v>1362</v>
      </c>
    </row>
    <row r="74" spans="1:12" x14ac:dyDescent="0.25">
      <c r="A74" s="371">
        <v>4502</v>
      </c>
      <c r="B74" s="714" t="s">
        <v>646</v>
      </c>
      <c r="C74" s="714"/>
      <c r="D74" s="371" t="s">
        <v>647</v>
      </c>
      <c r="E74" s="371" t="s">
        <v>1277</v>
      </c>
      <c r="F74" s="371" t="s">
        <v>517</v>
      </c>
      <c r="G74" s="371" t="s">
        <v>1278</v>
      </c>
      <c r="H74" s="371" t="s">
        <v>1363</v>
      </c>
      <c r="I74" s="371" t="s">
        <v>517</v>
      </c>
      <c r="J74" s="371" t="s">
        <v>1363</v>
      </c>
      <c r="K74" s="371" t="s">
        <v>517</v>
      </c>
      <c r="L74" s="371" t="s">
        <v>1364</v>
      </c>
    </row>
    <row r="75" spans="1:12" x14ac:dyDescent="0.25">
      <c r="A75" s="371">
        <v>4503</v>
      </c>
      <c r="B75" s="714" t="s">
        <v>648</v>
      </c>
      <c r="C75" s="714"/>
      <c r="D75" s="371" t="s">
        <v>649</v>
      </c>
      <c r="E75" s="371" t="s">
        <v>1282</v>
      </c>
      <c r="F75" s="371" t="s">
        <v>517</v>
      </c>
      <c r="G75" s="371" t="s">
        <v>1283</v>
      </c>
      <c r="H75" s="371" t="s">
        <v>1284</v>
      </c>
      <c r="I75" s="371" t="s">
        <v>517</v>
      </c>
      <c r="J75" s="371" t="s">
        <v>1284</v>
      </c>
      <c r="K75" s="371" t="s">
        <v>517</v>
      </c>
      <c r="L75" s="371" t="s">
        <v>1365</v>
      </c>
    </row>
    <row r="76" spans="1:12" x14ac:dyDescent="0.25">
      <c r="A76" s="371">
        <v>4504</v>
      </c>
      <c r="B76" s="714" t="s">
        <v>650</v>
      </c>
      <c r="C76" s="714"/>
      <c r="D76" s="371" t="s">
        <v>651</v>
      </c>
      <c r="E76" s="371" t="s">
        <v>1287</v>
      </c>
      <c r="F76" s="371" t="s">
        <v>517</v>
      </c>
      <c r="G76" s="371" t="s">
        <v>1288</v>
      </c>
      <c r="H76" s="371" t="s">
        <v>820</v>
      </c>
      <c r="I76" s="371" t="s">
        <v>517</v>
      </c>
      <c r="J76" s="371" t="s">
        <v>820</v>
      </c>
      <c r="K76" s="371" t="s">
        <v>517</v>
      </c>
      <c r="L76" s="371" t="s">
        <v>1366</v>
      </c>
    </row>
    <row r="77" spans="1:12" x14ac:dyDescent="0.25">
      <c r="A77" s="371">
        <v>4505</v>
      </c>
      <c r="B77" s="714" t="s">
        <v>652</v>
      </c>
      <c r="C77" s="714"/>
      <c r="D77" s="371" t="s">
        <v>653</v>
      </c>
      <c r="E77" s="371" t="s">
        <v>1290</v>
      </c>
      <c r="F77" s="371" t="s">
        <v>517</v>
      </c>
      <c r="G77" s="371" t="s">
        <v>1291</v>
      </c>
      <c r="H77" s="371" t="s">
        <v>1367</v>
      </c>
      <c r="I77" s="371" t="s">
        <v>517</v>
      </c>
      <c r="J77" s="371" t="s">
        <v>1367</v>
      </c>
      <c r="K77" s="371" t="s">
        <v>517</v>
      </c>
      <c r="L77" s="371" t="s">
        <v>1368</v>
      </c>
    </row>
    <row r="78" spans="1:12" x14ac:dyDescent="0.25">
      <c r="A78" s="371">
        <v>4506</v>
      </c>
      <c r="B78" s="714" t="s">
        <v>654</v>
      </c>
      <c r="C78" s="714"/>
      <c r="D78" s="371" t="s">
        <v>655</v>
      </c>
      <c r="E78" s="371" t="s">
        <v>1294</v>
      </c>
      <c r="F78" s="371" t="s">
        <v>517</v>
      </c>
      <c r="G78" s="371" t="s">
        <v>1295</v>
      </c>
      <c r="H78" s="371" t="s">
        <v>1296</v>
      </c>
      <c r="I78" s="371" t="s">
        <v>517</v>
      </c>
      <c r="J78" s="371" t="s">
        <v>1296</v>
      </c>
      <c r="K78" s="371" t="s">
        <v>517</v>
      </c>
      <c r="L78" s="371" t="s">
        <v>1297</v>
      </c>
    </row>
    <row r="79" spans="1:12" x14ac:dyDescent="0.25">
      <c r="A79" s="371">
        <v>4507</v>
      </c>
      <c r="B79" s="714" t="s">
        <v>656</v>
      </c>
      <c r="C79" s="714"/>
      <c r="D79" s="371" t="s">
        <v>657</v>
      </c>
      <c r="E79" s="371" t="s">
        <v>1298</v>
      </c>
      <c r="F79" s="371" t="s">
        <v>517</v>
      </c>
      <c r="G79" s="371" t="s">
        <v>1299</v>
      </c>
      <c r="H79" s="371" t="s">
        <v>517</v>
      </c>
      <c r="I79" s="371" t="s">
        <v>517</v>
      </c>
      <c r="J79" s="371" t="s">
        <v>517</v>
      </c>
      <c r="K79" s="371" t="s">
        <v>517</v>
      </c>
      <c r="L79" s="371" t="s">
        <v>1299</v>
      </c>
    </row>
    <row r="80" spans="1:12" x14ac:dyDescent="0.25">
      <c r="A80" s="371">
        <v>4509</v>
      </c>
      <c r="B80" s="714" t="s">
        <v>658</v>
      </c>
      <c r="C80" s="714"/>
      <c r="D80" s="371" t="s">
        <v>659</v>
      </c>
      <c r="E80" s="371" t="s">
        <v>1300</v>
      </c>
      <c r="F80" s="371" t="s">
        <v>517</v>
      </c>
      <c r="G80" s="371" t="s">
        <v>1301</v>
      </c>
      <c r="H80" s="371" t="s">
        <v>517</v>
      </c>
      <c r="I80" s="371" t="s">
        <v>517</v>
      </c>
      <c r="J80" s="371" t="s">
        <v>517</v>
      </c>
      <c r="K80" s="371" t="s">
        <v>517</v>
      </c>
      <c r="L80" s="371" t="s">
        <v>1301</v>
      </c>
    </row>
    <row r="81" spans="1:12" x14ac:dyDescent="0.25">
      <c r="A81" s="371">
        <v>4511</v>
      </c>
      <c r="B81" s="714" t="s">
        <v>660</v>
      </c>
      <c r="C81" s="714"/>
      <c r="D81" s="371" t="s">
        <v>661</v>
      </c>
      <c r="E81" s="371" t="s">
        <v>1302</v>
      </c>
      <c r="F81" s="371" t="s">
        <v>517</v>
      </c>
      <c r="G81" s="371" t="s">
        <v>1303</v>
      </c>
      <c r="H81" s="371" t="s">
        <v>1369</v>
      </c>
      <c r="I81" s="371" t="s">
        <v>662</v>
      </c>
      <c r="J81" s="371" t="s">
        <v>1370</v>
      </c>
      <c r="K81" s="371" t="s">
        <v>517</v>
      </c>
      <c r="L81" s="371" t="s">
        <v>1371</v>
      </c>
    </row>
    <row r="82" spans="1:12" x14ac:dyDescent="0.25">
      <c r="A82" s="371">
        <v>4512</v>
      </c>
      <c r="B82" s="714" t="s">
        <v>663</v>
      </c>
      <c r="C82" s="714"/>
      <c r="D82" s="371" t="s">
        <v>664</v>
      </c>
      <c r="E82" s="371" t="s">
        <v>1307</v>
      </c>
      <c r="F82" s="371" t="s">
        <v>517</v>
      </c>
      <c r="G82" s="371" t="s">
        <v>1308</v>
      </c>
      <c r="H82" s="371" t="s">
        <v>517</v>
      </c>
      <c r="I82" s="371" t="s">
        <v>517</v>
      </c>
      <c r="J82" s="371" t="s">
        <v>517</v>
      </c>
      <c r="K82" s="371" t="s">
        <v>517</v>
      </c>
      <c r="L82" s="371" t="s">
        <v>1308</v>
      </c>
    </row>
    <row r="83" spans="1:12" x14ac:dyDescent="0.25">
      <c r="A83" s="371">
        <v>4986</v>
      </c>
      <c r="B83" s="714" t="s">
        <v>665</v>
      </c>
      <c r="C83" s="714"/>
      <c r="D83" s="371" t="s">
        <v>666</v>
      </c>
      <c r="E83" s="371" t="s">
        <v>1309</v>
      </c>
      <c r="F83" s="371" t="s">
        <v>517</v>
      </c>
      <c r="G83" s="371" t="s">
        <v>1310</v>
      </c>
      <c r="H83" s="371" t="s">
        <v>517</v>
      </c>
      <c r="I83" s="371" t="s">
        <v>517</v>
      </c>
      <c r="J83" s="371" t="s">
        <v>517</v>
      </c>
      <c r="K83" s="371" t="s">
        <v>517</v>
      </c>
      <c r="L83" s="371" t="s">
        <v>1310</v>
      </c>
    </row>
    <row r="84" spans="1:12" x14ac:dyDescent="0.25">
      <c r="A84" s="371">
        <v>8001</v>
      </c>
      <c r="B84" s="714" t="s">
        <v>667</v>
      </c>
      <c r="C84" s="714"/>
      <c r="D84" s="371" t="s">
        <v>668</v>
      </c>
      <c r="E84" s="371" t="s">
        <v>517</v>
      </c>
      <c r="F84" s="371" t="s">
        <v>517</v>
      </c>
      <c r="G84" s="371" t="s">
        <v>668</v>
      </c>
      <c r="H84" s="371" t="s">
        <v>517</v>
      </c>
      <c r="I84" s="371" t="s">
        <v>517</v>
      </c>
      <c r="J84" s="371" t="s">
        <v>517</v>
      </c>
      <c r="K84" s="371" t="s">
        <v>517</v>
      </c>
      <c r="L84" s="371" t="s">
        <v>668</v>
      </c>
    </row>
    <row r="85" spans="1:12" x14ac:dyDescent="0.25">
      <c r="A85" s="371">
        <v>8024</v>
      </c>
      <c r="B85" s="714" t="s">
        <v>669</v>
      </c>
      <c r="C85" s="714"/>
      <c r="D85" s="371" t="s">
        <v>670</v>
      </c>
      <c r="E85" s="371" t="s">
        <v>517</v>
      </c>
      <c r="F85" s="371" t="s">
        <v>517</v>
      </c>
      <c r="G85" s="371" t="s">
        <v>670</v>
      </c>
      <c r="H85" s="371" t="s">
        <v>517</v>
      </c>
      <c r="I85" s="371" t="s">
        <v>517</v>
      </c>
      <c r="J85" s="371" t="s">
        <v>517</v>
      </c>
      <c r="K85" s="371" t="s">
        <v>517</v>
      </c>
      <c r="L85" s="371" t="s">
        <v>670</v>
      </c>
    </row>
    <row r="86" spans="1:12" x14ac:dyDescent="0.25">
      <c r="A86" s="371">
        <v>8050</v>
      </c>
      <c r="B86" s="714" t="s">
        <v>671</v>
      </c>
      <c r="C86" s="714"/>
      <c r="D86" s="371" t="s">
        <v>672</v>
      </c>
      <c r="E86" s="371" t="s">
        <v>517</v>
      </c>
      <c r="F86" s="371" t="s">
        <v>517</v>
      </c>
      <c r="G86" s="371" t="s">
        <v>672</v>
      </c>
      <c r="H86" s="371" t="s">
        <v>517</v>
      </c>
      <c r="I86" s="371" t="s">
        <v>517</v>
      </c>
      <c r="J86" s="371" t="s">
        <v>517</v>
      </c>
      <c r="K86" s="371" t="s">
        <v>517</v>
      </c>
      <c r="L86" s="371" t="s">
        <v>672</v>
      </c>
    </row>
    <row r="88" spans="1:12" x14ac:dyDescent="0.25">
      <c r="A88" s="713" t="s">
        <v>183</v>
      </c>
      <c r="B88" s="713"/>
      <c r="C88" s="713"/>
      <c r="D88" s="372" t="s">
        <v>673</v>
      </c>
      <c r="E88" s="372" t="s">
        <v>1311</v>
      </c>
      <c r="F88" s="372" t="s">
        <v>1097</v>
      </c>
      <c r="G88" s="372" t="s">
        <v>1312</v>
      </c>
      <c r="H88" s="372" t="s">
        <v>1372</v>
      </c>
      <c r="I88" s="372" t="s">
        <v>1373</v>
      </c>
      <c r="J88" s="372" t="s">
        <v>1374</v>
      </c>
      <c r="K88" s="372" t="s">
        <v>1097</v>
      </c>
      <c r="L88" s="372" t="s">
        <v>1375</v>
      </c>
    </row>
  </sheetData>
  <mergeCells count="89">
    <mergeCell ref="B78:C78"/>
    <mergeCell ref="B79:C79"/>
    <mergeCell ref="B80:C80"/>
    <mergeCell ref="B81:C81"/>
    <mergeCell ref="B82:C82"/>
    <mergeCell ref="B73:C73"/>
    <mergeCell ref="B74:C74"/>
    <mergeCell ref="B75:C75"/>
    <mergeCell ref="B76:C76"/>
    <mergeCell ref="B77:C77"/>
    <mergeCell ref="B83:C83"/>
    <mergeCell ref="B84:C84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1:C71"/>
    <mergeCell ref="B72:C72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L6:L7"/>
    <mergeCell ref="B8:C8"/>
    <mergeCell ref="B9:C9"/>
    <mergeCell ref="H6:H7"/>
    <mergeCell ref="I6:I7"/>
    <mergeCell ref="E6:E7"/>
    <mergeCell ref="F6:F7"/>
    <mergeCell ref="G6:G7"/>
    <mergeCell ref="J6:J7"/>
    <mergeCell ref="K6:K7"/>
    <mergeCell ref="B85:C85"/>
    <mergeCell ref="B86:C86"/>
    <mergeCell ref="A88:C88"/>
    <mergeCell ref="B10:C10"/>
    <mergeCell ref="D6:D7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88"/>
  <sheetViews>
    <sheetView topLeftCell="A35" workbookViewId="0">
      <selection activeCell="A52" sqref="A52:L52"/>
    </sheetView>
  </sheetViews>
  <sheetFormatPr defaultRowHeight="15" x14ac:dyDescent="0.25"/>
  <cols>
    <col min="4" max="5" width="12.7109375" customWidth="1"/>
    <col min="6" max="6" width="10.7109375" customWidth="1"/>
    <col min="7" max="9" width="12.7109375" customWidth="1"/>
    <col min="10" max="10" width="11.7109375" customWidth="1"/>
    <col min="11" max="11" width="10.7109375" customWidth="1"/>
    <col min="12" max="12" width="13.7109375" customWidth="1"/>
  </cols>
  <sheetData>
    <row r="1" spans="1:12" x14ac:dyDescent="0.25">
      <c r="A1" s="369" t="s">
        <v>500</v>
      </c>
    </row>
    <row r="2" spans="1:12" x14ac:dyDescent="0.25">
      <c r="A2" s="369" t="s">
        <v>1095</v>
      </c>
    </row>
    <row r="4" spans="1:12" x14ac:dyDescent="0.25">
      <c r="A4" s="369" t="s">
        <v>501</v>
      </c>
      <c r="C4" s="540" t="s">
        <v>502</v>
      </c>
    </row>
    <row r="6" spans="1:12" x14ac:dyDescent="0.25">
      <c r="D6" s="715" t="s">
        <v>503</v>
      </c>
      <c r="E6" s="715" t="s">
        <v>504</v>
      </c>
      <c r="F6" s="715" t="s">
        <v>505</v>
      </c>
      <c r="G6" s="715" t="s">
        <v>506</v>
      </c>
      <c r="H6" s="715" t="s">
        <v>678</v>
      </c>
      <c r="I6" s="715" t="s">
        <v>679</v>
      </c>
      <c r="J6" s="715" t="s">
        <v>680</v>
      </c>
      <c r="K6" s="715" t="s">
        <v>510</v>
      </c>
      <c r="L6" s="715" t="s">
        <v>511</v>
      </c>
    </row>
    <row r="7" spans="1:12" x14ac:dyDescent="0.25">
      <c r="A7" s="370" t="s">
        <v>512</v>
      </c>
      <c r="D7" s="716"/>
      <c r="E7" s="716"/>
      <c r="F7" s="716"/>
      <c r="G7" s="716"/>
      <c r="H7" s="716"/>
      <c r="I7" s="716"/>
      <c r="J7" s="716"/>
      <c r="K7" s="716"/>
      <c r="L7" s="716"/>
    </row>
    <row r="8" spans="1:12" x14ac:dyDescent="0.25">
      <c r="A8" s="371">
        <v>1</v>
      </c>
      <c r="B8" s="714" t="s">
        <v>513</v>
      </c>
      <c r="C8" s="714"/>
      <c r="D8" s="371" t="s">
        <v>514</v>
      </c>
      <c r="E8" s="371" t="s">
        <v>1096</v>
      </c>
      <c r="F8" s="371" t="s">
        <v>1097</v>
      </c>
      <c r="G8" s="371" t="s">
        <v>1098</v>
      </c>
      <c r="H8" s="371" t="s">
        <v>1376</v>
      </c>
      <c r="I8" s="371" t="s">
        <v>1377</v>
      </c>
      <c r="J8" s="371" t="s">
        <v>1378</v>
      </c>
      <c r="K8" s="371" t="s">
        <v>1097</v>
      </c>
      <c r="L8" s="371" t="s">
        <v>1379</v>
      </c>
    </row>
    <row r="9" spans="1:12" x14ac:dyDescent="0.25">
      <c r="A9" s="371">
        <v>20</v>
      </c>
      <c r="B9" s="714" t="s">
        <v>515</v>
      </c>
      <c r="C9" s="714"/>
      <c r="D9" s="371" t="s">
        <v>516</v>
      </c>
      <c r="E9" s="371" t="s">
        <v>1102</v>
      </c>
      <c r="F9" s="371" t="s">
        <v>517</v>
      </c>
      <c r="G9" s="371" t="s">
        <v>1103</v>
      </c>
      <c r="H9" s="371" t="s">
        <v>1380</v>
      </c>
      <c r="I9" s="371" t="s">
        <v>1381</v>
      </c>
      <c r="J9" s="371" t="s">
        <v>1382</v>
      </c>
      <c r="K9" s="371" t="s">
        <v>517</v>
      </c>
      <c r="L9" s="371" t="s">
        <v>1383</v>
      </c>
    </row>
    <row r="10" spans="1:12" x14ac:dyDescent="0.25">
      <c r="A10" s="371">
        <v>31</v>
      </c>
      <c r="B10" s="714" t="s">
        <v>518</v>
      </c>
      <c r="C10" s="714"/>
      <c r="D10" s="371" t="s">
        <v>519</v>
      </c>
      <c r="E10" s="371" t="s">
        <v>1107</v>
      </c>
      <c r="F10" s="371" t="s">
        <v>517</v>
      </c>
      <c r="G10" s="371" t="s">
        <v>1108</v>
      </c>
      <c r="H10" s="371" t="s">
        <v>1384</v>
      </c>
      <c r="I10" s="371" t="s">
        <v>681</v>
      </c>
      <c r="J10" s="371" t="s">
        <v>1385</v>
      </c>
      <c r="K10" s="371" t="s">
        <v>517</v>
      </c>
      <c r="L10" s="371" t="s">
        <v>1386</v>
      </c>
    </row>
    <row r="11" spans="1:12" x14ac:dyDescent="0.25">
      <c r="A11" s="371">
        <v>40</v>
      </c>
      <c r="B11" s="714" t="s">
        <v>520</v>
      </c>
      <c r="C11" s="714"/>
      <c r="D11" s="371" t="s">
        <v>521</v>
      </c>
      <c r="E11" s="371" t="s">
        <v>1112</v>
      </c>
      <c r="F11" s="371" t="s">
        <v>517</v>
      </c>
      <c r="G11" s="371" t="s">
        <v>1113</v>
      </c>
      <c r="H11" s="371" t="s">
        <v>1387</v>
      </c>
      <c r="I11" s="371" t="s">
        <v>1388</v>
      </c>
      <c r="J11" s="371" t="s">
        <v>1389</v>
      </c>
      <c r="K11" s="371" t="s">
        <v>517</v>
      </c>
      <c r="L11" s="371" t="s">
        <v>1390</v>
      </c>
    </row>
    <row r="12" spans="1:12" x14ac:dyDescent="0.25">
      <c r="A12" s="371">
        <v>50</v>
      </c>
      <c r="B12" s="714" t="s">
        <v>522</v>
      </c>
      <c r="C12" s="714"/>
      <c r="D12" s="371" t="s">
        <v>523</v>
      </c>
      <c r="E12" s="371" t="s">
        <v>1117</v>
      </c>
      <c r="F12" s="371" t="s">
        <v>517</v>
      </c>
      <c r="G12" s="371" t="s">
        <v>1118</v>
      </c>
      <c r="H12" s="371" t="s">
        <v>1391</v>
      </c>
      <c r="I12" s="371" t="s">
        <v>1392</v>
      </c>
      <c r="J12" s="371" t="s">
        <v>1393</v>
      </c>
      <c r="K12" s="371" t="s">
        <v>517</v>
      </c>
      <c r="L12" s="371" t="s">
        <v>1394</v>
      </c>
    </row>
    <row r="13" spans="1:12" x14ac:dyDescent="0.25">
      <c r="A13" s="371">
        <v>900</v>
      </c>
      <c r="B13" s="714" t="s">
        <v>524</v>
      </c>
      <c r="C13" s="714"/>
      <c r="D13" s="371" t="s">
        <v>525</v>
      </c>
      <c r="E13" s="371" t="s">
        <v>517</v>
      </c>
      <c r="F13" s="371" t="s">
        <v>517</v>
      </c>
      <c r="G13" s="371" t="s">
        <v>525</v>
      </c>
      <c r="H13" s="371" t="s">
        <v>517</v>
      </c>
      <c r="I13" s="371" t="s">
        <v>517</v>
      </c>
      <c r="J13" s="371" t="s">
        <v>517</v>
      </c>
      <c r="K13" s="371" t="s">
        <v>517</v>
      </c>
      <c r="L13" s="371" t="s">
        <v>525</v>
      </c>
    </row>
    <row r="14" spans="1:12" x14ac:dyDescent="0.25">
      <c r="A14" s="371">
        <v>1022</v>
      </c>
      <c r="B14" s="714" t="s">
        <v>526</v>
      </c>
      <c r="C14" s="714"/>
      <c r="D14" s="371" t="s">
        <v>527</v>
      </c>
      <c r="E14" s="371" t="s">
        <v>1122</v>
      </c>
      <c r="F14" s="371" t="s">
        <v>517</v>
      </c>
      <c r="G14" s="371" t="s">
        <v>1123</v>
      </c>
      <c r="H14" s="371" t="s">
        <v>1124</v>
      </c>
      <c r="I14" s="371" t="s">
        <v>517</v>
      </c>
      <c r="J14" s="371" t="s">
        <v>1124</v>
      </c>
      <c r="K14" s="371" t="s">
        <v>517</v>
      </c>
      <c r="L14" s="371" t="s">
        <v>1125</v>
      </c>
    </row>
    <row r="15" spans="1:12" x14ac:dyDescent="0.25">
      <c r="A15" s="371">
        <v>1023</v>
      </c>
      <c r="B15" s="714" t="s">
        <v>528</v>
      </c>
      <c r="C15" s="714"/>
      <c r="D15" s="371" t="s">
        <v>529</v>
      </c>
      <c r="E15" s="371" t="s">
        <v>1126</v>
      </c>
      <c r="F15" s="371" t="s">
        <v>517</v>
      </c>
      <c r="G15" s="371" t="s">
        <v>1127</v>
      </c>
      <c r="H15" s="371" t="s">
        <v>1395</v>
      </c>
      <c r="I15" s="371" t="s">
        <v>682</v>
      </c>
      <c r="J15" s="371" t="s">
        <v>1396</v>
      </c>
      <c r="K15" s="371" t="s">
        <v>517</v>
      </c>
      <c r="L15" s="371" t="s">
        <v>1397</v>
      </c>
    </row>
    <row r="16" spans="1:12" x14ac:dyDescent="0.25">
      <c r="A16" s="371">
        <v>1024</v>
      </c>
      <c r="B16" s="714" t="s">
        <v>531</v>
      </c>
      <c r="C16" s="714"/>
      <c r="D16" s="371" t="s">
        <v>532</v>
      </c>
      <c r="E16" s="371" t="s">
        <v>1131</v>
      </c>
      <c r="F16" s="371" t="s">
        <v>517</v>
      </c>
      <c r="G16" s="371" t="s">
        <v>1132</v>
      </c>
      <c r="H16" s="371" t="s">
        <v>1398</v>
      </c>
      <c r="I16" s="371" t="s">
        <v>517</v>
      </c>
      <c r="J16" s="371" t="s">
        <v>1398</v>
      </c>
      <c r="K16" s="371" t="s">
        <v>517</v>
      </c>
      <c r="L16" s="371" t="s">
        <v>1399</v>
      </c>
    </row>
    <row r="17" spans="1:12" x14ac:dyDescent="0.25">
      <c r="A17" s="371">
        <v>1025</v>
      </c>
      <c r="B17" s="714" t="s">
        <v>533</v>
      </c>
      <c r="C17" s="714"/>
      <c r="D17" s="371" t="s">
        <v>534</v>
      </c>
      <c r="E17" s="371" t="s">
        <v>1135</v>
      </c>
      <c r="F17" s="371" t="s">
        <v>517</v>
      </c>
      <c r="G17" s="371" t="s">
        <v>1136</v>
      </c>
      <c r="H17" s="371" t="s">
        <v>517</v>
      </c>
      <c r="I17" s="371" t="s">
        <v>517</v>
      </c>
      <c r="J17" s="371" t="s">
        <v>517</v>
      </c>
      <c r="K17" s="371" t="s">
        <v>517</v>
      </c>
      <c r="L17" s="371" t="s">
        <v>1136</v>
      </c>
    </row>
    <row r="18" spans="1:12" x14ac:dyDescent="0.25">
      <c r="A18" s="371">
        <v>1026</v>
      </c>
      <c r="B18" s="714" t="s">
        <v>535</v>
      </c>
      <c r="C18" s="714"/>
      <c r="D18" s="371" t="s">
        <v>536</v>
      </c>
      <c r="E18" s="371" t="s">
        <v>1137</v>
      </c>
      <c r="F18" s="371" t="s">
        <v>517</v>
      </c>
      <c r="G18" s="371" t="s">
        <v>1138</v>
      </c>
      <c r="H18" s="371" t="s">
        <v>1400</v>
      </c>
      <c r="I18" s="371" t="s">
        <v>1401</v>
      </c>
      <c r="J18" s="371" t="s">
        <v>1402</v>
      </c>
      <c r="K18" s="371" t="s">
        <v>517</v>
      </c>
      <c r="L18" s="371" t="s">
        <v>1403</v>
      </c>
    </row>
    <row r="19" spans="1:12" x14ac:dyDescent="0.25">
      <c r="A19" s="371">
        <v>1031</v>
      </c>
      <c r="B19" s="714" t="s">
        <v>537</v>
      </c>
      <c r="C19" s="714"/>
      <c r="D19" s="371" t="s">
        <v>538</v>
      </c>
      <c r="E19" s="371" t="s">
        <v>1142</v>
      </c>
      <c r="F19" s="371" t="s">
        <v>517</v>
      </c>
      <c r="G19" s="371" t="s">
        <v>1143</v>
      </c>
      <c r="H19" s="371" t="s">
        <v>517</v>
      </c>
      <c r="I19" s="371" t="s">
        <v>517</v>
      </c>
      <c r="J19" s="371" t="s">
        <v>517</v>
      </c>
      <c r="K19" s="371" t="s">
        <v>517</v>
      </c>
      <c r="L19" s="371" t="s">
        <v>1143</v>
      </c>
    </row>
    <row r="20" spans="1:12" x14ac:dyDescent="0.25">
      <c r="A20" s="371">
        <v>1101</v>
      </c>
      <c r="B20" s="714" t="s">
        <v>539</v>
      </c>
      <c r="C20" s="714"/>
      <c r="D20" s="371" t="s">
        <v>540</v>
      </c>
      <c r="E20" s="371" t="s">
        <v>1144</v>
      </c>
      <c r="F20" s="371" t="s">
        <v>517</v>
      </c>
      <c r="G20" s="371" t="s">
        <v>1145</v>
      </c>
      <c r="H20" s="371" t="s">
        <v>517</v>
      </c>
      <c r="I20" s="371" t="s">
        <v>517</v>
      </c>
      <c r="J20" s="371" t="s">
        <v>517</v>
      </c>
      <c r="K20" s="371" t="s">
        <v>517</v>
      </c>
      <c r="L20" s="371" t="s">
        <v>1145</v>
      </c>
    </row>
    <row r="21" spans="1:12" x14ac:dyDescent="0.25">
      <c r="A21" s="371">
        <v>1103</v>
      </c>
      <c r="B21" s="714" t="s">
        <v>541</v>
      </c>
      <c r="C21" s="714"/>
      <c r="D21" s="371" t="s">
        <v>542</v>
      </c>
      <c r="E21" s="371" t="s">
        <v>1146</v>
      </c>
      <c r="F21" s="371" t="s">
        <v>517</v>
      </c>
      <c r="G21" s="371" t="s">
        <v>1147</v>
      </c>
      <c r="H21" s="371" t="s">
        <v>1404</v>
      </c>
      <c r="I21" s="371" t="s">
        <v>1405</v>
      </c>
      <c r="J21" s="371" t="s">
        <v>1406</v>
      </c>
      <c r="K21" s="371" t="s">
        <v>517</v>
      </c>
      <c r="L21" s="371" t="s">
        <v>1407</v>
      </c>
    </row>
    <row r="22" spans="1:12" x14ac:dyDescent="0.25">
      <c r="A22" s="371">
        <v>1104</v>
      </c>
      <c r="B22" s="714" t="s">
        <v>543</v>
      </c>
      <c r="C22" s="714"/>
      <c r="D22" s="371" t="s">
        <v>544</v>
      </c>
      <c r="E22" s="371" t="s">
        <v>818</v>
      </c>
      <c r="F22" s="371" t="s">
        <v>517</v>
      </c>
      <c r="G22" s="371" t="s">
        <v>819</v>
      </c>
      <c r="H22" s="371" t="s">
        <v>819</v>
      </c>
      <c r="I22" s="371" t="s">
        <v>517</v>
      </c>
      <c r="J22" s="371" t="s">
        <v>819</v>
      </c>
      <c r="K22" s="371" t="s">
        <v>517</v>
      </c>
      <c r="L22" s="371" t="s">
        <v>517</v>
      </c>
    </row>
    <row r="23" spans="1:12" x14ac:dyDescent="0.25">
      <c r="A23" s="371">
        <v>1121</v>
      </c>
      <c r="B23" s="714" t="s">
        <v>545</v>
      </c>
      <c r="C23" s="714"/>
      <c r="D23" s="371" t="s">
        <v>546</v>
      </c>
      <c r="E23" s="371" t="s">
        <v>1151</v>
      </c>
      <c r="F23" s="371" t="s">
        <v>517</v>
      </c>
      <c r="G23" s="371" t="s">
        <v>1152</v>
      </c>
      <c r="H23" s="371" t="s">
        <v>1408</v>
      </c>
      <c r="I23" s="371" t="s">
        <v>683</v>
      </c>
      <c r="J23" s="371" t="s">
        <v>1409</v>
      </c>
      <c r="K23" s="371" t="s">
        <v>517</v>
      </c>
      <c r="L23" s="371" t="s">
        <v>1410</v>
      </c>
    </row>
    <row r="24" spans="1:12" x14ac:dyDescent="0.25">
      <c r="A24" s="371">
        <v>1122</v>
      </c>
      <c r="B24" s="714" t="s">
        <v>547</v>
      </c>
      <c r="C24" s="714"/>
      <c r="D24" s="371" t="s">
        <v>548</v>
      </c>
      <c r="E24" s="371" t="s">
        <v>1156</v>
      </c>
      <c r="F24" s="371" t="s">
        <v>517</v>
      </c>
      <c r="G24" s="371" t="s">
        <v>1157</v>
      </c>
      <c r="H24" s="371" t="s">
        <v>517</v>
      </c>
      <c r="I24" s="371" t="s">
        <v>517</v>
      </c>
      <c r="J24" s="371" t="s">
        <v>517</v>
      </c>
      <c r="K24" s="371" t="s">
        <v>517</v>
      </c>
      <c r="L24" s="371" t="s">
        <v>1157</v>
      </c>
    </row>
    <row r="25" spans="1:12" x14ac:dyDescent="0.25">
      <c r="A25" s="371">
        <v>1123</v>
      </c>
      <c r="B25" s="714" t="s">
        <v>549</v>
      </c>
      <c r="C25" s="714"/>
      <c r="D25" s="371" t="s">
        <v>550</v>
      </c>
      <c r="E25" s="371" t="s">
        <v>758</v>
      </c>
      <c r="F25" s="371" t="s">
        <v>517</v>
      </c>
      <c r="G25" s="371" t="s">
        <v>759</v>
      </c>
      <c r="H25" s="371" t="s">
        <v>759</v>
      </c>
      <c r="I25" s="371" t="s">
        <v>517</v>
      </c>
      <c r="J25" s="371" t="s">
        <v>759</v>
      </c>
      <c r="K25" s="371" t="s">
        <v>517</v>
      </c>
      <c r="L25" s="371" t="s">
        <v>517</v>
      </c>
    </row>
    <row r="26" spans="1:12" x14ac:dyDescent="0.25">
      <c r="A26" s="371">
        <v>1124</v>
      </c>
      <c r="B26" s="714" t="s">
        <v>551</v>
      </c>
      <c r="C26" s="714"/>
      <c r="D26" s="371" t="s">
        <v>552</v>
      </c>
      <c r="E26" s="371" t="s">
        <v>1159</v>
      </c>
      <c r="F26" s="371" t="s">
        <v>517</v>
      </c>
      <c r="G26" s="371" t="s">
        <v>1160</v>
      </c>
      <c r="H26" s="371" t="s">
        <v>1411</v>
      </c>
      <c r="I26" s="371" t="s">
        <v>684</v>
      </c>
      <c r="J26" s="371" t="s">
        <v>1412</v>
      </c>
      <c r="K26" s="371" t="s">
        <v>517</v>
      </c>
      <c r="L26" s="371" t="s">
        <v>1413</v>
      </c>
    </row>
    <row r="27" spans="1:12" x14ac:dyDescent="0.25">
      <c r="A27" s="371">
        <v>1180</v>
      </c>
      <c r="B27" s="714" t="s">
        <v>553</v>
      </c>
      <c r="C27" s="714"/>
      <c r="D27" s="371" t="s">
        <v>554</v>
      </c>
      <c r="E27" s="371" t="s">
        <v>517</v>
      </c>
      <c r="F27" s="371" t="s">
        <v>517</v>
      </c>
      <c r="G27" s="371" t="s">
        <v>554</v>
      </c>
      <c r="H27" s="371" t="s">
        <v>517</v>
      </c>
      <c r="I27" s="371" t="s">
        <v>517</v>
      </c>
      <c r="J27" s="371" t="s">
        <v>517</v>
      </c>
      <c r="K27" s="371" t="s">
        <v>517</v>
      </c>
      <c r="L27" s="371" t="s">
        <v>554</v>
      </c>
    </row>
    <row r="28" spans="1:12" x14ac:dyDescent="0.25">
      <c r="A28" s="371">
        <v>1181</v>
      </c>
      <c r="B28" s="714" t="s">
        <v>555</v>
      </c>
      <c r="C28" s="714"/>
      <c r="D28" s="371" t="s">
        <v>556</v>
      </c>
      <c r="E28" s="371" t="s">
        <v>1164</v>
      </c>
      <c r="F28" s="371" t="s">
        <v>517</v>
      </c>
      <c r="G28" s="371" t="s">
        <v>1165</v>
      </c>
      <c r="H28" s="371" t="s">
        <v>517</v>
      </c>
      <c r="I28" s="371" t="s">
        <v>517</v>
      </c>
      <c r="J28" s="371" t="s">
        <v>517</v>
      </c>
      <c r="K28" s="371" t="s">
        <v>517</v>
      </c>
      <c r="L28" s="371" t="s">
        <v>1165</v>
      </c>
    </row>
    <row r="29" spans="1:12" x14ac:dyDescent="0.25">
      <c r="A29" s="371">
        <v>1182</v>
      </c>
      <c r="B29" s="714" t="s">
        <v>557</v>
      </c>
      <c r="C29" s="714"/>
      <c r="D29" s="371" t="s">
        <v>558</v>
      </c>
      <c r="E29" s="371" t="s">
        <v>1166</v>
      </c>
      <c r="F29" s="371" t="s">
        <v>517</v>
      </c>
      <c r="G29" s="371" t="s">
        <v>1167</v>
      </c>
      <c r="H29" s="371" t="s">
        <v>559</v>
      </c>
      <c r="I29" s="371" t="s">
        <v>685</v>
      </c>
      <c r="J29" s="371" t="s">
        <v>807</v>
      </c>
      <c r="K29" s="371" t="s">
        <v>517</v>
      </c>
      <c r="L29" s="371" t="s">
        <v>1414</v>
      </c>
    </row>
    <row r="30" spans="1:12" x14ac:dyDescent="0.25">
      <c r="A30" s="371">
        <v>1184</v>
      </c>
      <c r="B30" s="714" t="s">
        <v>562</v>
      </c>
      <c r="C30" s="714"/>
      <c r="D30" s="371" t="s">
        <v>563</v>
      </c>
      <c r="E30" s="371" t="s">
        <v>1169</v>
      </c>
      <c r="F30" s="371" t="s">
        <v>517</v>
      </c>
      <c r="G30" s="371" t="s">
        <v>1170</v>
      </c>
      <c r="H30" s="371" t="s">
        <v>1415</v>
      </c>
      <c r="I30" s="371" t="s">
        <v>808</v>
      </c>
      <c r="J30" s="371" t="s">
        <v>1416</v>
      </c>
      <c r="K30" s="371" t="s">
        <v>517</v>
      </c>
      <c r="L30" s="371" t="s">
        <v>1417</v>
      </c>
    </row>
    <row r="31" spans="1:12" x14ac:dyDescent="0.25">
      <c r="A31" s="371">
        <v>1186</v>
      </c>
      <c r="B31" s="714" t="s">
        <v>565</v>
      </c>
      <c r="C31" s="714"/>
      <c r="D31" s="371" t="s">
        <v>566</v>
      </c>
      <c r="E31" s="371" t="s">
        <v>1174</v>
      </c>
      <c r="F31" s="371" t="s">
        <v>517</v>
      </c>
      <c r="G31" s="371" t="s">
        <v>1175</v>
      </c>
      <c r="H31" s="371" t="s">
        <v>517</v>
      </c>
      <c r="I31" s="371" t="s">
        <v>517</v>
      </c>
      <c r="J31" s="371" t="s">
        <v>517</v>
      </c>
      <c r="K31" s="371" t="s">
        <v>517</v>
      </c>
      <c r="L31" s="371" t="s">
        <v>1175</v>
      </c>
    </row>
    <row r="32" spans="1:12" x14ac:dyDescent="0.25">
      <c r="A32" s="371">
        <v>1187</v>
      </c>
      <c r="B32" s="714" t="s">
        <v>567</v>
      </c>
      <c r="C32" s="714"/>
      <c r="D32" s="371" t="s">
        <v>568</v>
      </c>
      <c r="E32" s="371" t="s">
        <v>1176</v>
      </c>
      <c r="F32" s="371" t="s">
        <v>517</v>
      </c>
      <c r="G32" s="371" t="s">
        <v>1177</v>
      </c>
      <c r="H32" s="371" t="s">
        <v>517</v>
      </c>
      <c r="I32" s="371" t="s">
        <v>517</v>
      </c>
      <c r="J32" s="371" t="s">
        <v>517</v>
      </c>
      <c r="K32" s="371" t="s">
        <v>517</v>
      </c>
      <c r="L32" s="371" t="s">
        <v>1177</v>
      </c>
    </row>
    <row r="33" spans="1:12" x14ac:dyDescent="0.25">
      <c r="A33" s="371">
        <v>1188</v>
      </c>
      <c r="B33" s="714" t="s">
        <v>569</v>
      </c>
      <c r="C33" s="714"/>
      <c r="D33" s="371" t="s">
        <v>570</v>
      </c>
      <c r="E33" s="371" t="s">
        <v>1178</v>
      </c>
      <c r="F33" s="371" t="s">
        <v>517</v>
      </c>
      <c r="G33" s="371" t="s">
        <v>1179</v>
      </c>
      <c r="H33" s="371" t="s">
        <v>1418</v>
      </c>
      <c r="I33" s="371" t="s">
        <v>686</v>
      </c>
      <c r="J33" s="371" t="s">
        <v>1419</v>
      </c>
      <c r="K33" s="371" t="s">
        <v>517</v>
      </c>
      <c r="L33" s="371" t="s">
        <v>1420</v>
      </c>
    </row>
    <row r="34" spans="1:12" x14ac:dyDescent="0.25">
      <c r="A34" s="371">
        <v>1190</v>
      </c>
      <c r="B34" s="714" t="s">
        <v>571</v>
      </c>
      <c r="C34" s="714"/>
      <c r="D34" s="371" t="s">
        <v>572</v>
      </c>
      <c r="E34" s="371" t="s">
        <v>1183</v>
      </c>
      <c r="F34" s="371" t="s">
        <v>517</v>
      </c>
      <c r="G34" s="371" t="s">
        <v>1184</v>
      </c>
      <c r="H34" s="371" t="s">
        <v>830</v>
      </c>
      <c r="I34" s="371" t="s">
        <v>674</v>
      </c>
      <c r="J34" s="371" t="s">
        <v>831</v>
      </c>
      <c r="K34" s="371" t="s">
        <v>517</v>
      </c>
      <c r="L34" s="371" t="s">
        <v>1185</v>
      </c>
    </row>
    <row r="35" spans="1:12" x14ac:dyDescent="0.25">
      <c r="A35" s="371">
        <v>1500</v>
      </c>
      <c r="B35" s="714" t="s">
        <v>148</v>
      </c>
      <c r="C35" s="714"/>
      <c r="D35" s="371" t="s">
        <v>573</v>
      </c>
      <c r="E35" s="371" t="s">
        <v>1186</v>
      </c>
      <c r="F35" s="371" t="s">
        <v>517</v>
      </c>
      <c r="G35" s="371" t="s">
        <v>1187</v>
      </c>
      <c r="H35" s="371" t="s">
        <v>1421</v>
      </c>
      <c r="I35" s="371" t="s">
        <v>675</v>
      </c>
      <c r="J35" s="371" t="s">
        <v>1422</v>
      </c>
      <c r="K35" s="371" t="s">
        <v>517</v>
      </c>
      <c r="L35" s="371" t="s">
        <v>1423</v>
      </c>
    </row>
    <row r="36" spans="1:12" x14ac:dyDescent="0.25">
      <c r="A36" s="371">
        <v>3812</v>
      </c>
      <c r="B36" s="714" t="s">
        <v>574</v>
      </c>
      <c r="C36" s="714"/>
      <c r="D36" s="371" t="s">
        <v>575</v>
      </c>
      <c r="E36" s="371" t="s">
        <v>1191</v>
      </c>
      <c r="F36" s="371" t="s">
        <v>517</v>
      </c>
      <c r="G36" s="371" t="s">
        <v>1192</v>
      </c>
      <c r="H36" s="371" t="s">
        <v>517</v>
      </c>
      <c r="I36" s="371" t="s">
        <v>517</v>
      </c>
      <c r="J36" s="371" t="s">
        <v>517</v>
      </c>
      <c r="K36" s="371" t="s">
        <v>517</v>
      </c>
      <c r="L36" s="371" t="s">
        <v>1192</v>
      </c>
    </row>
    <row r="37" spans="1:12" x14ac:dyDescent="0.25">
      <c r="A37" s="371">
        <v>3813</v>
      </c>
      <c r="B37" s="714" t="s">
        <v>576</v>
      </c>
      <c r="C37" s="714"/>
      <c r="D37" s="371" t="s">
        <v>577</v>
      </c>
      <c r="E37" s="371" t="s">
        <v>1194</v>
      </c>
      <c r="F37" s="371" t="s">
        <v>517</v>
      </c>
      <c r="G37" s="371" t="s">
        <v>1195</v>
      </c>
      <c r="H37" s="371" t="s">
        <v>517</v>
      </c>
      <c r="I37" s="371" t="s">
        <v>517</v>
      </c>
      <c r="J37" s="371" t="s">
        <v>517</v>
      </c>
      <c r="K37" s="371" t="s">
        <v>517</v>
      </c>
      <c r="L37" s="371" t="s">
        <v>1195</v>
      </c>
    </row>
    <row r="38" spans="1:12" x14ac:dyDescent="0.25">
      <c r="A38" s="371">
        <v>3814</v>
      </c>
      <c r="B38" s="714" t="s">
        <v>877</v>
      </c>
      <c r="C38" s="714"/>
      <c r="D38" s="371" t="s">
        <v>517</v>
      </c>
      <c r="E38" s="371" t="s">
        <v>1196</v>
      </c>
      <c r="F38" s="371" t="s">
        <v>517</v>
      </c>
      <c r="G38" s="371" t="s">
        <v>1196</v>
      </c>
      <c r="H38" s="371" t="s">
        <v>517</v>
      </c>
      <c r="I38" s="371" t="s">
        <v>517</v>
      </c>
      <c r="J38" s="371" t="s">
        <v>517</v>
      </c>
      <c r="K38" s="371" t="s">
        <v>517</v>
      </c>
      <c r="L38" s="371" t="s">
        <v>1196</v>
      </c>
    </row>
    <row r="39" spans="1:12" x14ac:dyDescent="0.25">
      <c r="A39" s="371">
        <v>3818</v>
      </c>
      <c r="B39" s="714" t="s">
        <v>578</v>
      </c>
      <c r="C39" s="714"/>
      <c r="D39" s="371" t="s">
        <v>579</v>
      </c>
      <c r="E39" s="371" t="s">
        <v>766</v>
      </c>
      <c r="F39" s="371" t="s">
        <v>517</v>
      </c>
      <c r="G39" s="371" t="s">
        <v>767</v>
      </c>
      <c r="H39" s="371" t="s">
        <v>767</v>
      </c>
      <c r="I39" s="371" t="s">
        <v>517</v>
      </c>
      <c r="J39" s="371" t="s">
        <v>767</v>
      </c>
      <c r="K39" s="371" t="s">
        <v>517</v>
      </c>
      <c r="L39" s="371" t="s">
        <v>517</v>
      </c>
    </row>
    <row r="40" spans="1:12" x14ac:dyDescent="0.25">
      <c r="A40" s="443">
        <v>3819</v>
      </c>
      <c r="B40" s="717" t="s">
        <v>580</v>
      </c>
      <c r="C40" s="717"/>
      <c r="D40" s="443" t="s">
        <v>581</v>
      </c>
      <c r="E40" s="443" t="s">
        <v>878</v>
      </c>
      <c r="F40" s="443" t="s">
        <v>517</v>
      </c>
      <c r="G40" s="443" t="s">
        <v>879</v>
      </c>
      <c r="H40" s="443" t="s">
        <v>1197</v>
      </c>
      <c r="I40" s="443" t="s">
        <v>890</v>
      </c>
      <c r="J40" s="443" t="s">
        <v>887</v>
      </c>
      <c r="K40" s="443" t="s">
        <v>517</v>
      </c>
      <c r="L40" s="443" t="s">
        <v>886</v>
      </c>
    </row>
    <row r="41" spans="1:12" x14ac:dyDescent="0.25">
      <c r="A41" s="371">
        <v>3821</v>
      </c>
      <c r="B41" s="714" t="s">
        <v>582</v>
      </c>
      <c r="C41" s="714"/>
      <c r="D41" s="371" t="s">
        <v>583</v>
      </c>
      <c r="E41" s="371" t="s">
        <v>880</v>
      </c>
      <c r="F41" s="371" t="s">
        <v>517</v>
      </c>
      <c r="G41" s="371" t="s">
        <v>881</v>
      </c>
      <c r="H41" s="371" t="s">
        <v>881</v>
      </c>
      <c r="I41" s="371" t="s">
        <v>517</v>
      </c>
      <c r="J41" s="371" t="s">
        <v>881</v>
      </c>
      <c r="K41" s="371" t="s">
        <v>517</v>
      </c>
      <c r="L41" s="371" t="s">
        <v>517</v>
      </c>
    </row>
    <row r="42" spans="1:12" x14ac:dyDescent="0.25">
      <c r="A42" s="371">
        <v>3822</v>
      </c>
      <c r="B42" s="714" t="s">
        <v>584</v>
      </c>
      <c r="C42" s="714"/>
      <c r="D42" s="371" t="s">
        <v>585</v>
      </c>
      <c r="E42" s="371" t="s">
        <v>882</v>
      </c>
      <c r="F42" s="371" t="s">
        <v>517</v>
      </c>
      <c r="G42" s="371" t="s">
        <v>883</v>
      </c>
      <c r="H42" s="371" t="s">
        <v>769</v>
      </c>
      <c r="I42" s="371" t="s">
        <v>770</v>
      </c>
      <c r="J42" s="371" t="s">
        <v>771</v>
      </c>
      <c r="K42" s="371" t="s">
        <v>517</v>
      </c>
      <c r="L42" s="371" t="s">
        <v>884</v>
      </c>
    </row>
    <row r="43" spans="1:12" x14ac:dyDescent="0.25">
      <c r="A43" s="443">
        <v>3826</v>
      </c>
      <c r="B43" s="717" t="s">
        <v>586</v>
      </c>
      <c r="C43" s="717"/>
      <c r="D43" s="443" t="s">
        <v>587</v>
      </c>
      <c r="E43" s="443" t="s">
        <v>588</v>
      </c>
      <c r="F43" s="443" t="s">
        <v>517</v>
      </c>
      <c r="G43" s="443" t="s">
        <v>589</v>
      </c>
      <c r="H43" s="443" t="s">
        <v>517</v>
      </c>
      <c r="I43" s="443" t="s">
        <v>517</v>
      </c>
      <c r="J43" s="443" t="s">
        <v>517</v>
      </c>
      <c r="K43" s="443" t="s">
        <v>517</v>
      </c>
      <c r="L43" s="443" t="s">
        <v>589</v>
      </c>
    </row>
    <row r="44" spans="1:12" x14ac:dyDescent="0.25">
      <c r="A44" s="443">
        <v>3827</v>
      </c>
      <c r="B44" s="717" t="s">
        <v>590</v>
      </c>
      <c r="C44" s="717"/>
      <c r="D44" s="443" t="s">
        <v>591</v>
      </c>
      <c r="E44" s="443" t="s">
        <v>592</v>
      </c>
      <c r="F44" s="443" t="s">
        <v>517</v>
      </c>
      <c r="G44" s="443" t="s">
        <v>593</v>
      </c>
      <c r="H44" s="443" t="s">
        <v>594</v>
      </c>
      <c r="I44" s="443" t="s">
        <v>517</v>
      </c>
      <c r="J44" s="443" t="s">
        <v>594</v>
      </c>
      <c r="K44" s="443" t="s">
        <v>517</v>
      </c>
      <c r="L44" s="443" t="s">
        <v>595</v>
      </c>
    </row>
    <row r="45" spans="1:12" x14ac:dyDescent="0.25">
      <c r="A45" s="371">
        <v>3831</v>
      </c>
      <c r="B45" s="714" t="s">
        <v>596</v>
      </c>
      <c r="C45" s="714"/>
      <c r="D45" s="371" t="s">
        <v>597</v>
      </c>
      <c r="E45" s="371" t="s">
        <v>1200</v>
      </c>
      <c r="F45" s="371" t="s">
        <v>517</v>
      </c>
      <c r="G45" s="371" t="s">
        <v>1201</v>
      </c>
      <c r="H45" s="371" t="s">
        <v>517</v>
      </c>
      <c r="I45" s="371" t="s">
        <v>598</v>
      </c>
      <c r="J45" s="371" t="s">
        <v>598</v>
      </c>
      <c r="K45" s="371" t="s">
        <v>517</v>
      </c>
      <c r="L45" s="371" t="s">
        <v>1424</v>
      </c>
    </row>
    <row r="46" spans="1:12" x14ac:dyDescent="0.25">
      <c r="A46" s="371">
        <v>3832</v>
      </c>
      <c r="B46" s="714" t="s">
        <v>599</v>
      </c>
      <c r="C46" s="714"/>
      <c r="D46" s="371" t="s">
        <v>600</v>
      </c>
      <c r="E46" s="371" t="s">
        <v>1203</v>
      </c>
      <c r="F46" s="371" t="s">
        <v>517</v>
      </c>
      <c r="G46" s="371" t="s">
        <v>1204</v>
      </c>
      <c r="H46" s="371" t="s">
        <v>704</v>
      </c>
      <c r="I46" s="371" t="s">
        <v>601</v>
      </c>
      <c r="J46" s="371" t="s">
        <v>705</v>
      </c>
      <c r="K46" s="371" t="s">
        <v>517</v>
      </c>
      <c r="L46" s="371" t="s">
        <v>1425</v>
      </c>
    </row>
    <row r="47" spans="1:12" x14ac:dyDescent="0.25">
      <c r="A47" s="371">
        <v>3833</v>
      </c>
      <c r="B47" s="714" t="s">
        <v>602</v>
      </c>
      <c r="C47" s="714"/>
      <c r="D47" s="371" t="s">
        <v>603</v>
      </c>
      <c r="E47" s="371" t="s">
        <v>1206</v>
      </c>
      <c r="F47" s="371" t="s">
        <v>517</v>
      </c>
      <c r="G47" s="371" t="s">
        <v>1207</v>
      </c>
      <c r="H47" s="371" t="s">
        <v>517</v>
      </c>
      <c r="I47" s="371" t="s">
        <v>1426</v>
      </c>
      <c r="J47" s="371" t="s">
        <v>1426</v>
      </c>
      <c r="K47" s="371" t="s">
        <v>517</v>
      </c>
      <c r="L47" s="371" t="s">
        <v>1427</v>
      </c>
    </row>
    <row r="48" spans="1:12" x14ac:dyDescent="0.25">
      <c r="A48" s="371">
        <v>3836</v>
      </c>
      <c r="B48" s="714" t="s">
        <v>604</v>
      </c>
      <c r="C48" s="714"/>
      <c r="D48" s="371" t="s">
        <v>517</v>
      </c>
      <c r="E48" s="371" t="s">
        <v>1209</v>
      </c>
      <c r="F48" s="371" t="s">
        <v>517</v>
      </c>
      <c r="G48" s="371" t="s">
        <v>1209</v>
      </c>
      <c r="H48" s="371" t="s">
        <v>1209</v>
      </c>
      <c r="I48" s="371" t="s">
        <v>517</v>
      </c>
      <c r="J48" s="371" t="s">
        <v>1209</v>
      </c>
      <c r="K48" s="371" t="s">
        <v>517</v>
      </c>
      <c r="L48" s="371" t="s">
        <v>517</v>
      </c>
    </row>
    <row r="49" spans="1:12" x14ac:dyDescent="0.25">
      <c r="A49" s="371">
        <v>3838</v>
      </c>
      <c r="B49" s="714" t="s">
        <v>783</v>
      </c>
      <c r="C49" s="714"/>
      <c r="D49" s="371" t="s">
        <v>517</v>
      </c>
      <c r="E49" s="371" t="s">
        <v>1210</v>
      </c>
      <c r="F49" s="371" t="s">
        <v>517</v>
      </c>
      <c r="G49" s="371" t="s">
        <v>1210</v>
      </c>
      <c r="H49" s="371" t="s">
        <v>517</v>
      </c>
      <c r="I49" s="371" t="s">
        <v>517</v>
      </c>
      <c r="J49" s="371" t="s">
        <v>517</v>
      </c>
      <c r="K49" s="371" t="s">
        <v>517</v>
      </c>
      <c r="L49" s="371" t="s">
        <v>1210</v>
      </c>
    </row>
    <row r="50" spans="1:12" x14ac:dyDescent="0.25">
      <c r="A50" s="371">
        <v>3839</v>
      </c>
      <c r="B50" s="714" t="s">
        <v>784</v>
      </c>
      <c r="C50" s="714"/>
      <c r="D50" s="371" t="s">
        <v>517</v>
      </c>
      <c r="E50" s="371" t="s">
        <v>1211</v>
      </c>
      <c r="F50" s="371" t="s">
        <v>517</v>
      </c>
      <c r="G50" s="371" t="s">
        <v>1211</v>
      </c>
      <c r="H50" s="371" t="s">
        <v>517</v>
      </c>
      <c r="I50" s="371" t="s">
        <v>517</v>
      </c>
      <c r="J50" s="371" t="s">
        <v>517</v>
      </c>
      <c r="K50" s="371" t="s">
        <v>517</v>
      </c>
      <c r="L50" s="371" t="s">
        <v>1211</v>
      </c>
    </row>
    <row r="51" spans="1:12" x14ac:dyDescent="0.25">
      <c r="A51" s="371">
        <v>3841</v>
      </c>
      <c r="B51" s="714" t="s">
        <v>885</v>
      </c>
      <c r="C51" s="714"/>
      <c r="D51" s="371" t="s">
        <v>517</v>
      </c>
      <c r="E51" s="371" t="s">
        <v>1212</v>
      </c>
      <c r="F51" s="371" t="s">
        <v>517</v>
      </c>
      <c r="G51" s="371" t="s">
        <v>1212</v>
      </c>
      <c r="H51" s="371" t="s">
        <v>1428</v>
      </c>
      <c r="I51" s="371" t="s">
        <v>517</v>
      </c>
      <c r="J51" s="371" t="s">
        <v>1428</v>
      </c>
      <c r="K51" s="371" t="s">
        <v>517</v>
      </c>
      <c r="L51" s="371" t="s">
        <v>1429</v>
      </c>
    </row>
    <row r="52" spans="1:12" x14ac:dyDescent="0.25">
      <c r="A52" s="443">
        <v>3843</v>
      </c>
      <c r="B52" s="717" t="s">
        <v>1215</v>
      </c>
      <c r="C52" s="717"/>
      <c r="D52" s="443" t="s">
        <v>1216</v>
      </c>
      <c r="E52" s="443" t="s">
        <v>1217</v>
      </c>
      <c r="F52" s="443" t="s">
        <v>517</v>
      </c>
      <c r="G52" s="443" t="s">
        <v>1218</v>
      </c>
      <c r="H52" s="443" t="s">
        <v>517</v>
      </c>
      <c r="I52" s="443" t="s">
        <v>517</v>
      </c>
      <c r="J52" s="443" t="s">
        <v>517</v>
      </c>
      <c r="K52" s="443" t="s">
        <v>517</v>
      </c>
      <c r="L52" s="443" t="s">
        <v>1218</v>
      </c>
    </row>
    <row r="53" spans="1:12" x14ac:dyDescent="0.25">
      <c r="A53" s="371">
        <v>4000</v>
      </c>
      <c r="B53" s="714" t="s">
        <v>605</v>
      </c>
      <c r="C53" s="714"/>
      <c r="D53" s="371" t="s">
        <v>606</v>
      </c>
      <c r="E53" s="371" t="s">
        <v>517</v>
      </c>
      <c r="F53" s="371" t="s">
        <v>517</v>
      </c>
      <c r="G53" s="371" t="s">
        <v>606</v>
      </c>
      <c r="H53" s="371" t="s">
        <v>517</v>
      </c>
      <c r="I53" s="371" t="s">
        <v>517</v>
      </c>
      <c r="J53" s="371" t="s">
        <v>517</v>
      </c>
      <c r="K53" s="371" t="s">
        <v>517</v>
      </c>
      <c r="L53" s="371" t="s">
        <v>606</v>
      </c>
    </row>
    <row r="54" spans="1:12" x14ac:dyDescent="0.25">
      <c r="A54" s="371">
        <v>4001</v>
      </c>
      <c r="B54" s="714" t="s">
        <v>607</v>
      </c>
      <c r="C54" s="714"/>
      <c r="D54" s="371" t="s">
        <v>1219</v>
      </c>
      <c r="E54" s="371" t="s">
        <v>1220</v>
      </c>
      <c r="F54" s="371" t="s">
        <v>517</v>
      </c>
      <c r="G54" s="371" t="s">
        <v>1221</v>
      </c>
      <c r="H54" s="371" t="s">
        <v>822</v>
      </c>
      <c r="I54" s="371" t="s">
        <v>687</v>
      </c>
      <c r="J54" s="371" t="s">
        <v>823</v>
      </c>
      <c r="K54" s="371" t="s">
        <v>517</v>
      </c>
      <c r="L54" s="371" t="s">
        <v>1430</v>
      </c>
    </row>
    <row r="55" spans="1:12" x14ac:dyDescent="0.25">
      <c r="A55" s="371">
        <v>4011</v>
      </c>
      <c r="B55" s="714" t="s">
        <v>608</v>
      </c>
      <c r="C55" s="714"/>
      <c r="D55" s="371" t="s">
        <v>609</v>
      </c>
      <c r="E55" s="371" t="s">
        <v>1224</v>
      </c>
      <c r="F55" s="371" t="s">
        <v>517</v>
      </c>
      <c r="G55" s="371" t="s">
        <v>1225</v>
      </c>
      <c r="H55" s="371" t="s">
        <v>1226</v>
      </c>
      <c r="I55" s="371" t="s">
        <v>517</v>
      </c>
      <c r="J55" s="371" t="s">
        <v>1226</v>
      </c>
      <c r="K55" s="371" t="s">
        <v>517</v>
      </c>
      <c r="L55" s="371" t="s">
        <v>1354</v>
      </c>
    </row>
    <row r="56" spans="1:12" x14ac:dyDescent="0.25">
      <c r="A56" s="371">
        <v>4030</v>
      </c>
      <c r="B56" s="714" t="s">
        <v>610</v>
      </c>
      <c r="C56" s="714"/>
      <c r="D56" s="371" t="s">
        <v>611</v>
      </c>
      <c r="E56" s="371" t="s">
        <v>517</v>
      </c>
      <c r="F56" s="371" t="s">
        <v>517</v>
      </c>
      <c r="G56" s="371" t="s">
        <v>611</v>
      </c>
      <c r="H56" s="371" t="s">
        <v>517</v>
      </c>
      <c r="I56" s="371" t="s">
        <v>517</v>
      </c>
      <c r="J56" s="371" t="s">
        <v>517</v>
      </c>
      <c r="K56" s="371" t="s">
        <v>517</v>
      </c>
      <c r="L56" s="371" t="s">
        <v>611</v>
      </c>
    </row>
    <row r="57" spans="1:12" x14ac:dyDescent="0.25">
      <c r="A57" s="371">
        <v>4050</v>
      </c>
      <c r="B57" s="714" t="s">
        <v>612</v>
      </c>
      <c r="C57" s="714"/>
      <c r="D57" s="371" t="s">
        <v>613</v>
      </c>
      <c r="E57" s="371" t="s">
        <v>1229</v>
      </c>
      <c r="F57" s="371" t="s">
        <v>517</v>
      </c>
      <c r="G57" s="371" t="s">
        <v>1230</v>
      </c>
      <c r="H57" s="371" t="s">
        <v>1231</v>
      </c>
      <c r="I57" s="371" t="s">
        <v>688</v>
      </c>
      <c r="J57" s="371" t="s">
        <v>1431</v>
      </c>
      <c r="K57" s="371" t="s">
        <v>517</v>
      </c>
      <c r="L57" s="371" t="s">
        <v>1432</v>
      </c>
    </row>
    <row r="58" spans="1:12" x14ac:dyDescent="0.25">
      <c r="A58" s="371">
        <v>4051</v>
      </c>
      <c r="B58" s="714" t="s">
        <v>614</v>
      </c>
      <c r="C58" s="714"/>
      <c r="D58" s="371" t="s">
        <v>615</v>
      </c>
      <c r="E58" s="371" t="s">
        <v>1234</v>
      </c>
      <c r="F58" s="371" t="s">
        <v>517</v>
      </c>
      <c r="G58" s="371" t="s">
        <v>1235</v>
      </c>
      <c r="H58" s="371" t="s">
        <v>517</v>
      </c>
      <c r="I58" s="371" t="s">
        <v>517</v>
      </c>
      <c r="J58" s="371" t="s">
        <v>517</v>
      </c>
      <c r="K58" s="371" t="s">
        <v>517</v>
      </c>
      <c r="L58" s="371" t="s">
        <v>1235</v>
      </c>
    </row>
    <row r="59" spans="1:12" x14ac:dyDescent="0.25">
      <c r="A59" s="371">
        <v>4080</v>
      </c>
      <c r="B59" s="714" t="s">
        <v>616</v>
      </c>
      <c r="C59" s="714"/>
      <c r="D59" s="371" t="s">
        <v>617</v>
      </c>
      <c r="E59" s="371" t="s">
        <v>517</v>
      </c>
      <c r="F59" s="371" t="s">
        <v>517</v>
      </c>
      <c r="G59" s="371" t="s">
        <v>617</v>
      </c>
      <c r="H59" s="371" t="s">
        <v>517</v>
      </c>
      <c r="I59" s="371" t="s">
        <v>517</v>
      </c>
      <c r="J59" s="371" t="s">
        <v>517</v>
      </c>
      <c r="K59" s="371" t="s">
        <v>517</v>
      </c>
      <c r="L59" s="371" t="s">
        <v>617</v>
      </c>
    </row>
    <row r="60" spans="1:12" x14ac:dyDescent="0.25">
      <c r="A60" s="371">
        <v>4090</v>
      </c>
      <c r="B60" s="714" t="s">
        <v>618</v>
      </c>
      <c r="C60" s="714"/>
      <c r="D60" s="371" t="s">
        <v>619</v>
      </c>
      <c r="E60" s="371" t="s">
        <v>1236</v>
      </c>
      <c r="F60" s="371" t="s">
        <v>517</v>
      </c>
      <c r="G60" s="371" t="s">
        <v>1237</v>
      </c>
      <c r="H60" s="371" t="s">
        <v>1238</v>
      </c>
      <c r="I60" s="371" t="s">
        <v>517</v>
      </c>
      <c r="J60" s="371" t="s">
        <v>1238</v>
      </c>
      <c r="K60" s="371" t="s">
        <v>517</v>
      </c>
      <c r="L60" s="371" t="s">
        <v>1356</v>
      </c>
    </row>
    <row r="61" spans="1:12" x14ac:dyDescent="0.25">
      <c r="A61" s="371">
        <v>4160</v>
      </c>
      <c r="B61" s="714" t="s">
        <v>620</v>
      </c>
      <c r="C61" s="714"/>
      <c r="D61" s="371" t="s">
        <v>621</v>
      </c>
      <c r="E61" s="371" t="s">
        <v>1241</v>
      </c>
      <c r="F61" s="371" t="s">
        <v>517</v>
      </c>
      <c r="G61" s="371" t="s">
        <v>1242</v>
      </c>
      <c r="H61" s="371" t="s">
        <v>517</v>
      </c>
      <c r="I61" s="371" t="s">
        <v>517</v>
      </c>
      <c r="J61" s="371" t="s">
        <v>517</v>
      </c>
      <c r="K61" s="371" t="s">
        <v>517</v>
      </c>
      <c r="L61" s="371" t="s">
        <v>1242</v>
      </c>
    </row>
    <row r="62" spans="1:12" x14ac:dyDescent="0.25">
      <c r="A62" s="371">
        <v>4170</v>
      </c>
      <c r="B62" s="714" t="s">
        <v>622</v>
      </c>
      <c r="C62" s="714"/>
      <c r="D62" s="371" t="s">
        <v>623</v>
      </c>
      <c r="E62" s="371" t="s">
        <v>1243</v>
      </c>
      <c r="F62" s="371" t="s">
        <v>517</v>
      </c>
      <c r="G62" s="371" t="s">
        <v>1244</v>
      </c>
      <c r="H62" s="371" t="s">
        <v>1433</v>
      </c>
      <c r="I62" s="371" t="s">
        <v>517</v>
      </c>
      <c r="J62" s="371" t="s">
        <v>1433</v>
      </c>
      <c r="K62" s="371" t="s">
        <v>517</v>
      </c>
      <c r="L62" s="371" t="s">
        <v>1434</v>
      </c>
    </row>
    <row r="63" spans="1:12" x14ac:dyDescent="0.25">
      <c r="A63" s="371">
        <v>4190</v>
      </c>
      <c r="B63" s="714" t="s">
        <v>624</v>
      </c>
      <c r="C63" s="714"/>
      <c r="D63" s="371" t="s">
        <v>625</v>
      </c>
      <c r="E63" s="371" t="s">
        <v>1247</v>
      </c>
      <c r="F63" s="371" t="s">
        <v>517</v>
      </c>
      <c r="G63" s="371" t="s">
        <v>1248</v>
      </c>
      <c r="H63" s="371" t="s">
        <v>706</v>
      </c>
      <c r="I63" s="371" t="s">
        <v>517</v>
      </c>
      <c r="J63" s="371" t="s">
        <v>706</v>
      </c>
      <c r="K63" s="371" t="s">
        <v>517</v>
      </c>
      <c r="L63" s="371" t="s">
        <v>1249</v>
      </c>
    </row>
    <row r="64" spans="1:12" x14ac:dyDescent="0.25">
      <c r="A64" s="371">
        <v>4220</v>
      </c>
      <c r="B64" s="714" t="s">
        <v>626</v>
      </c>
      <c r="C64" s="714"/>
      <c r="D64" s="371" t="s">
        <v>627</v>
      </c>
      <c r="E64" s="371" t="s">
        <v>1250</v>
      </c>
      <c r="F64" s="371" t="s">
        <v>517</v>
      </c>
      <c r="G64" s="371" t="s">
        <v>1251</v>
      </c>
      <c r="H64" s="371" t="s">
        <v>1435</v>
      </c>
      <c r="I64" s="371" t="s">
        <v>517</v>
      </c>
      <c r="J64" s="371" t="s">
        <v>1435</v>
      </c>
      <c r="K64" s="371" t="s">
        <v>517</v>
      </c>
      <c r="L64" s="371" t="s">
        <v>1436</v>
      </c>
    </row>
    <row r="65" spans="1:12" x14ac:dyDescent="0.25">
      <c r="A65" s="371">
        <v>4234</v>
      </c>
      <c r="B65" s="714" t="s">
        <v>628</v>
      </c>
      <c r="C65" s="714"/>
      <c r="D65" s="371" t="s">
        <v>629</v>
      </c>
      <c r="E65" s="371" t="s">
        <v>517</v>
      </c>
      <c r="F65" s="371" t="s">
        <v>517</v>
      </c>
      <c r="G65" s="371" t="s">
        <v>629</v>
      </c>
      <c r="H65" s="371" t="s">
        <v>517</v>
      </c>
      <c r="I65" s="371" t="s">
        <v>517</v>
      </c>
      <c r="J65" s="371" t="s">
        <v>517</v>
      </c>
      <c r="K65" s="371" t="s">
        <v>517</v>
      </c>
      <c r="L65" s="371" t="s">
        <v>629</v>
      </c>
    </row>
    <row r="66" spans="1:12" x14ac:dyDescent="0.25">
      <c r="A66" s="371">
        <v>4270</v>
      </c>
      <c r="B66" s="714" t="s">
        <v>630</v>
      </c>
      <c r="C66" s="714"/>
      <c r="D66" s="371" t="s">
        <v>631</v>
      </c>
      <c r="E66" s="371" t="s">
        <v>1254</v>
      </c>
      <c r="F66" s="371" t="s">
        <v>517</v>
      </c>
      <c r="G66" s="371" t="s">
        <v>1255</v>
      </c>
      <c r="H66" s="371" t="s">
        <v>517</v>
      </c>
      <c r="I66" s="371" t="s">
        <v>517</v>
      </c>
      <c r="J66" s="371" t="s">
        <v>517</v>
      </c>
      <c r="K66" s="371" t="s">
        <v>517</v>
      </c>
      <c r="L66" s="371" t="s">
        <v>1255</v>
      </c>
    </row>
    <row r="67" spans="1:12" x14ac:dyDescent="0.25">
      <c r="A67" s="371">
        <v>4290</v>
      </c>
      <c r="B67" s="714" t="s">
        <v>632</v>
      </c>
      <c r="C67" s="714"/>
      <c r="D67" s="371" t="s">
        <v>633</v>
      </c>
      <c r="E67" s="371" t="s">
        <v>517</v>
      </c>
      <c r="F67" s="371" t="s">
        <v>517</v>
      </c>
      <c r="G67" s="371" t="s">
        <v>633</v>
      </c>
      <c r="H67" s="371" t="s">
        <v>517</v>
      </c>
      <c r="I67" s="371" t="s">
        <v>517</v>
      </c>
      <c r="J67" s="371" t="s">
        <v>517</v>
      </c>
      <c r="K67" s="371" t="s">
        <v>517</v>
      </c>
      <c r="L67" s="371" t="s">
        <v>633</v>
      </c>
    </row>
    <row r="68" spans="1:12" x14ac:dyDescent="0.25">
      <c r="A68" s="371">
        <v>4292</v>
      </c>
      <c r="B68" s="714" t="s">
        <v>634</v>
      </c>
      <c r="C68" s="714"/>
      <c r="D68" s="371" t="s">
        <v>635</v>
      </c>
      <c r="E68" s="371" t="s">
        <v>1257</v>
      </c>
      <c r="F68" s="371" t="s">
        <v>517</v>
      </c>
      <c r="G68" s="371" t="s">
        <v>1258</v>
      </c>
      <c r="H68" s="371" t="s">
        <v>517</v>
      </c>
      <c r="I68" s="371" t="s">
        <v>517</v>
      </c>
      <c r="J68" s="371" t="s">
        <v>517</v>
      </c>
      <c r="K68" s="371" t="s">
        <v>517</v>
      </c>
      <c r="L68" s="371" t="s">
        <v>1258</v>
      </c>
    </row>
    <row r="69" spans="1:12" x14ac:dyDescent="0.25">
      <c r="A69" s="371">
        <v>4293</v>
      </c>
      <c r="B69" s="714" t="s">
        <v>636</v>
      </c>
      <c r="C69" s="714"/>
      <c r="D69" s="371" t="s">
        <v>637</v>
      </c>
      <c r="E69" s="371" t="s">
        <v>1259</v>
      </c>
      <c r="F69" s="371" t="s">
        <v>517</v>
      </c>
      <c r="G69" s="371" t="s">
        <v>1260</v>
      </c>
      <c r="H69" s="371" t="s">
        <v>517</v>
      </c>
      <c r="I69" s="371" t="s">
        <v>517</v>
      </c>
      <c r="J69" s="371" t="s">
        <v>517</v>
      </c>
      <c r="K69" s="371" t="s">
        <v>517</v>
      </c>
      <c r="L69" s="371" t="s">
        <v>1260</v>
      </c>
    </row>
    <row r="70" spans="1:12" x14ac:dyDescent="0.25">
      <c r="A70" s="371">
        <v>4294</v>
      </c>
      <c r="B70" s="714" t="s">
        <v>638</v>
      </c>
      <c r="C70" s="714"/>
      <c r="D70" s="371" t="s">
        <v>639</v>
      </c>
      <c r="E70" s="371" t="s">
        <v>1261</v>
      </c>
      <c r="F70" s="371" t="s">
        <v>517</v>
      </c>
      <c r="G70" s="371" t="s">
        <v>1262</v>
      </c>
      <c r="H70" s="371" t="s">
        <v>517</v>
      </c>
      <c r="I70" s="371" t="s">
        <v>517</v>
      </c>
      <c r="J70" s="371" t="s">
        <v>517</v>
      </c>
      <c r="K70" s="371" t="s">
        <v>517</v>
      </c>
      <c r="L70" s="371" t="s">
        <v>1262</v>
      </c>
    </row>
    <row r="71" spans="1:12" x14ac:dyDescent="0.25">
      <c r="A71" s="371">
        <v>4295</v>
      </c>
      <c r="B71" s="714" t="s">
        <v>640</v>
      </c>
      <c r="C71" s="714"/>
      <c r="D71" s="371" t="s">
        <v>641</v>
      </c>
      <c r="E71" s="371" t="s">
        <v>1264</v>
      </c>
      <c r="F71" s="371" t="s">
        <v>517</v>
      </c>
      <c r="G71" s="371" t="s">
        <v>1265</v>
      </c>
      <c r="H71" s="371" t="s">
        <v>889</v>
      </c>
      <c r="I71" s="371" t="s">
        <v>517</v>
      </c>
      <c r="J71" s="371" t="s">
        <v>889</v>
      </c>
      <c r="K71" s="371" t="s">
        <v>517</v>
      </c>
      <c r="L71" s="371" t="s">
        <v>1359</v>
      </c>
    </row>
    <row r="72" spans="1:12" x14ac:dyDescent="0.25">
      <c r="A72" s="371">
        <v>4500</v>
      </c>
      <c r="B72" s="714" t="s">
        <v>642</v>
      </c>
      <c r="C72" s="714"/>
      <c r="D72" s="371" t="s">
        <v>643</v>
      </c>
      <c r="E72" s="371" t="s">
        <v>1267</v>
      </c>
      <c r="F72" s="371" t="s">
        <v>517</v>
      </c>
      <c r="G72" s="371" t="s">
        <v>1268</v>
      </c>
      <c r="H72" s="371" t="s">
        <v>1437</v>
      </c>
      <c r="I72" s="371" t="s">
        <v>689</v>
      </c>
      <c r="J72" s="371" t="s">
        <v>1438</v>
      </c>
      <c r="K72" s="371" t="s">
        <v>517</v>
      </c>
      <c r="L72" s="371" t="s">
        <v>1439</v>
      </c>
    </row>
    <row r="73" spans="1:12" x14ac:dyDescent="0.25">
      <c r="A73" s="371">
        <v>4501</v>
      </c>
      <c r="B73" s="714" t="s">
        <v>644</v>
      </c>
      <c r="C73" s="714"/>
      <c r="D73" s="371" t="s">
        <v>645</v>
      </c>
      <c r="E73" s="371" t="s">
        <v>1272</v>
      </c>
      <c r="F73" s="371" t="s">
        <v>517</v>
      </c>
      <c r="G73" s="371" t="s">
        <v>1273</v>
      </c>
      <c r="H73" s="371" t="s">
        <v>1440</v>
      </c>
      <c r="I73" s="371" t="s">
        <v>690</v>
      </c>
      <c r="J73" s="371" t="s">
        <v>1441</v>
      </c>
      <c r="K73" s="371" t="s">
        <v>517</v>
      </c>
      <c r="L73" s="371" t="s">
        <v>1442</v>
      </c>
    </row>
    <row r="74" spans="1:12" x14ac:dyDescent="0.25">
      <c r="A74" s="371">
        <v>4502</v>
      </c>
      <c r="B74" s="714" t="s">
        <v>646</v>
      </c>
      <c r="C74" s="714"/>
      <c r="D74" s="371" t="s">
        <v>647</v>
      </c>
      <c r="E74" s="371" t="s">
        <v>1277</v>
      </c>
      <c r="F74" s="371" t="s">
        <v>517</v>
      </c>
      <c r="G74" s="371" t="s">
        <v>1278</v>
      </c>
      <c r="H74" s="371" t="s">
        <v>1443</v>
      </c>
      <c r="I74" s="371" t="s">
        <v>691</v>
      </c>
      <c r="J74" s="371" t="s">
        <v>1444</v>
      </c>
      <c r="K74" s="371" t="s">
        <v>517</v>
      </c>
      <c r="L74" s="371" t="s">
        <v>1445</v>
      </c>
    </row>
    <row r="75" spans="1:12" x14ac:dyDescent="0.25">
      <c r="A75" s="371">
        <v>4503</v>
      </c>
      <c r="B75" s="714" t="s">
        <v>648</v>
      </c>
      <c r="C75" s="714"/>
      <c r="D75" s="371" t="s">
        <v>649</v>
      </c>
      <c r="E75" s="371" t="s">
        <v>1282</v>
      </c>
      <c r="F75" s="371" t="s">
        <v>517</v>
      </c>
      <c r="G75" s="371" t="s">
        <v>1283</v>
      </c>
      <c r="H75" s="371" t="s">
        <v>1446</v>
      </c>
      <c r="I75" s="371" t="s">
        <v>676</v>
      </c>
      <c r="J75" s="371" t="s">
        <v>1447</v>
      </c>
      <c r="K75" s="371" t="s">
        <v>517</v>
      </c>
      <c r="L75" s="371" t="s">
        <v>1448</v>
      </c>
    </row>
    <row r="76" spans="1:12" x14ac:dyDescent="0.25">
      <c r="A76" s="371">
        <v>4504</v>
      </c>
      <c r="B76" s="714" t="s">
        <v>650</v>
      </c>
      <c r="C76" s="714"/>
      <c r="D76" s="371" t="s">
        <v>651</v>
      </c>
      <c r="E76" s="371" t="s">
        <v>1287</v>
      </c>
      <c r="F76" s="371" t="s">
        <v>517</v>
      </c>
      <c r="G76" s="371" t="s">
        <v>1288</v>
      </c>
      <c r="H76" s="371" t="s">
        <v>795</v>
      </c>
      <c r="I76" s="371" t="s">
        <v>517</v>
      </c>
      <c r="J76" s="371" t="s">
        <v>795</v>
      </c>
      <c r="K76" s="371" t="s">
        <v>517</v>
      </c>
      <c r="L76" s="371" t="s">
        <v>1449</v>
      </c>
    </row>
    <row r="77" spans="1:12" x14ac:dyDescent="0.25">
      <c r="A77" s="371">
        <v>4505</v>
      </c>
      <c r="B77" s="714" t="s">
        <v>652</v>
      </c>
      <c r="C77" s="714"/>
      <c r="D77" s="371" t="s">
        <v>653</v>
      </c>
      <c r="E77" s="371" t="s">
        <v>1290</v>
      </c>
      <c r="F77" s="371" t="s">
        <v>517</v>
      </c>
      <c r="G77" s="371" t="s">
        <v>1291</v>
      </c>
      <c r="H77" s="371" t="s">
        <v>1450</v>
      </c>
      <c r="I77" s="371" t="s">
        <v>517</v>
      </c>
      <c r="J77" s="371" t="s">
        <v>1450</v>
      </c>
      <c r="K77" s="371" t="s">
        <v>517</v>
      </c>
      <c r="L77" s="371" t="s">
        <v>1451</v>
      </c>
    </row>
    <row r="78" spans="1:12" x14ac:dyDescent="0.25">
      <c r="A78" s="371">
        <v>4506</v>
      </c>
      <c r="B78" s="714" t="s">
        <v>654</v>
      </c>
      <c r="C78" s="714"/>
      <c r="D78" s="371" t="s">
        <v>655</v>
      </c>
      <c r="E78" s="371" t="s">
        <v>1294</v>
      </c>
      <c r="F78" s="371" t="s">
        <v>517</v>
      </c>
      <c r="G78" s="371" t="s">
        <v>1295</v>
      </c>
      <c r="H78" s="371" t="s">
        <v>517</v>
      </c>
      <c r="I78" s="371" t="s">
        <v>517</v>
      </c>
      <c r="J78" s="371" t="s">
        <v>517</v>
      </c>
      <c r="K78" s="371" t="s">
        <v>517</v>
      </c>
      <c r="L78" s="371" t="s">
        <v>1295</v>
      </c>
    </row>
    <row r="79" spans="1:12" x14ac:dyDescent="0.25">
      <c r="A79" s="371">
        <v>4507</v>
      </c>
      <c r="B79" s="714" t="s">
        <v>656</v>
      </c>
      <c r="C79" s="714"/>
      <c r="D79" s="371" t="s">
        <v>657</v>
      </c>
      <c r="E79" s="371" t="s">
        <v>1298</v>
      </c>
      <c r="F79" s="371" t="s">
        <v>517</v>
      </c>
      <c r="G79" s="371" t="s">
        <v>1299</v>
      </c>
      <c r="H79" s="371" t="s">
        <v>517</v>
      </c>
      <c r="I79" s="371" t="s">
        <v>517</v>
      </c>
      <c r="J79" s="371" t="s">
        <v>517</v>
      </c>
      <c r="K79" s="371" t="s">
        <v>517</v>
      </c>
      <c r="L79" s="371" t="s">
        <v>1299</v>
      </c>
    </row>
    <row r="80" spans="1:12" x14ac:dyDescent="0.25">
      <c r="A80" s="371">
        <v>4509</v>
      </c>
      <c r="B80" s="714" t="s">
        <v>658</v>
      </c>
      <c r="C80" s="714"/>
      <c r="D80" s="371" t="s">
        <v>659</v>
      </c>
      <c r="E80" s="371" t="s">
        <v>1300</v>
      </c>
      <c r="F80" s="371" t="s">
        <v>517</v>
      </c>
      <c r="G80" s="371" t="s">
        <v>1301</v>
      </c>
      <c r="H80" s="371" t="s">
        <v>517</v>
      </c>
      <c r="I80" s="371" t="s">
        <v>517</v>
      </c>
      <c r="J80" s="371" t="s">
        <v>517</v>
      </c>
      <c r="K80" s="371" t="s">
        <v>517</v>
      </c>
      <c r="L80" s="371" t="s">
        <v>1301</v>
      </c>
    </row>
    <row r="81" spans="1:12" x14ac:dyDescent="0.25">
      <c r="A81" s="371">
        <v>4511</v>
      </c>
      <c r="B81" s="714" t="s">
        <v>660</v>
      </c>
      <c r="C81" s="714"/>
      <c r="D81" s="371" t="s">
        <v>661</v>
      </c>
      <c r="E81" s="371" t="s">
        <v>1302</v>
      </c>
      <c r="F81" s="371" t="s">
        <v>517</v>
      </c>
      <c r="G81" s="371" t="s">
        <v>1303</v>
      </c>
      <c r="H81" s="371" t="s">
        <v>1452</v>
      </c>
      <c r="I81" s="371" t="s">
        <v>677</v>
      </c>
      <c r="J81" s="371" t="s">
        <v>1453</v>
      </c>
      <c r="K81" s="371" t="s">
        <v>517</v>
      </c>
      <c r="L81" s="371" t="s">
        <v>1454</v>
      </c>
    </row>
    <row r="82" spans="1:12" x14ac:dyDescent="0.25">
      <c r="A82" s="371">
        <v>4512</v>
      </c>
      <c r="B82" s="714" t="s">
        <v>663</v>
      </c>
      <c r="C82" s="714"/>
      <c r="D82" s="371" t="s">
        <v>664</v>
      </c>
      <c r="E82" s="371" t="s">
        <v>1307</v>
      </c>
      <c r="F82" s="371" t="s">
        <v>517</v>
      </c>
      <c r="G82" s="371" t="s">
        <v>1308</v>
      </c>
      <c r="H82" s="371" t="s">
        <v>517</v>
      </c>
      <c r="I82" s="371" t="s">
        <v>517</v>
      </c>
      <c r="J82" s="371" t="s">
        <v>517</v>
      </c>
      <c r="K82" s="371" t="s">
        <v>517</v>
      </c>
      <c r="L82" s="371" t="s">
        <v>1308</v>
      </c>
    </row>
    <row r="83" spans="1:12" x14ac:dyDescent="0.25">
      <c r="A83" s="371">
        <v>4986</v>
      </c>
      <c r="B83" s="714" t="s">
        <v>665</v>
      </c>
      <c r="C83" s="714"/>
      <c r="D83" s="371" t="s">
        <v>666</v>
      </c>
      <c r="E83" s="371" t="s">
        <v>1309</v>
      </c>
      <c r="F83" s="371" t="s">
        <v>517</v>
      </c>
      <c r="G83" s="371" t="s">
        <v>1310</v>
      </c>
      <c r="H83" s="371" t="s">
        <v>517</v>
      </c>
      <c r="I83" s="371" t="s">
        <v>517</v>
      </c>
      <c r="J83" s="371" t="s">
        <v>517</v>
      </c>
      <c r="K83" s="371" t="s">
        <v>517</v>
      </c>
      <c r="L83" s="371" t="s">
        <v>1310</v>
      </c>
    </row>
    <row r="84" spans="1:12" x14ac:dyDescent="0.25">
      <c r="A84" s="371">
        <v>8001</v>
      </c>
      <c r="B84" s="714" t="s">
        <v>667</v>
      </c>
      <c r="C84" s="714"/>
      <c r="D84" s="371" t="s">
        <v>668</v>
      </c>
      <c r="E84" s="371" t="s">
        <v>517</v>
      </c>
      <c r="F84" s="371" t="s">
        <v>517</v>
      </c>
      <c r="G84" s="371" t="s">
        <v>668</v>
      </c>
      <c r="H84" s="371" t="s">
        <v>517</v>
      </c>
      <c r="I84" s="371" t="s">
        <v>517</v>
      </c>
      <c r="J84" s="371" t="s">
        <v>517</v>
      </c>
      <c r="K84" s="371" t="s">
        <v>517</v>
      </c>
      <c r="L84" s="371" t="s">
        <v>668</v>
      </c>
    </row>
    <row r="85" spans="1:12" x14ac:dyDescent="0.25">
      <c r="A85" s="371">
        <v>8024</v>
      </c>
      <c r="B85" s="714" t="s">
        <v>669</v>
      </c>
      <c r="C85" s="714"/>
      <c r="D85" s="371" t="s">
        <v>670</v>
      </c>
      <c r="E85" s="371" t="s">
        <v>517</v>
      </c>
      <c r="F85" s="371" t="s">
        <v>517</v>
      </c>
      <c r="G85" s="371" t="s">
        <v>670</v>
      </c>
      <c r="H85" s="371" t="s">
        <v>517</v>
      </c>
      <c r="I85" s="371" t="s">
        <v>517</v>
      </c>
      <c r="J85" s="371" t="s">
        <v>517</v>
      </c>
      <c r="K85" s="371" t="s">
        <v>517</v>
      </c>
      <c r="L85" s="371" t="s">
        <v>670</v>
      </c>
    </row>
    <row r="86" spans="1:12" x14ac:dyDescent="0.25">
      <c r="A86" s="371">
        <v>8050</v>
      </c>
      <c r="B86" s="714" t="s">
        <v>671</v>
      </c>
      <c r="C86" s="714"/>
      <c r="D86" s="371" t="s">
        <v>672</v>
      </c>
      <c r="E86" s="371" t="s">
        <v>517</v>
      </c>
      <c r="F86" s="371" t="s">
        <v>517</v>
      </c>
      <c r="G86" s="371" t="s">
        <v>672</v>
      </c>
      <c r="H86" s="371" t="s">
        <v>517</v>
      </c>
      <c r="I86" s="371" t="s">
        <v>517</v>
      </c>
      <c r="J86" s="371" t="s">
        <v>517</v>
      </c>
      <c r="K86" s="371" t="s">
        <v>517</v>
      </c>
      <c r="L86" s="371" t="s">
        <v>672</v>
      </c>
    </row>
    <row r="88" spans="1:12" x14ac:dyDescent="0.25">
      <c r="A88" s="713" t="s">
        <v>183</v>
      </c>
      <c r="B88" s="713"/>
      <c r="C88" s="713"/>
      <c r="D88" s="372" t="s">
        <v>673</v>
      </c>
      <c r="E88" s="372" t="s">
        <v>1311</v>
      </c>
      <c r="F88" s="372" t="s">
        <v>1097</v>
      </c>
      <c r="G88" s="372" t="s">
        <v>1312</v>
      </c>
      <c r="H88" s="372" t="s">
        <v>1455</v>
      </c>
      <c r="I88" s="372" t="s">
        <v>1456</v>
      </c>
      <c r="J88" s="372" t="s">
        <v>1457</v>
      </c>
      <c r="K88" s="372" t="s">
        <v>1097</v>
      </c>
      <c r="L88" s="372" t="s">
        <v>1458</v>
      </c>
    </row>
  </sheetData>
  <mergeCells count="89">
    <mergeCell ref="B79:C79"/>
    <mergeCell ref="B80:C80"/>
    <mergeCell ref="B71:C71"/>
    <mergeCell ref="B72:C72"/>
    <mergeCell ref="B73:C73"/>
    <mergeCell ref="B74:C74"/>
    <mergeCell ref="B75:C75"/>
    <mergeCell ref="B81:C81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6:C76"/>
    <mergeCell ref="B77:C77"/>
    <mergeCell ref="B78:C78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J6:J7"/>
    <mergeCell ref="K6:K7"/>
    <mergeCell ref="L6:L7"/>
    <mergeCell ref="B8:C8"/>
    <mergeCell ref="B9:C9"/>
    <mergeCell ref="H6:H7"/>
    <mergeCell ref="I6:I7"/>
    <mergeCell ref="B10:C10"/>
    <mergeCell ref="D6:D7"/>
    <mergeCell ref="E6:E7"/>
    <mergeCell ref="F6:F7"/>
    <mergeCell ref="G6:G7"/>
    <mergeCell ref="A88:C88"/>
    <mergeCell ref="B82:C82"/>
    <mergeCell ref="B83:C83"/>
    <mergeCell ref="B84:C84"/>
    <mergeCell ref="B85:C85"/>
    <mergeCell ref="B86:C8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128"/>
  <sheetViews>
    <sheetView workbookViewId="0">
      <selection sqref="A1:XFD1048576"/>
    </sheetView>
  </sheetViews>
  <sheetFormatPr defaultRowHeight="15" x14ac:dyDescent="0.25"/>
  <cols>
    <col min="1" max="1" width="36.285156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1" customWidth="1"/>
    <col min="9" max="9" width="1.85546875" customWidth="1"/>
    <col min="10" max="10" width="5.140625" customWidth="1"/>
    <col min="11" max="11" width="5" customWidth="1"/>
    <col min="12" max="12" width="1" customWidth="1"/>
    <col min="13" max="13" width="8.140625" customWidth="1"/>
    <col min="14" max="14" width="1" customWidth="1"/>
    <col min="15" max="15" width="10.140625" customWidth="1"/>
    <col min="16" max="16" width="10" customWidth="1"/>
    <col min="17" max="17" width="10.140625" customWidth="1"/>
    <col min="18" max="18" width="1" customWidth="1"/>
    <col min="19" max="19" width="11.140625" customWidth="1"/>
    <col min="20" max="20" width="0.5703125" customWidth="1"/>
  </cols>
  <sheetData>
    <row r="1" spans="1:19" ht="11.85" customHeight="1" x14ac:dyDescent="0.25">
      <c r="A1" s="746" t="s">
        <v>833</v>
      </c>
      <c r="B1" s="746"/>
      <c r="S1" s="549" t="s">
        <v>1459</v>
      </c>
    </row>
    <row r="2" spans="1:19" ht="11.1" customHeight="1" x14ac:dyDescent="0.25">
      <c r="A2" s="746" t="s">
        <v>824</v>
      </c>
      <c r="B2" s="746"/>
    </row>
    <row r="3" spans="1:19" ht="11.85" customHeight="1" x14ac:dyDescent="0.25">
      <c r="A3" s="754" t="s">
        <v>1460</v>
      </c>
      <c r="B3" s="754"/>
    </row>
    <row r="4" spans="1:19" ht="11.85" customHeight="1" x14ac:dyDescent="0.25">
      <c r="A4" s="746" t="s">
        <v>832</v>
      </c>
      <c r="B4" s="746"/>
    </row>
    <row r="5" spans="1:19" ht="11.85" customHeight="1" x14ac:dyDescent="0.25">
      <c r="A5" s="746" t="s">
        <v>920</v>
      </c>
      <c r="B5" s="746"/>
    </row>
    <row r="6" spans="1:19" ht="5.85" customHeight="1" x14ac:dyDescent="0.25"/>
    <row r="7" spans="1:19" ht="11.1" customHeight="1" x14ac:dyDescent="0.25">
      <c r="A7" s="749" t="s">
        <v>1461</v>
      </c>
      <c r="B7" s="749"/>
      <c r="C7" s="749"/>
      <c r="D7" s="749"/>
      <c r="E7" s="749"/>
      <c r="F7" s="749"/>
      <c r="G7" s="749"/>
      <c r="H7" s="550"/>
      <c r="I7" s="550"/>
      <c r="J7" s="550"/>
      <c r="K7" s="550"/>
      <c r="L7" s="550"/>
      <c r="M7" s="550"/>
      <c r="N7" s="550"/>
      <c r="O7" s="550"/>
      <c r="Q7" s="750" t="s">
        <v>1017</v>
      </c>
      <c r="R7" s="750"/>
      <c r="S7" s="750"/>
    </row>
    <row r="8" spans="1:19" ht="11.85" customHeight="1" x14ac:dyDescent="0.25">
      <c r="A8" s="735" t="s">
        <v>925</v>
      </c>
      <c r="B8" s="737" t="s">
        <v>1462</v>
      </c>
      <c r="C8" s="738"/>
      <c r="D8" s="737" t="s">
        <v>1463</v>
      </c>
      <c r="E8" s="742" t="s">
        <v>1464</v>
      </c>
      <c r="F8" s="743"/>
      <c r="G8" s="743"/>
      <c r="H8" s="743"/>
      <c r="I8" s="743"/>
      <c r="J8" s="743"/>
      <c r="K8" s="743"/>
      <c r="L8" s="743"/>
      <c r="M8" s="743"/>
      <c r="N8" s="744"/>
      <c r="O8" s="737" t="s">
        <v>1465</v>
      </c>
      <c r="P8" s="551"/>
    </row>
    <row r="9" spans="1:19" ht="17.850000000000001" customHeight="1" x14ac:dyDescent="0.25">
      <c r="A9" s="736"/>
      <c r="B9" s="739"/>
      <c r="C9" s="740"/>
      <c r="D9" s="741"/>
      <c r="E9" s="544" t="s">
        <v>1466</v>
      </c>
      <c r="F9" s="737" t="s">
        <v>1467</v>
      </c>
      <c r="G9" s="747"/>
      <c r="H9" s="748"/>
      <c r="I9" s="737" t="s">
        <v>1468</v>
      </c>
      <c r="J9" s="747"/>
      <c r="K9" s="747"/>
      <c r="L9" s="748"/>
      <c r="M9" s="737" t="s">
        <v>1469</v>
      </c>
      <c r="N9" s="748"/>
      <c r="O9" s="741"/>
      <c r="P9" s="551"/>
    </row>
    <row r="10" spans="1:19" ht="11.1" customHeight="1" x14ac:dyDescent="0.25">
      <c r="A10" s="552" t="s">
        <v>1470</v>
      </c>
      <c r="B10" s="730" t="s">
        <v>1471</v>
      </c>
      <c r="C10" s="731"/>
      <c r="D10" s="433" t="s">
        <v>1472</v>
      </c>
      <c r="E10" s="433" t="s">
        <v>1473</v>
      </c>
      <c r="F10" s="732" t="s">
        <v>1474</v>
      </c>
      <c r="G10" s="733"/>
      <c r="H10" s="734"/>
      <c r="I10" s="732" t="s">
        <v>1475</v>
      </c>
      <c r="J10" s="733"/>
      <c r="K10" s="733"/>
      <c r="L10" s="734"/>
      <c r="M10" s="732" t="s">
        <v>1476</v>
      </c>
      <c r="N10" s="734"/>
      <c r="O10" s="433" t="s">
        <v>1477</v>
      </c>
      <c r="P10" s="551"/>
    </row>
    <row r="11" spans="1:19" ht="11.85" customHeight="1" x14ac:dyDescent="0.25">
      <c r="A11" s="553" t="s">
        <v>3</v>
      </c>
      <c r="B11" s="718" t="s">
        <v>1478</v>
      </c>
      <c r="C11" s="719"/>
      <c r="D11" s="436" t="s">
        <v>1479</v>
      </c>
      <c r="E11" s="436" t="s">
        <v>1480</v>
      </c>
      <c r="F11" s="720" t="s">
        <v>1481</v>
      </c>
      <c r="G11" s="721"/>
      <c r="H11" s="722"/>
      <c r="I11" s="720" t="s">
        <v>1482</v>
      </c>
      <c r="J11" s="721"/>
      <c r="K11" s="721"/>
      <c r="L11" s="722"/>
      <c r="M11" s="720" t="s">
        <v>1483</v>
      </c>
      <c r="N11" s="722"/>
      <c r="O11" s="436" t="s">
        <v>1484</v>
      </c>
      <c r="P11" s="551"/>
    </row>
    <row r="12" spans="1:19" ht="11.85" customHeight="1" x14ac:dyDescent="0.25">
      <c r="A12" s="553" t="s">
        <v>836</v>
      </c>
      <c r="B12" s="718" t="s">
        <v>837</v>
      </c>
      <c r="C12" s="719"/>
      <c r="D12" s="436" t="s">
        <v>837</v>
      </c>
      <c r="E12" s="436" t="s">
        <v>1485</v>
      </c>
      <c r="F12" s="720" t="s">
        <v>1486</v>
      </c>
      <c r="G12" s="721"/>
      <c r="H12" s="722"/>
      <c r="I12" s="720" t="s">
        <v>1487</v>
      </c>
      <c r="J12" s="721"/>
      <c r="K12" s="721"/>
      <c r="L12" s="722"/>
      <c r="M12" s="720" t="s">
        <v>1488</v>
      </c>
      <c r="N12" s="722"/>
      <c r="O12" s="436" t="s">
        <v>1489</v>
      </c>
      <c r="P12" s="551"/>
    </row>
    <row r="13" spans="1:19" ht="11.85" customHeight="1" x14ac:dyDescent="0.25">
      <c r="A13" s="553" t="s">
        <v>1490</v>
      </c>
      <c r="B13" s="718" t="s">
        <v>1491</v>
      </c>
      <c r="C13" s="719"/>
      <c r="D13" s="436" t="s">
        <v>1491</v>
      </c>
      <c r="E13" s="436" t="s">
        <v>1492</v>
      </c>
      <c r="F13" s="720" t="s">
        <v>1493</v>
      </c>
      <c r="G13" s="721"/>
      <c r="H13" s="722"/>
      <c r="I13" s="720" t="s">
        <v>1494</v>
      </c>
      <c r="J13" s="721"/>
      <c r="K13" s="721"/>
      <c r="L13" s="722"/>
      <c r="M13" s="720" t="s">
        <v>1495</v>
      </c>
      <c r="N13" s="722"/>
      <c r="O13" s="436" t="s">
        <v>1496</v>
      </c>
      <c r="P13" s="551"/>
    </row>
    <row r="14" spans="1:19" ht="11.1" customHeight="1" x14ac:dyDescent="0.25">
      <c r="A14" s="553" t="s">
        <v>1497</v>
      </c>
      <c r="B14" s="718" t="s">
        <v>1498</v>
      </c>
      <c r="C14" s="719"/>
      <c r="D14" s="436" t="s">
        <v>1498</v>
      </c>
      <c r="E14" s="436" t="s">
        <v>1499</v>
      </c>
      <c r="F14" s="720" t="s">
        <v>1500</v>
      </c>
      <c r="G14" s="721"/>
      <c r="H14" s="722"/>
      <c r="I14" s="720" t="s">
        <v>1501</v>
      </c>
      <c r="J14" s="721"/>
      <c r="K14" s="721"/>
      <c r="L14" s="722"/>
      <c r="M14" s="720" t="s">
        <v>1502</v>
      </c>
      <c r="N14" s="722"/>
      <c r="O14" s="436" t="s">
        <v>1503</v>
      </c>
      <c r="P14" s="551"/>
    </row>
    <row r="15" spans="1:19" ht="11.85" customHeight="1" x14ac:dyDescent="0.25">
      <c r="A15" s="553" t="s">
        <v>1504</v>
      </c>
      <c r="B15" s="718" t="s">
        <v>1505</v>
      </c>
      <c r="C15" s="719"/>
      <c r="D15" s="436" t="s">
        <v>1505</v>
      </c>
      <c r="E15" s="436" t="s">
        <v>1506</v>
      </c>
      <c r="F15" s="720" t="s">
        <v>825</v>
      </c>
      <c r="G15" s="721"/>
      <c r="H15" s="722"/>
      <c r="I15" s="720" t="s">
        <v>1507</v>
      </c>
      <c r="J15" s="721"/>
      <c r="K15" s="721"/>
      <c r="L15" s="722"/>
      <c r="M15" s="720" t="s">
        <v>1508</v>
      </c>
      <c r="N15" s="722"/>
      <c r="O15" s="436" t="s">
        <v>1509</v>
      </c>
      <c r="P15" s="551"/>
    </row>
    <row r="16" spans="1:19" ht="11.85" customHeight="1" x14ac:dyDescent="0.25">
      <c r="A16" s="553" t="s">
        <v>844</v>
      </c>
      <c r="B16" s="718" t="s">
        <v>845</v>
      </c>
      <c r="C16" s="719"/>
      <c r="D16" s="436" t="s">
        <v>845</v>
      </c>
      <c r="E16" s="436" t="s">
        <v>1510</v>
      </c>
      <c r="F16" s="720" t="s">
        <v>1511</v>
      </c>
      <c r="G16" s="721"/>
      <c r="H16" s="722"/>
      <c r="I16" s="720" t="s">
        <v>1512</v>
      </c>
      <c r="J16" s="721"/>
      <c r="K16" s="721"/>
      <c r="L16" s="722"/>
      <c r="M16" s="720" t="s">
        <v>1513</v>
      </c>
      <c r="N16" s="722"/>
      <c r="O16" s="436" t="s">
        <v>1514</v>
      </c>
      <c r="P16" s="551"/>
    </row>
    <row r="17" spans="1:16" ht="11.85" customHeight="1" x14ac:dyDescent="0.25">
      <c r="A17" s="553" t="s">
        <v>1515</v>
      </c>
      <c r="B17" s="718" t="s">
        <v>1516</v>
      </c>
      <c r="C17" s="719"/>
      <c r="D17" s="436" t="s">
        <v>1516</v>
      </c>
      <c r="E17" s="436" t="s">
        <v>1517</v>
      </c>
      <c r="F17" s="720" t="s">
        <v>1518</v>
      </c>
      <c r="G17" s="721"/>
      <c r="H17" s="722"/>
      <c r="I17" s="720" t="s">
        <v>1519</v>
      </c>
      <c r="J17" s="721"/>
      <c r="K17" s="721"/>
      <c r="L17" s="722"/>
      <c r="M17" s="720" t="s">
        <v>1520</v>
      </c>
      <c r="N17" s="722"/>
      <c r="O17" s="436" t="s">
        <v>1521</v>
      </c>
      <c r="P17" s="551"/>
    </row>
    <row r="18" spans="1:16" ht="11.1" customHeight="1" x14ac:dyDescent="0.25">
      <c r="A18" s="553" t="s">
        <v>1522</v>
      </c>
      <c r="B18" s="718" t="s">
        <v>1523</v>
      </c>
      <c r="C18" s="719"/>
      <c r="D18" s="436" t="s">
        <v>1523</v>
      </c>
      <c r="E18" s="436" t="s">
        <v>1524</v>
      </c>
      <c r="F18" s="720" t="s">
        <v>1525</v>
      </c>
      <c r="G18" s="721"/>
      <c r="H18" s="722"/>
      <c r="I18" s="720" t="s">
        <v>1526</v>
      </c>
      <c r="J18" s="721"/>
      <c r="K18" s="721"/>
      <c r="L18" s="722"/>
      <c r="M18" s="720" t="s">
        <v>1527</v>
      </c>
      <c r="N18" s="722"/>
      <c r="O18" s="436" t="s">
        <v>1528</v>
      </c>
      <c r="P18" s="551"/>
    </row>
    <row r="19" spans="1:16" ht="11.85" customHeight="1" x14ac:dyDescent="0.25">
      <c r="A19" s="553" t="s">
        <v>846</v>
      </c>
      <c r="B19" s="718" t="s">
        <v>847</v>
      </c>
      <c r="C19" s="719"/>
      <c r="D19" s="436" t="s">
        <v>847</v>
      </c>
      <c r="E19" s="436" t="s">
        <v>1529</v>
      </c>
      <c r="F19" s="720" t="s">
        <v>1530</v>
      </c>
      <c r="G19" s="721"/>
      <c r="H19" s="722"/>
      <c r="I19" s="720" t="s">
        <v>1531</v>
      </c>
      <c r="J19" s="721"/>
      <c r="K19" s="721"/>
      <c r="L19" s="722"/>
      <c r="M19" s="720" t="s">
        <v>1532</v>
      </c>
      <c r="N19" s="722"/>
      <c r="O19" s="436" t="s">
        <v>1533</v>
      </c>
      <c r="P19" s="551"/>
    </row>
    <row r="20" spans="1:16" ht="11.85" customHeight="1" x14ac:dyDescent="0.25">
      <c r="A20" s="553" t="s">
        <v>1534</v>
      </c>
      <c r="B20" s="718" t="s">
        <v>850</v>
      </c>
      <c r="C20" s="719"/>
      <c r="D20" s="436" t="s">
        <v>850</v>
      </c>
      <c r="E20" s="436" t="s">
        <v>1535</v>
      </c>
      <c r="F20" s="720" t="s">
        <v>1536</v>
      </c>
      <c r="G20" s="721"/>
      <c r="H20" s="722"/>
      <c r="I20" s="720" t="s">
        <v>1537</v>
      </c>
      <c r="J20" s="721"/>
      <c r="K20" s="721"/>
      <c r="L20" s="722"/>
      <c r="M20" s="720" t="s">
        <v>1538</v>
      </c>
      <c r="N20" s="722"/>
      <c r="O20" s="436" t="s">
        <v>1539</v>
      </c>
      <c r="P20" s="551"/>
    </row>
    <row r="21" spans="1:16" ht="11.85" customHeight="1" x14ac:dyDescent="0.25">
      <c r="A21" s="553" t="s">
        <v>1540</v>
      </c>
      <c r="B21" s="718" t="s">
        <v>848</v>
      </c>
      <c r="C21" s="719"/>
      <c r="D21" s="436" t="s">
        <v>848</v>
      </c>
      <c r="E21" s="436" t="s">
        <v>1541</v>
      </c>
      <c r="F21" s="720" t="s">
        <v>1542</v>
      </c>
      <c r="G21" s="721"/>
      <c r="H21" s="722"/>
      <c r="I21" s="720" t="s">
        <v>1543</v>
      </c>
      <c r="J21" s="721"/>
      <c r="K21" s="721"/>
      <c r="L21" s="722"/>
      <c r="M21" s="720" t="s">
        <v>1544</v>
      </c>
      <c r="N21" s="722"/>
      <c r="O21" s="436" t="s">
        <v>1545</v>
      </c>
      <c r="P21" s="551"/>
    </row>
    <row r="22" spans="1:16" ht="11.1" customHeight="1" x14ac:dyDescent="0.25">
      <c r="A22" s="553" t="s">
        <v>851</v>
      </c>
      <c r="B22" s="718" t="s">
        <v>852</v>
      </c>
      <c r="C22" s="719"/>
      <c r="D22" s="436" t="s">
        <v>852</v>
      </c>
      <c r="E22" s="436" t="s">
        <v>1546</v>
      </c>
      <c r="F22" s="720" t="s">
        <v>1547</v>
      </c>
      <c r="G22" s="721"/>
      <c r="H22" s="722"/>
      <c r="I22" s="720" t="s">
        <v>1548</v>
      </c>
      <c r="J22" s="721"/>
      <c r="K22" s="721"/>
      <c r="L22" s="722"/>
      <c r="M22" s="720" t="s">
        <v>1549</v>
      </c>
      <c r="N22" s="722"/>
      <c r="O22" s="436" t="s">
        <v>1550</v>
      </c>
      <c r="P22" s="551"/>
    </row>
    <row r="23" spans="1:16" ht="11.85" customHeight="1" x14ac:dyDescent="0.25">
      <c r="A23" s="553" t="s">
        <v>853</v>
      </c>
      <c r="B23" s="718" t="s">
        <v>854</v>
      </c>
      <c r="C23" s="719"/>
      <c r="D23" s="436" t="s">
        <v>854</v>
      </c>
      <c r="E23" s="436" t="s">
        <v>1551</v>
      </c>
      <c r="F23" s="720" t="s">
        <v>1552</v>
      </c>
      <c r="G23" s="721"/>
      <c r="H23" s="722"/>
      <c r="I23" s="720" t="s">
        <v>1553</v>
      </c>
      <c r="J23" s="721"/>
      <c r="K23" s="721"/>
      <c r="L23" s="722"/>
      <c r="M23" s="720" t="s">
        <v>1554</v>
      </c>
      <c r="N23" s="722"/>
      <c r="O23" s="436" t="s">
        <v>1555</v>
      </c>
      <c r="P23" s="551"/>
    </row>
    <row r="24" spans="1:16" ht="11.85" customHeight="1" x14ac:dyDescent="0.25">
      <c r="A24" s="553" t="s">
        <v>1556</v>
      </c>
      <c r="B24" s="718" t="s">
        <v>854</v>
      </c>
      <c r="C24" s="719"/>
      <c r="D24" s="436" t="s">
        <v>854</v>
      </c>
      <c r="E24" s="436" t="s">
        <v>1551</v>
      </c>
      <c r="F24" s="720" t="s">
        <v>1552</v>
      </c>
      <c r="G24" s="721"/>
      <c r="H24" s="722"/>
      <c r="I24" s="720" t="s">
        <v>1553</v>
      </c>
      <c r="J24" s="721"/>
      <c r="K24" s="721"/>
      <c r="L24" s="722"/>
      <c r="M24" s="720" t="s">
        <v>1554</v>
      </c>
      <c r="N24" s="722"/>
      <c r="O24" s="436" t="s">
        <v>1555</v>
      </c>
      <c r="P24" s="551"/>
    </row>
    <row r="25" spans="1:16" ht="11.85" customHeight="1" x14ac:dyDescent="0.25">
      <c r="A25" s="553" t="s">
        <v>855</v>
      </c>
      <c r="B25" s="718" t="s">
        <v>1557</v>
      </c>
      <c r="C25" s="719"/>
      <c r="D25" s="436" t="s">
        <v>1558</v>
      </c>
      <c r="E25" s="436" t="s">
        <v>1559</v>
      </c>
      <c r="F25" s="720" t="s">
        <v>1560</v>
      </c>
      <c r="G25" s="721"/>
      <c r="H25" s="722"/>
      <c r="I25" s="720" t="s">
        <v>1561</v>
      </c>
      <c r="J25" s="721"/>
      <c r="K25" s="721"/>
      <c r="L25" s="722"/>
      <c r="M25" s="720" t="s">
        <v>1562</v>
      </c>
      <c r="N25" s="722"/>
      <c r="O25" s="436" t="s">
        <v>1563</v>
      </c>
      <c r="P25" s="551"/>
    </row>
    <row r="26" spans="1:16" ht="11.1" customHeight="1" x14ac:dyDescent="0.25">
      <c r="A26" s="553" t="s">
        <v>1564</v>
      </c>
      <c r="B26" s="718" t="s">
        <v>1565</v>
      </c>
      <c r="C26" s="719"/>
      <c r="D26" s="436" t="s">
        <v>1566</v>
      </c>
      <c r="E26" s="436" t="s">
        <v>1567</v>
      </c>
      <c r="F26" s="720" t="s">
        <v>1568</v>
      </c>
      <c r="G26" s="721"/>
      <c r="H26" s="722"/>
      <c r="I26" s="720" t="s">
        <v>1569</v>
      </c>
      <c r="J26" s="721"/>
      <c r="K26" s="721"/>
      <c r="L26" s="722"/>
      <c r="M26" s="720" t="s">
        <v>1570</v>
      </c>
      <c r="N26" s="722"/>
      <c r="O26" s="436" t="s">
        <v>1571</v>
      </c>
      <c r="P26" s="551"/>
    </row>
    <row r="27" spans="1:16" ht="11.85" customHeight="1" x14ac:dyDescent="0.25">
      <c r="A27" s="553" t="s">
        <v>1572</v>
      </c>
      <c r="B27" s="718" t="s">
        <v>1573</v>
      </c>
      <c r="C27" s="719"/>
      <c r="D27" s="436" t="s">
        <v>1574</v>
      </c>
      <c r="E27" s="436" t="s">
        <v>1575</v>
      </c>
      <c r="F27" s="720" t="s">
        <v>1576</v>
      </c>
      <c r="G27" s="721"/>
      <c r="H27" s="722"/>
      <c r="I27" s="720" t="s">
        <v>1577</v>
      </c>
      <c r="J27" s="721"/>
      <c r="K27" s="721"/>
      <c r="L27" s="722"/>
      <c r="M27" s="720" t="s">
        <v>1578</v>
      </c>
      <c r="N27" s="722"/>
      <c r="O27" s="436" t="s">
        <v>1579</v>
      </c>
      <c r="P27" s="551"/>
    </row>
    <row r="28" spans="1:16" ht="11.85" customHeight="1" x14ac:dyDescent="0.25">
      <c r="A28" s="553" t="s">
        <v>1580</v>
      </c>
      <c r="B28" s="718" t="s">
        <v>1581</v>
      </c>
      <c r="C28" s="719"/>
      <c r="D28" s="436" t="s">
        <v>1581</v>
      </c>
      <c r="E28" s="436" t="s">
        <v>1582</v>
      </c>
      <c r="F28" s="720" t="s">
        <v>1583</v>
      </c>
      <c r="G28" s="721"/>
      <c r="H28" s="722"/>
      <c r="I28" s="720" t="s">
        <v>1584</v>
      </c>
      <c r="J28" s="721"/>
      <c r="K28" s="721"/>
      <c r="L28" s="722"/>
      <c r="M28" s="720" t="s">
        <v>1585</v>
      </c>
      <c r="N28" s="722"/>
      <c r="O28" s="436" t="s">
        <v>1586</v>
      </c>
      <c r="P28" s="551"/>
    </row>
    <row r="29" spans="1:16" ht="11.85" customHeight="1" x14ac:dyDescent="0.25">
      <c r="A29" s="553" t="s">
        <v>1587</v>
      </c>
      <c r="B29" s="718">
        <v>4</v>
      </c>
      <c r="C29" s="719"/>
      <c r="D29" s="436" t="s">
        <v>1588</v>
      </c>
      <c r="E29" s="436" t="s">
        <v>825</v>
      </c>
      <c r="F29" s="720" t="s">
        <v>825</v>
      </c>
      <c r="G29" s="721"/>
      <c r="H29" s="722"/>
      <c r="I29" s="720" t="s">
        <v>825</v>
      </c>
      <c r="J29" s="721"/>
      <c r="K29" s="721"/>
      <c r="L29" s="722"/>
      <c r="M29" s="720" t="s">
        <v>825</v>
      </c>
      <c r="N29" s="722"/>
      <c r="O29" s="436" t="s">
        <v>1588</v>
      </c>
      <c r="P29" s="551"/>
    </row>
    <row r="30" spans="1:16" ht="11.1" customHeight="1" x14ac:dyDescent="0.25">
      <c r="A30" s="553" t="s">
        <v>1589</v>
      </c>
      <c r="B30" s="718" t="s">
        <v>1590</v>
      </c>
      <c r="C30" s="719"/>
      <c r="D30" s="436" t="s">
        <v>1591</v>
      </c>
      <c r="E30" s="436" t="s">
        <v>1592</v>
      </c>
      <c r="F30" s="720" t="s">
        <v>1593</v>
      </c>
      <c r="G30" s="721"/>
      <c r="H30" s="722"/>
      <c r="I30" s="720" t="s">
        <v>1594</v>
      </c>
      <c r="J30" s="721"/>
      <c r="K30" s="721"/>
      <c r="L30" s="722"/>
      <c r="M30" s="720" t="s">
        <v>1595</v>
      </c>
      <c r="N30" s="722"/>
      <c r="O30" s="436" t="s">
        <v>1596</v>
      </c>
      <c r="P30" s="551"/>
    </row>
    <row r="31" spans="1:16" ht="11.85" customHeight="1" x14ac:dyDescent="0.25">
      <c r="A31" s="553" t="s">
        <v>1597</v>
      </c>
      <c r="B31" s="718" t="s">
        <v>1598</v>
      </c>
      <c r="C31" s="719"/>
      <c r="D31" s="436" t="s">
        <v>1598</v>
      </c>
      <c r="E31" s="436" t="s">
        <v>825</v>
      </c>
      <c r="F31" s="720" t="s">
        <v>825</v>
      </c>
      <c r="G31" s="721"/>
      <c r="H31" s="722"/>
      <c r="I31" s="720" t="s">
        <v>1599</v>
      </c>
      <c r="J31" s="721"/>
      <c r="K31" s="721"/>
      <c r="L31" s="722"/>
      <c r="M31" s="720" t="s">
        <v>1600</v>
      </c>
      <c r="N31" s="722"/>
      <c r="O31" s="436" t="s">
        <v>1601</v>
      </c>
      <c r="P31" s="551"/>
    </row>
    <row r="32" spans="1:16" ht="11.85" customHeight="1" x14ac:dyDescent="0.25">
      <c r="A32" s="553" t="s">
        <v>869</v>
      </c>
      <c r="B32" s="718" t="s">
        <v>870</v>
      </c>
      <c r="C32" s="719"/>
      <c r="D32" s="436" t="s">
        <v>870</v>
      </c>
      <c r="E32" s="436" t="s">
        <v>1602</v>
      </c>
      <c r="F32" s="720" t="s">
        <v>1603</v>
      </c>
      <c r="G32" s="721"/>
      <c r="H32" s="722"/>
      <c r="I32" s="720" t="s">
        <v>1604</v>
      </c>
      <c r="J32" s="721"/>
      <c r="K32" s="721"/>
      <c r="L32" s="722"/>
      <c r="M32" s="720" t="s">
        <v>1605</v>
      </c>
      <c r="N32" s="722"/>
      <c r="O32" s="436" t="s">
        <v>1606</v>
      </c>
      <c r="P32" s="551"/>
    </row>
    <row r="33" spans="1:19" ht="11.85" customHeight="1" x14ac:dyDescent="0.25">
      <c r="A33" s="553" t="s">
        <v>1607</v>
      </c>
      <c r="B33" s="718" t="s">
        <v>1608</v>
      </c>
      <c r="C33" s="719"/>
      <c r="D33" s="436" t="s">
        <v>1608</v>
      </c>
      <c r="E33" s="436" t="s">
        <v>1609</v>
      </c>
      <c r="F33" s="720" t="s">
        <v>1610</v>
      </c>
      <c r="G33" s="721"/>
      <c r="H33" s="722"/>
      <c r="I33" s="720" t="s">
        <v>1611</v>
      </c>
      <c r="J33" s="721"/>
      <c r="K33" s="721"/>
      <c r="L33" s="722"/>
      <c r="M33" s="720" t="s">
        <v>1612</v>
      </c>
      <c r="N33" s="722"/>
      <c r="O33" s="436" t="s">
        <v>1613</v>
      </c>
      <c r="P33" s="551"/>
    </row>
    <row r="34" spans="1:19" ht="11.1" customHeight="1" x14ac:dyDescent="0.25">
      <c r="A34" s="553" t="s">
        <v>1614</v>
      </c>
      <c r="B34" s="718" t="s">
        <v>1615</v>
      </c>
      <c r="C34" s="719"/>
      <c r="D34" s="436" t="s">
        <v>1615</v>
      </c>
      <c r="E34" s="436" t="s">
        <v>1616</v>
      </c>
      <c r="F34" s="720" t="s">
        <v>1617</v>
      </c>
      <c r="G34" s="721"/>
      <c r="H34" s="722"/>
      <c r="I34" s="720" t="s">
        <v>1618</v>
      </c>
      <c r="J34" s="721"/>
      <c r="K34" s="721"/>
      <c r="L34" s="722"/>
      <c r="M34" s="720" t="s">
        <v>1619</v>
      </c>
      <c r="N34" s="722"/>
      <c r="O34" s="436" t="s">
        <v>1620</v>
      </c>
      <c r="P34" s="551"/>
    </row>
    <row r="35" spans="1:19" ht="11.85" customHeight="1" x14ac:dyDescent="0.25">
      <c r="A35" s="553" t="s">
        <v>1621</v>
      </c>
      <c r="B35" s="718" t="s">
        <v>1622</v>
      </c>
      <c r="C35" s="719"/>
      <c r="D35" s="436" t="s">
        <v>1622</v>
      </c>
      <c r="E35" s="436" t="s">
        <v>1623</v>
      </c>
      <c r="F35" s="720" t="s">
        <v>1624</v>
      </c>
      <c r="G35" s="721"/>
      <c r="H35" s="722"/>
      <c r="I35" s="720" t="s">
        <v>1625</v>
      </c>
      <c r="J35" s="721"/>
      <c r="K35" s="721"/>
      <c r="L35" s="722"/>
      <c r="M35" s="720" t="s">
        <v>1626</v>
      </c>
      <c r="N35" s="722"/>
      <c r="O35" s="436" t="s">
        <v>1627</v>
      </c>
      <c r="P35" s="551"/>
    </row>
    <row r="36" spans="1:19" ht="11.85" customHeight="1" x14ac:dyDescent="0.25">
      <c r="A36" s="553" t="s">
        <v>1628</v>
      </c>
      <c r="B36" s="718" t="s">
        <v>1629</v>
      </c>
      <c r="C36" s="719"/>
      <c r="D36" s="436" t="s">
        <v>1630</v>
      </c>
      <c r="E36" s="436" t="s">
        <v>1631</v>
      </c>
      <c r="F36" s="720" t="s">
        <v>1632</v>
      </c>
      <c r="G36" s="721"/>
      <c r="H36" s="722"/>
      <c r="I36" s="720" t="s">
        <v>1633</v>
      </c>
      <c r="J36" s="721"/>
      <c r="K36" s="721"/>
      <c r="L36" s="722"/>
      <c r="M36" s="720" t="s">
        <v>1634</v>
      </c>
      <c r="N36" s="722"/>
      <c r="O36" s="436" t="s">
        <v>1635</v>
      </c>
      <c r="P36" s="551"/>
    </row>
    <row r="37" spans="1:19" ht="11.85" customHeight="1" x14ac:dyDescent="0.25">
      <c r="A37" s="553" t="s">
        <v>1636</v>
      </c>
      <c r="B37" s="718" t="s">
        <v>1637</v>
      </c>
      <c r="C37" s="719"/>
      <c r="D37" s="436" t="s">
        <v>1637</v>
      </c>
      <c r="E37" s="436" t="s">
        <v>1638</v>
      </c>
      <c r="F37" s="720" t="s">
        <v>568</v>
      </c>
      <c r="G37" s="721"/>
      <c r="H37" s="722"/>
      <c r="I37" s="720" t="s">
        <v>1639</v>
      </c>
      <c r="J37" s="721"/>
      <c r="K37" s="721"/>
      <c r="L37" s="722"/>
      <c r="M37" s="720" t="s">
        <v>1640</v>
      </c>
      <c r="N37" s="722"/>
      <c r="O37" s="436" t="s">
        <v>1641</v>
      </c>
      <c r="P37" s="551"/>
    </row>
    <row r="38" spans="1:19" ht="11.1" customHeight="1" x14ac:dyDescent="0.25">
      <c r="A38" s="553" t="s">
        <v>1642</v>
      </c>
      <c r="B38" s="718" t="s">
        <v>1643</v>
      </c>
      <c r="C38" s="719"/>
      <c r="D38" s="436" t="s">
        <v>1643</v>
      </c>
      <c r="E38" s="436" t="s">
        <v>1644</v>
      </c>
      <c r="F38" s="720" t="s">
        <v>1645</v>
      </c>
      <c r="G38" s="721"/>
      <c r="H38" s="722"/>
      <c r="I38" s="720" t="s">
        <v>1646</v>
      </c>
      <c r="J38" s="721"/>
      <c r="K38" s="721"/>
      <c r="L38" s="722"/>
      <c r="M38" s="720" t="s">
        <v>1647</v>
      </c>
      <c r="N38" s="722"/>
      <c r="O38" s="436" t="s">
        <v>1648</v>
      </c>
      <c r="P38" s="551"/>
    </row>
    <row r="39" spans="1:19" ht="11.85" customHeight="1" x14ac:dyDescent="0.25">
      <c r="A39" s="553" t="s">
        <v>1564</v>
      </c>
      <c r="B39" s="718" t="s">
        <v>1649</v>
      </c>
      <c r="C39" s="719"/>
      <c r="D39" s="436" t="s">
        <v>1649</v>
      </c>
      <c r="E39" s="436" t="s">
        <v>1644</v>
      </c>
      <c r="F39" s="720" t="s">
        <v>1650</v>
      </c>
      <c r="G39" s="721"/>
      <c r="H39" s="722"/>
      <c r="I39" s="720" t="s">
        <v>1651</v>
      </c>
      <c r="J39" s="721"/>
      <c r="K39" s="721"/>
      <c r="L39" s="722"/>
      <c r="M39" s="720" t="s">
        <v>1652</v>
      </c>
      <c r="N39" s="722"/>
      <c r="O39" s="436" t="s">
        <v>1653</v>
      </c>
      <c r="P39" s="551"/>
    </row>
    <row r="40" spans="1:19" ht="11.85" customHeight="1" x14ac:dyDescent="0.25">
      <c r="A40" s="553" t="s">
        <v>1572</v>
      </c>
      <c r="B40" s="718" t="s">
        <v>1654</v>
      </c>
      <c r="C40" s="719"/>
      <c r="D40" s="436" t="s">
        <v>1654</v>
      </c>
      <c r="E40" s="436" t="s">
        <v>825</v>
      </c>
      <c r="F40" s="720" t="s">
        <v>825</v>
      </c>
      <c r="G40" s="721"/>
      <c r="H40" s="722"/>
      <c r="I40" s="720" t="s">
        <v>1655</v>
      </c>
      <c r="J40" s="721"/>
      <c r="K40" s="721"/>
      <c r="L40" s="722"/>
      <c r="M40" s="720" t="s">
        <v>1656</v>
      </c>
      <c r="N40" s="722"/>
      <c r="O40" s="436" t="s">
        <v>1657</v>
      </c>
      <c r="P40" s="551"/>
    </row>
    <row r="41" spans="1:19" ht="11.85" customHeight="1" x14ac:dyDescent="0.25">
      <c r="A41" s="553" t="s">
        <v>1658</v>
      </c>
      <c r="B41" s="718" t="s">
        <v>1659</v>
      </c>
      <c r="C41" s="719"/>
      <c r="D41" s="436" t="s">
        <v>1660</v>
      </c>
      <c r="E41" s="436" t="s">
        <v>1661</v>
      </c>
      <c r="F41" s="720" t="s">
        <v>1662</v>
      </c>
      <c r="G41" s="721"/>
      <c r="H41" s="722"/>
      <c r="I41" s="720" t="s">
        <v>1663</v>
      </c>
      <c r="J41" s="721"/>
      <c r="K41" s="721"/>
      <c r="L41" s="722"/>
      <c r="M41" s="720" t="s">
        <v>1664</v>
      </c>
      <c r="N41" s="722"/>
      <c r="O41" s="436" t="s">
        <v>1665</v>
      </c>
      <c r="P41" s="551"/>
    </row>
    <row r="42" spans="1:19" ht="11.1" customHeight="1" x14ac:dyDescent="0.25">
      <c r="A42" s="553" t="s">
        <v>1666</v>
      </c>
      <c r="B42" s="718" t="s">
        <v>1659</v>
      </c>
      <c r="C42" s="719"/>
      <c r="D42" s="436" t="s">
        <v>1660</v>
      </c>
      <c r="E42" s="436" t="s">
        <v>1661</v>
      </c>
      <c r="F42" s="720" t="s">
        <v>1662</v>
      </c>
      <c r="G42" s="721"/>
      <c r="H42" s="722"/>
      <c r="I42" s="720" t="s">
        <v>1663</v>
      </c>
      <c r="J42" s="721"/>
      <c r="K42" s="721"/>
      <c r="L42" s="722"/>
      <c r="M42" s="720" t="s">
        <v>1664</v>
      </c>
      <c r="N42" s="722"/>
      <c r="O42" s="436" t="s">
        <v>1665</v>
      </c>
      <c r="P42" s="551"/>
    </row>
    <row r="43" spans="1:19" ht="11.85" customHeight="1" x14ac:dyDescent="0.25">
      <c r="A43" s="553" t="s">
        <v>1667</v>
      </c>
      <c r="B43" s="718" t="s">
        <v>1668</v>
      </c>
      <c r="C43" s="719"/>
      <c r="D43" s="436" t="s">
        <v>1668</v>
      </c>
      <c r="E43" s="436" t="s">
        <v>825</v>
      </c>
      <c r="F43" s="720" t="s">
        <v>825</v>
      </c>
      <c r="G43" s="721"/>
      <c r="H43" s="722"/>
      <c r="I43" s="720" t="s">
        <v>825</v>
      </c>
      <c r="J43" s="721"/>
      <c r="K43" s="721"/>
      <c r="L43" s="722"/>
      <c r="M43" s="720" t="s">
        <v>825</v>
      </c>
      <c r="N43" s="722"/>
      <c r="O43" s="436" t="s">
        <v>1668</v>
      </c>
      <c r="P43" s="551"/>
    </row>
    <row r="44" spans="1:19" ht="11.85" customHeight="1" x14ac:dyDescent="0.25">
      <c r="A44" s="553" t="s">
        <v>1636</v>
      </c>
      <c r="B44" s="718" t="s">
        <v>1668</v>
      </c>
      <c r="C44" s="719"/>
      <c r="D44" s="436" t="s">
        <v>1668</v>
      </c>
      <c r="E44" s="436" t="s">
        <v>825</v>
      </c>
      <c r="F44" s="720" t="s">
        <v>825</v>
      </c>
      <c r="G44" s="721"/>
      <c r="H44" s="722"/>
      <c r="I44" s="720" t="s">
        <v>825</v>
      </c>
      <c r="J44" s="721"/>
      <c r="K44" s="721"/>
      <c r="L44" s="722"/>
      <c r="M44" s="720" t="s">
        <v>825</v>
      </c>
      <c r="N44" s="722"/>
      <c r="O44" s="436" t="s">
        <v>1668</v>
      </c>
      <c r="P44" s="551"/>
    </row>
    <row r="45" spans="1:19" ht="11.85" customHeight="1" x14ac:dyDescent="0.25">
      <c r="A45" s="554" t="s">
        <v>1669</v>
      </c>
      <c r="B45" s="725" t="s">
        <v>1670</v>
      </c>
      <c r="C45" s="726"/>
      <c r="D45" s="437" t="s">
        <v>1670</v>
      </c>
      <c r="E45" s="437" t="s">
        <v>1671</v>
      </c>
      <c r="F45" s="727" t="s">
        <v>1672</v>
      </c>
      <c r="G45" s="728"/>
      <c r="H45" s="729"/>
      <c r="I45" s="727" t="s">
        <v>1673</v>
      </c>
      <c r="J45" s="728"/>
      <c r="K45" s="728"/>
      <c r="L45" s="729"/>
      <c r="M45" s="727" t="s">
        <v>1674</v>
      </c>
      <c r="N45" s="729"/>
      <c r="O45" s="437" t="s">
        <v>1675</v>
      </c>
      <c r="P45" s="551"/>
    </row>
    <row r="46" spans="1:19" ht="11.1" customHeight="1" x14ac:dyDescent="0.25">
      <c r="A46" s="555" t="s">
        <v>1676</v>
      </c>
      <c r="B46" s="758" t="s">
        <v>1677</v>
      </c>
      <c r="C46" s="759"/>
      <c r="D46" s="556" t="s">
        <v>1678</v>
      </c>
      <c r="E46" s="556" t="s">
        <v>1679</v>
      </c>
      <c r="F46" s="764" t="s">
        <v>1680</v>
      </c>
      <c r="G46" s="765"/>
      <c r="H46" s="766"/>
      <c r="I46" s="764" t="s">
        <v>1311</v>
      </c>
      <c r="J46" s="765"/>
      <c r="K46" s="765"/>
      <c r="L46" s="766"/>
      <c r="M46" s="764" t="s">
        <v>1681</v>
      </c>
      <c r="N46" s="766"/>
      <c r="O46" s="556" t="s">
        <v>1682</v>
      </c>
      <c r="P46" s="551"/>
    </row>
    <row r="47" spans="1:19" ht="11.85" customHeight="1" x14ac:dyDescent="0.25">
      <c r="A47" s="724" t="s">
        <v>1683</v>
      </c>
      <c r="B47" s="723"/>
      <c r="C47" s="723"/>
      <c r="D47" s="723"/>
      <c r="E47" s="723"/>
      <c r="F47" s="723"/>
      <c r="G47" s="723"/>
      <c r="H47" s="723"/>
      <c r="I47" s="723"/>
      <c r="J47" s="723"/>
      <c r="K47" s="723"/>
      <c r="L47" s="723"/>
      <c r="M47" s="723"/>
      <c r="N47" s="723"/>
      <c r="O47" s="723"/>
      <c r="P47" s="724"/>
      <c r="Q47" s="724"/>
      <c r="R47" s="724"/>
      <c r="S47" s="724"/>
    </row>
    <row r="48" spans="1:19" ht="5.85" customHeight="1" x14ac:dyDescent="0.25"/>
    <row r="49" spans="1:19" ht="11.85" customHeight="1" x14ac:dyDescent="0.25">
      <c r="A49" s="746" t="s">
        <v>833</v>
      </c>
      <c r="B49" s="746"/>
      <c r="S49" s="549" t="s">
        <v>1684</v>
      </c>
    </row>
    <row r="50" spans="1:19" ht="11.1" customHeight="1" x14ac:dyDescent="0.25">
      <c r="A50" s="746" t="s">
        <v>824</v>
      </c>
      <c r="B50" s="746"/>
    </row>
    <row r="51" spans="1:19" ht="11.85" customHeight="1" x14ac:dyDescent="0.25">
      <c r="A51" s="754" t="s">
        <v>1460</v>
      </c>
      <c r="B51" s="754"/>
    </row>
    <row r="52" spans="1:19" ht="11.85" customHeight="1" x14ac:dyDescent="0.25">
      <c r="A52" s="746" t="s">
        <v>832</v>
      </c>
      <c r="B52" s="746"/>
    </row>
    <row r="53" spans="1:19" ht="11.85" customHeight="1" x14ac:dyDescent="0.25">
      <c r="A53" s="746" t="s">
        <v>920</v>
      </c>
      <c r="B53" s="746"/>
    </row>
    <row r="54" spans="1:19" ht="5.85" customHeight="1" x14ac:dyDescent="0.25"/>
    <row r="55" spans="1:19" ht="11.1" customHeight="1" x14ac:dyDescent="0.25">
      <c r="A55" s="749" t="s">
        <v>1461</v>
      </c>
      <c r="B55" s="749"/>
      <c r="C55" s="749"/>
      <c r="D55" s="749"/>
      <c r="E55" s="749"/>
      <c r="F55" s="749"/>
      <c r="G55" s="749"/>
      <c r="H55" s="550"/>
      <c r="I55" s="550"/>
      <c r="J55" s="550"/>
      <c r="K55" s="550"/>
      <c r="L55" s="550"/>
      <c r="M55" s="550"/>
      <c r="N55" s="550"/>
      <c r="O55" s="550"/>
      <c r="Q55" s="750" t="s">
        <v>1017</v>
      </c>
      <c r="R55" s="750"/>
      <c r="S55" s="750"/>
    </row>
    <row r="56" spans="1:19" ht="11.85" customHeight="1" x14ac:dyDescent="0.25">
      <c r="A56" s="735" t="s">
        <v>925</v>
      </c>
      <c r="B56" s="737" t="s">
        <v>1462</v>
      </c>
      <c r="C56" s="738"/>
      <c r="D56" s="737" t="s">
        <v>1463</v>
      </c>
      <c r="E56" s="742" t="s">
        <v>1464</v>
      </c>
      <c r="F56" s="743"/>
      <c r="G56" s="743"/>
      <c r="H56" s="743"/>
      <c r="I56" s="743"/>
      <c r="J56" s="743"/>
      <c r="K56" s="743"/>
      <c r="L56" s="743"/>
      <c r="M56" s="743"/>
      <c r="N56" s="744"/>
      <c r="O56" s="737" t="s">
        <v>1465</v>
      </c>
      <c r="P56" s="551"/>
    </row>
    <row r="57" spans="1:19" ht="17.850000000000001" customHeight="1" x14ac:dyDescent="0.25">
      <c r="A57" s="736"/>
      <c r="B57" s="739"/>
      <c r="C57" s="740"/>
      <c r="D57" s="741"/>
      <c r="E57" s="544" t="s">
        <v>1466</v>
      </c>
      <c r="F57" s="737" t="s">
        <v>1467</v>
      </c>
      <c r="G57" s="747"/>
      <c r="H57" s="748"/>
      <c r="I57" s="737" t="s">
        <v>1468</v>
      </c>
      <c r="J57" s="747"/>
      <c r="K57" s="747"/>
      <c r="L57" s="748"/>
      <c r="M57" s="737" t="s">
        <v>1469</v>
      </c>
      <c r="N57" s="748"/>
      <c r="O57" s="741"/>
      <c r="P57" s="551"/>
    </row>
    <row r="58" spans="1:19" ht="11.1" customHeight="1" x14ac:dyDescent="0.25">
      <c r="A58" s="552" t="s">
        <v>1685</v>
      </c>
      <c r="B58" s="730" t="s">
        <v>825</v>
      </c>
      <c r="C58" s="731"/>
      <c r="D58" s="433" t="s">
        <v>825</v>
      </c>
      <c r="E58" s="433" t="s">
        <v>825</v>
      </c>
      <c r="F58" s="732" t="s">
        <v>825</v>
      </c>
      <c r="G58" s="733"/>
      <c r="H58" s="734"/>
      <c r="I58" s="732" t="s">
        <v>825</v>
      </c>
      <c r="J58" s="733"/>
      <c r="K58" s="733"/>
      <c r="L58" s="734"/>
      <c r="M58" s="732" t="s">
        <v>825</v>
      </c>
      <c r="N58" s="734"/>
      <c r="O58" s="433" t="s">
        <v>825</v>
      </c>
      <c r="P58" s="551"/>
    </row>
    <row r="59" spans="1:19" ht="11.85" customHeight="1" x14ac:dyDescent="0.25">
      <c r="A59" s="553" t="s">
        <v>1686</v>
      </c>
      <c r="B59" s="718" t="s">
        <v>825</v>
      </c>
      <c r="C59" s="719"/>
      <c r="D59" s="436" t="s">
        <v>825</v>
      </c>
      <c r="E59" s="436" t="s">
        <v>825</v>
      </c>
      <c r="F59" s="720" t="s">
        <v>825</v>
      </c>
      <c r="G59" s="721"/>
      <c r="H59" s="722"/>
      <c r="I59" s="720" t="s">
        <v>825</v>
      </c>
      <c r="J59" s="721"/>
      <c r="K59" s="721"/>
      <c r="L59" s="722"/>
      <c r="M59" s="720" t="s">
        <v>825</v>
      </c>
      <c r="N59" s="722"/>
      <c r="O59" s="436" t="s">
        <v>825</v>
      </c>
      <c r="P59" s="551"/>
    </row>
    <row r="60" spans="1:19" ht="11.85" customHeight="1" x14ac:dyDescent="0.25">
      <c r="A60" s="554" t="s">
        <v>1687</v>
      </c>
      <c r="B60" s="725" t="s">
        <v>825</v>
      </c>
      <c r="C60" s="726"/>
      <c r="D60" s="437" t="s">
        <v>825</v>
      </c>
      <c r="E60" s="437" t="s">
        <v>825</v>
      </c>
      <c r="F60" s="727" t="s">
        <v>825</v>
      </c>
      <c r="G60" s="728"/>
      <c r="H60" s="729"/>
      <c r="I60" s="727" t="s">
        <v>825</v>
      </c>
      <c r="J60" s="728"/>
      <c r="K60" s="728"/>
      <c r="L60" s="729"/>
      <c r="M60" s="727" t="s">
        <v>825</v>
      </c>
      <c r="N60" s="729"/>
      <c r="O60" s="437" t="s">
        <v>825</v>
      </c>
      <c r="P60" s="551"/>
    </row>
    <row r="61" spans="1:19" ht="11.85" customHeight="1" x14ac:dyDescent="0.25">
      <c r="A61" s="555" t="s">
        <v>1688</v>
      </c>
      <c r="B61" s="758" t="s">
        <v>1677</v>
      </c>
      <c r="C61" s="759"/>
      <c r="D61" s="556" t="s">
        <v>1678</v>
      </c>
      <c r="E61" s="556" t="s">
        <v>1679</v>
      </c>
      <c r="F61" s="764" t="s">
        <v>1680</v>
      </c>
      <c r="G61" s="765"/>
      <c r="H61" s="766"/>
      <c r="I61" s="764" t="s">
        <v>1311</v>
      </c>
      <c r="J61" s="765"/>
      <c r="K61" s="765"/>
      <c r="L61" s="766"/>
      <c r="M61" s="764" t="s">
        <v>1681</v>
      </c>
      <c r="N61" s="766"/>
      <c r="O61" s="556" t="s">
        <v>1682</v>
      </c>
      <c r="P61" s="551"/>
    </row>
    <row r="62" spans="1:19" ht="11.1" customHeight="1" x14ac:dyDescent="0.25">
      <c r="A62" s="555" t="s">
        <v>1689</v>
      </c>
      <c r="B62" s="758" t="s">
        <v>825</v>
      </c>
      <c r="C62" s="759"/>
      <c r="D62" s="556" t="s">
        <v>825</v>
      </c>
      <c r="E62" s="556" t="s">
        <v>825</v>
      </c>
      <c r="F62" s="764" t="s">
        <v>825</v>
      </c>
      <c r="G62" s="765"/>
      <c r="H62" s="766"/>
      <c r="I62" s="764" t="s">
        <v>825</v>
      </c>
      <c r="J62" s="765"/>
      <c r="K62" s="765"/>
      <c r="L62" s="766"/>
      <c r="M62" s="764" t="s">
        <v>825</v>
      </c>
      <c r="N62" s="766"/>
      <c r="O62" s="556" t="s">
        <v>825</v>
      </c>
      <c r="P62" s="551"/>
    </row>
    <row r="63" spans="1:19" ht="11.85" customHeight="1" x14ac:dyDescent="0.25">
      <c r="A63" s="557" t="s">
        <v>1690</v>
      </c>
      <c r="B63" s="755" t="s">
        <v>1677</v>
      </c>
      <c r="C63" s="756"/>
      <c r="D63" s="558" t="s">
        <v>1678</v>
      </c>
      <c r="E63" s="558" t="s">
        <v>1679</v>
      </c>
      <c r="F63" s="767" t="s">
        <v>1680</v>
      </c>
      <c r="G63" s="768"/>
      <c r="H63" s="769"/>
      <c r="I63" s="767" t="s">
        <v>1311</v>
      </c>
      <c r="J63" s="768"/>
      <c r="K63" s="768"/>
      <c r="L63" s="769"/>
      <c r="M63" s="767" t="s">
        <v>1681</v>
      </c>
      <c r="N63" s="769"/>
      <c r="O63" s="558" t="s">
        <v>1682</v>
      </c>
      <c r="P63" s="551"/>
    </row>
    <row r="64" spans="1:19" ht="11.85" customHeight="1" x14ac:dyDescent="0.25">
      <c r="A64" s="555" t="s">
        <v>1691</v>
      </c>
      <c r="B64" s="758" t="s">
        <v>825</v>
      </c>
      <c r="C64" s="759"/>
      <c r="D64" s="556" t="s">
        <v>1692</v>
      </c>
      <c r="E64" s="556" t="s">
        <v>825</v>
      </c>
      <c r="F64" s="764" t="s">
        <v>825</v>
      </c>
      <c r="G64" s="765"/>
      <c r="H64" s="766"/>
      <c r="I64" s="764" t="s">
        <v>1692</v>
      </c>
      <c r="J64" s="765"/>
      <c r="K64" s="765"/>
      <c r="L64" s="766"/>
      <c r="M64" s="764" t="s">
        <v>825</v>
      </c>
      <c r="N64" s="766"/>
      <c r="O64" s="556" t="s">
        <v>825</v>
      </c>
      <c r="P64" s="551"/>
    </row>
    <row r="65" spans="1:20" ht="11.85" customHeight="1" x14ac:dyDescent="0.25">
      <c r="A65" s="555" t="s">
        <v>1693</v>
      </c>
      <c r="B65" s="758" t="s">
        <v>825</v>
      </c>
      <c r="C65" s="759"/>
      <c r="D65" s="556" t="s">
        <v>1692</v>
      </c>
      <c r="E65" s="556" t="s">
        <v>825</v>
      </c>
      <c r="F65" s="764" t="s">
        <v>825</v>
      </c>
      <c r="G65" s="765"/>
      <c r="H65" s="766"/>
      <c r="I65" s="764" t="s">
        <v>1692</v>
      </c>
      <c r="J65" s="765"/>
      <c r="K65" s="765"/>
      <c r="L65" s="766"/>
      <c r="M65" s="764" t="s">
        <v>825</v>
      </c>
      <c r="N65" s="766"/>
      <c r="O65" s="556" t="s">
        <v>825</v>
      </c>
      <c r="P65" s="551"/>
    </row>
    <row r="66" spans="1:20" ht="11.1" customHeight="1" x14ac:dyDescent="0.25">
      <c r="A66" s="559"/>
      <c r="B66" s="559"/>
      <c r="C66" s="559"/>
      <c r="D66" s="559"/>
      <c r="E66" s="559"/>
      <c r="F66" s="559"/>
      <c r="G66" s="559"/>
      <c r="H66" s="559"/>
      <c r="I66" s="559"/>
      <c r="J66" s="559"/>
      <c r="K66" s="559"/>
      <c r="L66" s="559"/>
      <c r="M66" s="559"/>
      <c r="N66" s="559"/>
      <c r="O66" s="559"/>
      <c r="P66" s="550"/>
      <c r="Q66" s="550"/>
      <c r="R66" s="550"/>
      <c r="S66" s="550"/>
    </row>
    <row r="67" spans="1:20" ht="11.85" customHeight="1" x14ac:dyDescent="0.25">
      <c r="A67" s="735" t="s">
        <v>931</v>
      </c>
      <c r="B67" s="737" t="s">
        <v>1694</v>
      </c>
      <c r="C67" s="738"/>
      <c r="D67" s="737" t="s">
        <v>1695</v>
      </c>
      <c r="E67" s="742" t="s">
        <v>1696</v>
      </c>
      <c r="F67" s="743"/>
      <c r="G67" s="743"/>
      <c r="H67" s="743"/>
      <c r="I67" s="744"/>
      <c r="J67" s="737" t="s">
        <v>1697</v>
      </c>
      <c r="K67" s="738"/>
      <c r="L67" s="742" t="s">
        <v>1698</v>
      </c>
      <c r="M67" s="743"/>
      <c r="N67" s="743"/>
      <c r="O67" s="744"/>
      <c r="P67" s="737" t="s">
        <v>1699</v>
      </c>
      <c r="Q67" s="737" t="s">
        <v>1700</v>
      </c>
      <c r="R67" s="737" t="s">
        <v>1701</v>
      </c>
      <c r="S67" s="738"/>
      <c r="T67" s="551"/>
    </row>
    <row r="68" spans="1:20" ht="17.850000000000001" customHeight="1" x14ac:dyDescent="0.25">
      <c r="A68" s="736"/>
      <c r="B68" s="739"/>
      <c r="C68" s="740"/>
      <c r="D68" s="741"/>
      <c r="E68" s="544" t="s">
        <v>1702</v>
      </c>
      <c r="F68" s="737" t="s">
        <v>1703</v>
      </c>
      <c r="G68" s="747"/>
      <c r="H68" s="747"/>
      <c r="I68" s="748"/>
      <c r="J68" s="739"/>
      <c r="K68" s="740"/>
      <c r="L68" s="737" t="s">
        <v>1702</v>
      </c>
      <c r="M68" s="747"/>
      <c r="N68" s="748"/>
      <c r="O68" s="544" t="s">
        <v>1704</v>
      </c>
      <c r="P68" s="741"/>
      <c r="Q68" s="741"/>
      <c r="R68" s="739"/>
      <c r="S68" s="740"/>
      <c r="T68" s="551"/>
    </row>
    <row r="69" spans="1:20" ht="11.85" customHeight="1" x14ac:dyDescent="0.25">
      <c r="A69" s="552" t="s">
        <v>1705</v>
      </c>
      <c r="B69" s="730" t="s">
        <v>1706</v>
      </c>
      <c r="C69" s="731"/>
      <c r="D69" s="439" t="s">
        <v>1707</v>
      </c>
      <c r="E69" s="439" t="s">
        <v>1708</v>
      </c>
      <c r="F69" s="730" t="s">
        <v>1709</v>
      </c>
      <c r="G69" s="763"/>
      <c r="H69" s="763"/>
      <c r="I69" s="731"/>
      <c r="J69" s="730" t="s">
        <v>1710</v>
      </c>
      <c r="K69" s="731"/>
      <c r="L69" s="730" t="s">
        <v>1711</v>
      </c>
      <c r="M69" s="763"/>
      <c r="N69" s="731"/>
      <c r="O69" s="439" t="s">
        <v>1712</v>
      </c>
      <c r="P69" s="439" t="s">
        <v>1713</v>
      </c>
      <c r="Q69" s="439" t="s">
        <v>1714</v>
      </c>
      <c r="R69" s="730" t="s">
        <v>1715</v>
      </c>
      <c r="S69" s="731"/>
      <c r="T69" s="560"/>
    </row>
    <row r="70" spans="1:20" ht="11.1" customHeight="1" x14ac:dyDescent="0.25">
      <c r="A70" s="553" t="s">
        <v>1716</v>
      </c>
      <c r="B70" s="718" t="s">
        <v>1717</v>
      </c>
      <c r="C70" s="719"/>
      <c r="D70" s="438" t="s">
        <v>1718</v>
      </c>
      <c r="E70" s="438" t="s">
        <v>1719</v>
      </c>
      <c r="F70" s="718" t="s">
        <v>1720</v>
      </c>
      <c r="G70" s="761"/>
      <c r="H70" s="761"/>
      <c r="I70" s="719"/>
      <c r="J70" s="718" t="s">
        <v>1721</v>
      </c>
      <c r="K70" s="719"/>
      <c r="L70" s="718" t="s">
        <v>1722</v>
      </c>
      <c r="M70" s="761"/>
      <c r="N70" s="719"/>
      <c r="O70" s="438" t="s">
        <v>1723</v>
      </c>
      <c r="P70" s="438" t="s">
        <v>1724</v>
      </c>
      <c r="Q70" s="438" t="s">
        <v>1725</v>
      </c>
      <c r="R70" s="718" t="s">
        <v>1726</v>
      </c>
      <c r="S70" s="719"/>
      <c r="T70" s="560"/>
    </row>
    <row r="71" spans="1:20" ht="11.85" customHeight="1" x14ac:dyDescent="0.25">
      <c r="A71" s="553" t="s">
        <v>1727</v>
      </c>
      <c r="B71" s="718" t="s">
        <v>1728</v>
      </c>
      <c r="C71" s="719"/>
      <c r="D71" s="438" t="s">
        <v>1729</v>
      </c>
      <c r="E71" s="438" t="s">
        <v>1730</v>
      </c>
      <c r="F71" s="718" t="s">
        <v>1731</v>
      </c>
      <c r="G71" s="761"/>
      <c r="H71" s="761"/>
      <c r="I71" s="719"/>
      <c r="J71" s="718" t="s">
        <v>1732</v>
      </c>
      <c r="K71" s="719"/>
      <c r="L71" s="718" t="s">
        <v>1733</v>
      </c>
      <c r="M71" s="761"/>
      <c r="N71" s="719"/>
      <c r="O71" s="438" t="s">
        <v>1731</v>
      </c>
      <c r="P71" s="438" t="s">
        <v>1732</v>
      </c>
      <c r="Q71" s="438" t="s">
        <v>1734</v>
      </c>
      <c r="R71" s="718" t="s">
        <v>825</v>
      </c>
      <c r="S71" s="719"/>
      <c r="T71" s="560"/>
    </row>
    <row r="72" spans="1:20" ht="11.85" customHeight="1" x14ac:dyDescent="0.25">
      <c r="A72" s="553" t="s">
        <v>1735</v>
      </c>
      <c r="B72" s="718" t="s">
        <v>1736</v>
      </c>
      <c r="C72" s="719"/>
      <c r="D72" s="438" t="s">
        <v>1737</v>
      </c>
      <c r="E72" s="438" t="s">
        <v>825</v>
      </c>
      <c r="F72" s="718" t="s">
        <v>1738</v>
      </c>
      <c r="G72" s="761"/>
      <c r="H72" s="761"/>
      <c r="I72" s="719"/>
      <c r="J72" s="718" t="s">
        <v>1739</v>
      </c>
      <c r="K72" s="719"/>
      <c r="L72" s="718" t="s">
        <v>1740</v>
      </c>
      <c r="M72" s="761"/>
      <c r="N72" s="719"/>
      <c r="O72" s="438" t="s">
        <v>1738</v>
      </c>
      <c r="P72" s="438" t="s">
        <v>1739</v>
      </c>
      <c r="Q72" s="438" t="s">
        <v>1738</v>
      </c>
      <c r="R72" s="718" t="s">
        <v>825</v>
      </c>
      <c r="S72" s="719"/>
      <c r="T72" s="560"/>
    </row>
    <row r="73" spans="1:20" ht="11.85" customHeight="1" x14ac:dyDescent="0.25">
      <c r="A73" s="553" t="s">
        <v>1741</v>
      </c>
      <c r="B73" s="718" t="s">
        <v>1742</v>
      </c>
      <c r="C73" s="719"/>
      <c r="D73" s="438" t="s">
        <v>1743</v>
      </c>
      <c r="E73" s="438" t="s">
        <v>1744</v>
      </c>
      <c r="F73" s="718" t="s">
        <v>1745</v>
      </c>
      <c r="G73" s="761"/>
      <c r="H73" s="761"/>
      <c r="I73" s="719"/>
      <c r="J73" s="718" t="s">
        <v>1746</v>
      </c>
      <c r="K73" s="719"/>
      <c r="L73" s="718" t="s">
        <v>1747</v>
      </c>
      <c r="M73" s="761"/>
      <c r="N73" s="719"/>
      <c r="O73" s="438" t="s">
        <v>1748</v>
      </c>
      <c r="P73" s="438" t="s">
        <v>1749</v>
      </c>
      <c r="Q73" s="438" t="s">
        <v>1750</v>
      </c>
      <c r="R73" s="718" t="s">
        <v>1726</v>
      </c>
      <c r="S73" s="719"/>
      <c r="T73" s="560"/>
    </row>
    <row r="74" spans="1:20" ht="11.1" customHeight="1" x14ac:dyDescent="0.25">
      <c r="A74" s="553" t="s">
        <v>1751</v>
      </c>
      <c r="B74" s="718" t="s">
        <v>1752</v>
      </c>
      <c r="C74" s="719"/>
      <c r="D74" s="438" t="s">
        <v>1753</v>
      </c>
      <c r="E74" s="438" t="s">
        <v>1754</v>
      </c>
      <c r="F74" s="718" t="s">
        <v>1755</v>
      </c>
      <c r="G74" s="761"/>
      <c r="H74" s="761"/>
      <c r="I74" s="719"/>
      <c r="J74" s="718" t="s">
        <v>1756</v>
      </c>
      <c r="K74" s="719"/>
      <c r="L74" s="718" t="s">
        <v>1757</v>
      </c>
      <c r="M74" s="761"/>
      <c r="N74" s="719"/>
      <c r="O74" s="438" t="s">
        <v>1758</v>
      </c>
      <c r="P74" s="438" t="s">
        <v>1759</v>
      </c>
      <c r="Q74" s="438" t="s">
        <v>1760</v>
      </c>
      <c r="R74" s="718" t="s">
        <v>1761</v>
      </c>
      <c r="S74" s="719"/>
      <c r="T74" s="560"/>
    </row>
    <row r="75" spans="1:20" ht="11.85" customHeight="1" x14ac:dyDescent="0.25">
      <c r="A75" s="553" t="s">
        <v>1762</v>
      </c>
      <c r="B75" s="718" t="s">
        <v>1763</v>
      </c>
      <c r="C75" s="719"/>
      <c r="D75" s="438" t="s">
        <v>1764</v>
      </c>
      <c r="E75" s="438" t="s">
        <v>1754</v>
      </c>
      <c r="F75" s="718" t="s">
        <v>1755</v>
      </c>
      <c r="G75" s="761"/>
      <c r="H75" s="761"/>
      <c r="I75" s="719"/>
      <c r="J75" s="718" t="s">
        <v>1765</v>
      </c>
      <c r="K75" s="719"/>
      <c r="L75" s="718" t="s">
        <v>1757</v>
      </c>
      <c r="M75" s="761"/>
      <c r="N75" s="719"/>
      <c r="O75" s="438" t="s">
        <v>1758</v>
      </c>
      <c r="P75" s="438" t="s">
        <v>1766</v>
      </c>
      <c r="Q75" s="438" t="s">
        <v>1760</v>
      </c>
      <c r="R75" s="718" t="s">
        <v>1761</v>
      </c>
      <c r="S75" s="719"/>
      <c r="T75" s="560"/>
    </row>
    <row r="76" spans="1:20" ht="11.85" customHeight="1" x14ac:dyDescent="0.25">
      <c r="A76" s="553" t="s">
        <v>1767</v>
      </c>
      <c r="B76" s="718" t="s">
        <v>1768</v>
      </c>
      <c r="C76" s="719"/>
      <c r="D76" s="438" t="s">
        <v>1769</v>
      </c>
      <c r="E76" s="438" t="s">
        <v>825</v>
      </c>
      <c r="F76" s="718" t="s">
        <v>825</v>
      </c>
      <c r="G76" s="761"/>
      <c r="H76" s="761"/>
      <c r="I76" s="719"/>
      <c r="J76" s="718" t="s">
        <v>1769</v>
      </c>
      <c r="K76" s="719"/>
      <c r="L76" s="718" t="s">
        <v>825</v>
      </c>
      <c r="M76" s="761"/>
      <c r="N76" s="719"/>
      <c r="O76" s="438" t="s">
        <v>825</v>
      </c>
      <c r="P76" s="438" t="s">
        <v>1769</v>
      </c>
      <c r="Q76" s="438" t="s">
        <v>825</v>
      </c>
      <c r="R76" s="718" t="s">
        <v>825</v>
      </c>
      <c r="S76" s="719"/>
      <c r="T76" s="560"/>
    </row>
    <row r="77" spans="1:20" ht="11.85" customHeight="1" x14ac:dyDescent="0.25">
      <c r="A77" s="553" t="s">
        <v>1770</v>
      </c>
      <c r="B77" s="718" t="s">
        <v>1771</v>
      </c>
      <c r="C77" s="719"/>
      <c r="D77" s="438">
        <v>821.38</v>
      </c>
      <c r="E77" s="438" t="s">
        <v>825</v>
      </c>
      <c r="F77" s="718" t="s">
        <v>825</v>
      </c>
      <c r="G77" s="761"/>
      <c r="H77" s="761"/>
      <c r="I77" s="719"/>
      <c r="J77" s="718">
        <v>821.38</v>
      </c>
      <c r="K77" s="719"/>
      <c r="L77" s="718" t="s">
        <v>825</v>
      </c>
      <c r="M77" s="761"/>
      <c r="N77" s="719"/>
      <c r="O77" s="438" t="s">
        <v>825</v>
      </c>
      <c r="P77" s="438">
        <v>821.38</v>
      </c>
      <c r="Q77" s="438" t="s">
        <v>825</v>
      </c>
      <c r="R77" s="718" t="s">
        <v>825</v>
      </c>
      <c r="S77" s="719"/>
      <c r="T77" s="560"/>
    </row>
    <row r="78" spans="1:20" ht="11.1" customHeight="1" x14ac:dyDescent="0.25">
      <c r="A78" s="553" t="s">
        <v>1772</v>
      </c>
      <c r="B78" s="718" t="s">
        <v>1773</v>
      </c>
      <c r="C78" s="719"/>
      <c r="D78" s="438">
        <v>1.18</v>
      </c>
      <c r="E78" s="438" t="s">
        <v>825</v>
      </c>
      <c r="F78" s="718" t="s">
        <v>825</v>
      </c>
      <c r="G78" s="761"/>
      <c r="H78" s="761"/>
      <c r="I78" s="719"/>
      <c r="J78" s="718">
        <v>1.18</v>
      </c>
      <c r="K78" s="719"/>
      <c r="L78" s="718" t="s">
        <v>825</v>
      </c>
      <c r="M78" s="761"/>
      <c r="N78" s="719"/>
      <c r="O78" s="438" t="s">
        <v>825</v>
      </c>
      <c r="P78" s="438">
        <v>1.18</v>
      </c>
      <c r="Q78" s="438" t="s">
        <v>825</v>
      </c>
      <c r="R78" s="718" t="s">
        <v>825</v>
      </c>
      <c r="S78" s="719"/>
      <c r="T78" s="560"/>
    </row>
    <row r="79" spans="1:20" ht="11.85" customHeight="1" x14ac:dyDescent="0.25">
      <c r="A79" s="554" t="s">
        <v>1774</v>
      </c>
      <c r="B79" s="725" t="s">
        <v>1775</v>
      </c>
      <c r="C79" s="726"/>
      <c r="D79" s="561" t="s">
        <v>1776</v>
      </c>
      <c r="E79" s="561" t="s">
        <v>1777</v>
      </c>
      <c r="F79" s="725" t="s">
        <v>1778</v>
      </c>
      <c r="G79" s="762"/>
      <c r="H79" s="762"/>
      <c r="I79" s="726"/>
      <c r="J79" s="725" t="s">
        <v>1779</v>
      </c>
      <c r="K79" s="726"/>
      <c r="L79" s="725" t="s">
        <v>1777</v>
      </c>
      <c r="M79" s="762"/>
      <c r="N79" s="726"/>
      <c r="O79" s="561" t="s">
        <v>1778</v>
      </c>
      <c r="P79" s="561" t="s">
        <v>1779</v>
      </c>
      <c r="Q79" s="561" t="s">
        <v>1780</v>
      </c>
      <c r="R79" s="725" t="s">
        <v>825</v>
      </c>
      <c r="S79" s="726"/>
      <c r="T79" s="560"/>
    </row>
    <row r="80" spans="1:20" ht="11.85" customHeight="1" x14ac:dyDescent="0.25">
      <c r="A80" s="555" t="s">
        <v>1781</v>
      </c>
      <c r="B80" s="758" t="s">
        <v>1782</v>
      </c>
      <c r="C80" s="759"/>
      <c r="D80" s="562" t="s">
        <v>1783</v>
      </c>
      <c r="E80" s="562" t="s">
        <v>1784</v>
      </c>
      <c r="F80" s="758" t="s">
        <v>1313</v>
      </c>
      <c r="G80" s="760"/>
      <c r="H80" s="760"/>
      <c r="I80" s="759"/>
      <c r="J80" s="758" t="s">
        <v>1785</v>
      </c>
      <c r="K80" s="759"/>
      <c r="L80" s="758" t="s">
        <v>1786</v>
      </c>
      <c r="M80" s="760"/>
      <c r="N80" s="759"/>
      <c r="O80" s="562" t="s">
        <v>1372</v>
      </c>
      <c r="P80" s="562" t="s">
        <v>1787</v>
      </c>
      <c r="Q80" s="562" t="s">
        <v>1455</v>
      </c>
      <c r="R80" s="758" t="s">
        <v>1715</v>
      </c>
      <c r="S80" s="759"/>
      <c r="T80" s="560"/>
    </row>
    <row r="81" spans="1:20" ht="11.85" customHeight="1" x14ac:dyDescent="0.25">
      <c r="A81" s="552" t="s">
        <v>1788</v>
      </c>
      <c r="B81" s="730" t="s">
        <v>825</v>
      </c>
      <c r="C81" s="731"/>
      <c r="D81" s="439" t="s">
        <v>825</v>
      </c>
      <c r="E81" s="439" t="s">
        <v>825</v>
      </c>
      <c r="F81" s="730" t="s">
        <v>825</v>
      </c>
      <c r="G81" s="763"/>
      <c r="H81" s="763"/>
      <c r="I81" s="731"/>
      <c r="J81" s="730" t="s">
        <v>825</v>
      </c>
      <c r="K81" s="731"/>
      <c r="L81" s="730" t="s">
        <v>825</v>
      </c>
      <c r="M81" s="763"/>
      <c r="N81" s="731"/>
      <c r="O81" s="439" t="s">
        <v>825</v>
      </c>
      <c r="P81" s="439" t="s">
        <v>825</v>
      </c>
      <c r="Q81" s="439" t="s">
        <v>825</v>
      </c>
      <c r="R81" s="730" t="s">
        <v>825</v>
      </c>
      <c r="S81" s="731"/>
      <c r="T81" s="560"/>
    </row>
    <row r="82" spans="1:20" ht="11.1" customHeight="1" x14ac:dyDescent="0.25">
      <c r="A82" s="553" t="s">
        <v>1789</v>
      </c>
      <c r="B82" s="718" t="s">
        <v>825</v>
      </c>
      <c r="C82" s="719"/>
      <c r="D82" s="438" t="s">
        <v>825</v>
      </c>
      <c r="E82" s="438" t="s">
        <v>825</v>
      </c>
      <c r="F82" s="718" t="s">
        <v>825</v>
      </c>
      <c r="G82" s="761"/>
      <c r="H82" s="761"/>
      <c r="I82" s="719"/>
      <c r="J82" s="718" t="s">
        <v>825</v>
      </c>
      <c r="K82" s="719"/>
      <c r="L82" s="718" t="s">
        <v>825</v>
      </c>
      <c r="M82" s="761"/>
      <c r="N82" s="719"/>
      <c r="O82" s="438" t="s">
        <v>825</v>
      </c>
      <c r="P82" s="438" t="s">
        <v>825</v>
      </c>
      <c r="Q82" s="438" t="s">
        <v>825</v>
      </c>
      <c r="R82" s="718" t="s">
        <v>825</v>
      </c>
      <c r="S82" s="719"/>
      <c r="T82" s="560"/>
    </row>
    <row r="83" spans="1:20" ht="11.85" customHeight="1" x14ac:dyDescent="0.25">
      <c r="A83" s="554" t="s">
        <v>1790</v>
      </c>
      <c r="B83" s="725" t="s">
        <v>825</v>
      </c>
      <c r="C83" s="726"/>
      <c r="D83" s="561" t="s">
        <v>825</v>
      </c>
      <c r="E83" s="561" t="s">
        <v>825</v>
      </c>
      <c r="F83" s="725" t="s">
        <v>825</v>
      </c>
      <c r="G83" s="762"/>
      <c r="H83" s="762"/>
      <c r="I83" s="726"/>
      <c r="J83" s="725" t="s">
        <v>825</v>
      </c>
      <c r="K83" s="726"/>
      <c r="L83" s="725" t="s">
        <v>825</v>
      </c>
      <c r="M83" s="762"/>
      <c r="N83" s="726"/>
      <c r="O83" s="561" t="s">
        <v>825</v>
      </c>
      <c r="P83" s="561" t="s">
        <v>825</v>
      </c>
      <c r="Q83" s="561" t="s">
        <v>825</v>
      </c>
      <c r="R83" s="725" t="s">
        <v>825</v>
      </c>
      <c r="S83" s="726"/>
      <c r="T83" s="560"/>
    </row>
    <row r="84" spans="1:20" ht="11.85" customHeight="1" x14ac:dyDescent="0.25">
      <c r="A84" s="555" t="s">
        <v>1791</v>
      </c>
      <c r="B84" s="758" t="s">
        <v>1782</v>
      </c>
      <c r="C84" s="759"/>
      <c r="D84" s="562" t="s">
        <v>1783</v>
      </c>
      <c r="E84" s="562" t="s">
        <v>1784</v>
      </c>
      <c r="F84" s="758" t="s">
        <v>1313</v>
      </c>
      <c r="G84" s="760"/>
      <c r="H84" s="760"/>
      <c r="I84" s="759"/>
      <c r="J84" s="758" t="s">
        <v>1785</v>
      </c>
      <c r="K84" s="759"/>
      <c r="L84" s="758" t="s">
        <v>1786</v>
      </c>
      <c r="M84" s="760"/>
      <c r="N84" s="759"/>
      <c r="O84" s="562" t="s">
        <v>1372</v>
      </c>
      <c r="P84" s="562" t="s">
        <v>1787</v>
      </c>
      <c r="Q84" s="562" t="s">
        <v>1455</v>
      </c>
      <c r="R84" s="758" t="s">
        <v>1715</v>
      </c>
      <c r="S84" s="759"/>
      <c r="T84" s="560"/>
    </row>
    <row r="85" spans="1:20" ht="11.85" customHeight="1" x14ac:dyDescent="0.25">
      <c r="A85" s="555" t="s">
        <v>1792</v>
      </c>
      <c r="B85" s="758" t="s">
        <v>825</v>
      </c>
      <c r="C85" s="759"/>
      <c r="D85" s="562" t="s">
        <v>825</v>
      </c>
      <c r="E85" s="562" t="s">
        <v>825</v>
      </c>
      <c r="F85" s="758" t="s">
        <v>1793</v>
      </c>
      <c r="G85" s="760"/>
      <c r="H85" s="760"/>
      <c r="I85" s="759"/>
      <c r="J85" s="758" t="s">
        <v>825</v>
      </c>
      <c r="K85" s="759"/>
      <c r="L85" s="758" t="s">
        <v>825</v>
      </c>
      <c r="M85" s="760"/>
      <c r="N85" s="759"/>
      <c r="O85" s="562" t="s">
        <v>1794</v>
      </c>
      <c r="P85" s="562" t="s">
        <v>825</v>
      </c>
      <c r="Q85" s="562" t="s">
        <v>1795</v>
      </c>
      <c r="R85" s="758" t="s">
        <v>825</v>
      </c>
      <c r="S85" s="759"/>
      <c r="T85" s="560"/>
    </row>
    <row r="86" spans="1:20" ht="11.1" customHeight="1" x14ac:dyDescent="0.25">
      <c r="A86" s="557" t="s">
        <v>1796</v>
      </c>
      <c r="B86" s="755" t="s">
        <v>1782</v>
      </c>
      <c r="C86" s="756"/>
      <c r="D86" s="563" t="s">
        <v>1783</v>
      </c>
      <c r="E86" s="563" t="s">
        <v>1784</v>
      </c>
      <c r="F86" s="755" t="s">
        <v>1311</v>
      </c>
      <c r="G86" s="757"/>
      <c r="H86" s="757"/>
      <c r="I86" s="756"/>
      <c r="J86" s="755" t="s">
        <v>825</v>
      </c>
      <c r="K86" s="756"/>
      <c r="L86" s="755" t="s">
        <v>1786</v>
      </c>
      <c r="M86" s="757"/>
      <c r="N86" s="756"/>
      <c r="O86" s="563" t="s">
        <v>1311</v>
      </c>
      <c r="P86" s="563" t="s">
        <v>1787</v>
      </c>
      <c r="Q86" s="563" t="s">
        <v>1311</v>
      </c>
      <c r="R86" s="755" t="s">
        <v>1715</v>
      </c>
      <c r="S86" s="756"/>
      <c r="T86" s="560"/>
    </row>
    <row r="87" spans="1:20" ht="11.85" customHeight="1" x14ac:dyDescent="0.25">
      <c r="A87" s="555" t="s">
        <v>1797</v>
      </c>
      <c r="B87" s="758" t="s">
        <v>1798</v>
      </c>
      <c r="C87" s="759"/>
      <c r="D87" s="562" t="s">
        <v>1799</v>
      </c>
      <c r="E87" s="562" t="s">
        <v>825</v>
      </c>
      <c r="F87" s="758" t="s">
        <v>825</v>
      </c>
      <c r="G87" s="760"/>
      <c r="H87" s="760"/>
      <c r="I87" s="759"/>
      <c r="J87" s="758" t="s">
        <v>1799</v>
      </c>
      <c r="K87" s="759"/>
      <c r="L87" s="758" t="s">
        <v>825</v>
      </c>
      <c r="M87" s="760"/>
      <c r="N87" s="759"/>
      <c r="O87" s="562" t="s">
        <v>825</v>
      </c>
      <c r="P87" s="562" t="s">
        <v>1799</v>
      </c>
      <c r="Q87" s="562" t="s">
        <v>825</v>
      </c>
      <c r="R87" s="758" t="s">
        <v>825</v>
      </c>
      <c r="S87" s="759"/>
      <c r="T87" s="560"/>
    </row>
    <row r="88" spans="1:20" ht="11.85" customHeight="1" x14ac:dyDescent="0.25">
      <c r="A88" s="746"/>
      <c r="B88" s="753"/>
      <c r="C88" s="753"/>
      <c r="D88" s="753"/>
      <c r="E88" s="753"/>
      <c r="F88" s="753"/>
      <c r="G88" s="753"/>
      <c r="H88" s="753"/>
      <c r="I88" s="753"/>
      <c r="J88" s="753"/>
      <c r="K88" s="753"/>
      <c r="L88" s="753"/>
      <c r="M88" s="753"/>
      <c r="N88" s="753"/>
      <c r="O88" s="753"/>
      <c r="P88" s="753"/>
      <c r="Q88" s="753"/>
      <c r="R88" s="753"/>
      <c r="S88" s="753"/>
      <c r="T88" s="746"/>
    </row>
    <row r="89" spans="1:20" ht="63.6" customHeight="1" x14ac:dyDescent="0.25"/>
    <row r="90" spans="1:20" ht="11.85" customHeight="1" x14ac:dyDescent="0.25">
      <c r="A90" s="724" t="s">
        <v>1683</v>
      </c>
      <c r="B90" s="724"/>
      <c r="C90" s="724"/>
      <c r="D90" s="724"/>
      <c r="E90" s="724"/>
      <c r="F90" s="724"/>
      <c r="G90" s="724"/>
      <c r="H90" s="724"/>
      <c r="I90" s="724"/>
      <c r="J90" s="724"/>
      <c r="K90" s="724"/>
      <c r="L90" s="724"/>
      <c r="M90" s="724"/>
      <c r="N90" s="724"/>
      <c r="O90" s="724"/>
      <c r="P90" s="724"/>
      <c r="Q90" s="724"/>
      <c r="R90" s="724"/>
      <c r="S90" s="724"/>
    </row>
    <row r="91" spans="1:20" ht="5.85" customHeight="1" x14ac:dyDescent="0.25"/>
    <row r="92" spans="1:20" ht="11.85" customHeight="1" x14ac:dyDescent="0.25">
      <c r="A92" s="746" t="s">
        <v>833</v>
      </c>
      <c r="B92" s="746"/>
      <c r="S92" s="549" t="s">
        <v>1800</v>
      </c>
    </row>
    <row r="93" spans="1:20" ht="11.1" customHeight="1" x14ac:dyDescent="0.25">
      <c r="A93" s="746" t="s">
        <v>824</v>
      </c>
      <c r="B93" s="746"/>
    </row>
    <row r="94" spans="1:20" ht="11.85" customHeight="1" x14ac:dyDescent="0.25">
      <c r="A94" s="754" t="s">
        <v>1460</v>
      </c>
      <c r="B94" s="754"/>
    </row>
    <row r="95" spans="1:20" ht="11.85" customHeight="1" x14ac:dyDescent="0.25">
      <c r="A95" s="746" t="s">
        <v>832</v>
      </c>
      <c r="B95" s="746"/>
    </row>
    <row r="96" spans="1:20" ht="11.85" customHeight="1" x14ac:dyDescent="0.25">
      <c r="A96" s="746" t="s">
        <v>920</v>
      </c>
      <c r="B96" s="746"/>
    </row>
    <row r="97" spans="1:20" ht="5.85" customHeight="1" x14ac:dyDescent="0.25"/>
    <row r="98" spans="1:20" ht="11.1" customHeight="1" x14ac:dyDescent="0.25">
      <c r="A98" s="749" t="s">
        <v>1461</v>
      </c>
      <c r="B98" s="749"/>
      <c r="C98" s="749"/>
      <c r="D98" s="749"/>
      <c r="E98" s="749"/>
      <c r="F98" s="749"/>
      <c r="G98" s="749"/>
      <c r="H98" s="550"/>
      <c r="I98" s="550"/>
      <c r="J98" s="550"/>
      <c r="K98" s="550"/>
      <c r="L98" s="550"/>
      <c r="M98" s="550"/>
      <c r="N98" s="550"/>
      <c r="Q98" s="750" t="s">
        <v>1017</v>
      </c>
      <c r="R98" s="750"/>
      <c r="S98" s="750"/>
    </row>
    <row r="99" spans="1:20" ht="11.85" customHeight="1" x14ac:dyDescent="0.25">
      <c r="A99" s="735" t="s">
        <v>1801</v>
      </c>
      <c r="B99" s="737" t="s">
        <v>1462</v>
      </c>
      <c r="C99" s="738"/>
      <c r="D99" s="737" t="s">
        <v>1463</v>
      </c>
      <c r="E99" s="742" t="s">
        <v>1464</v>
      </c>
      <c r="F99" s="743"/>
      <c r="G99" s="743"/>
      <c r="H99" s="743"/>
      <c r="I99" s="743"/>
      <c r="J99" s="743"/>
      <c r="K99" s="744"/>
      <c r="L99" s="737" t="s">
        <v>1465</v>
      </c>
      <c r="M99" s="751"/>
      <c r="N99" s="738"/>
      <c r="O99" s="551"/>
    </row>
    <row r="100" spans="1:20" ht="17.850000000000001" customHeight="1" x14ac:dyDescent="0.25">
      <c r="A100" s="736"/>
      <c r="B100" s="739"/>
      <c r="C100" s="740"/>
      <c r="D100" s="741"/>
      <c r="E100" s="544" t="s">
        <v>1466</v>
      </c>
      <c r="F100" s="544" t="s">
        <v>1467</v>
      </c>
      <c r="G100" s="737" t="s">
        <v>1468</v>
      </c>
      <c r="H100" s="747"/>
      <c r="I100" s="747"/>
      <c r="J100" s="748"/>
      <c r="K100" s="544" t="s">
        <v>1469</v>
      </c>
      <c r="L100" s="739"/>
      <c r="M100" s="752"/>
      <c r="N100" s="740"/>
      <c r="O100" s="551"/>
    </row>
    <row r="101" spans="1:20" ht="11.1" customHeight="1" x14ac:dyDescent="0.25">
      <c r="A101" s="552" t="s">
        <v>1669</v>
      </c>
      <c r="B101" s="732" t="s">
        <v>1670</v>
      </c>
      <c r="C101" s="734"/>
      <c r="D101" s="433" t="s">
        <v>1670</v>
      </c>
      <c r="E101" s="433" t="s">
        <v>1671</v>
      </c>
      <c r="F101" s="433" t="s">
        <v>1672</v>
      </c>
      <c r="G101" s="732" t="s">
        <v>1673</v>
      </c>
      <c r="H101" s="733"/>
      <c r="I101" s="733"/>
      <c r="J101" s="734"/>
      <c r="K101" s="433" t="s">
        <v>825</v>
      </c>
      <c r="L101" s="732" t="s">
        <v>1675</v>
      </c>
      <c r="M101" s="733"/>
      <c r="N101" s="734"/>
      <c r="O101" s="745"/>
      <c r="P101" s="746"/>
      <c r="Q101" s="746"/>
      <c r="R101" s="746"/>
      <c r="S101" s="746"/>
      <c r="T101" s="746"/>
    </row>
    <row r="102" spans="1:20" ht="11.85" customHeight="1" x14ac:dyDescent="0.25">
      <c r="A102" s="553" t="s">
        <v>1802</v>
      </c>
      <c r="B102" s="720" t="s">
        <v>1803</v>
      </c>
      <c r="C102" s="722"/>
      <c r="D102" s="436" t="s">
        <v>1803</v>
      </c>
      <c r="E102" s="436" t="s">
        <v>1671</v>
      </c>
      <c r="F102" s="436" t="s">
        <v>1804</v>
      </c>
      <c r="G102" s="720" t="s">
        <v>1805</v>
      </c>
      <c r="H102" s="721"/>
      <c r="I102" s="721"/>
      <c r="J102" s="722"/>
      <c r="K102" s="436" t="s">
        <v>825</v>
      </c>
      <c r="L102" s="720" t="s">
        <v>1806</v>
      </c>
      <c r="M102" s="721"/>
      <c r="N102" s="722"/>
      <c r="O102" s="745"/>
      <c r="P102" s="746"/>
      <c r="Q102" s="746"/>
      <c r="R102" s="746"/>
      <c r="S102" s="746"/>
      <c r="T102" s="746"/>
    </row>
    <row r="103" spans="1:20" ht="11.85" customHeight="1" x14ac:dyDescent="0.25">
      <c r="A103" s="553" t="s">
        <v>844</v>
      </c>
      <c r="B103" s="720" t="s">
        <v>1807</v>
      </c>
      <c r="C103" s="722"/>
      <c r="D103" s="436" t="s">
        <v>1807</v>
      </c>
      <c r="E103" s="436" t="s">
        <v>1808</v>
      </c>
      <c r="F103" s="436" t="s">
        <v>1809</v>
      </c>
      <c r="G103" s="720" t="s">
        <v>1810</v>
      </c>
      <c r="H103" s="721"/>
      <c r="I103" s="721"/>
      <c r="J103" s="722"/>
      <c r="K103" s="436" t="s">
        <v>825</v>
      </c>
      <c r="L103" s="720" t="s">
        <v>1811</v>
      </c>
      <c r="M103" s="721"/>
      <c r="N103" s="722"/>
      <c r="O103" s="745"/>
      <c r="P103" s="746"/>
      <c r="Q103" s="746"/>
      <c r="R103" s="746"/>
      <c r="S103" s="746"/>
      <c r="T103" s="746"/>
    </row>
    <row r="104" spans="1:20" ht="11.85" customHeight="1" x14ac:dyDescent="0.25">
      <c r="A104" s="553" t="s">
        <v>1515</v>
      </c>
      <c r="B104" s="720" t="s">
        <v>1807</v>
      </c>
      <c r="C104" s="722"/>
      <c r="D104" s="436" t="s">
        <v>1807</v>
      </c>
      <c r="E104" s="436" t="s">
        <v>1808</v>
      </c>
      <c r="F104" s="436" t="s">
        <v>1809</v>
      </c>
      <c r="G104" s="720" t="s">
        <v>1810</v>
      </c>
      <c r="H104" s="721"/>
      <c r="I104" s="721"/>
      <c r="J104" s="722"/>
      <c r="K104" s="436" t="s">
        <v>825</v>
      </c>
      <c r="L104" s="720" t="s">
        <v>1811</v>
      </c>
      <c r="M104" s="721"/>
      <c r="N104" s="722"/>
      <c r="O104" s="745"/>
      <c r="P104" s="746"/>
      <c r="Q104" s="746"/>
      <c r="R104" s="746"/>
      <c r="S104" s="746"/>
      <c r="T104" s="746"/>
    </row>
    <row r="105" spans="1:20" ht="11.1" customHeight="1" x14ac:dyDescent="0.25">
      <c r="A105" s="553" t="s">
        <v>869</v>
      </c>
      <c r="B105" s="720" t="s">
        <v>1812</v>
      </c>
      <c r="C105" s="722"/>
      <c r="D105" s="436" t="s">
        <v>1812</v>
      </c>
      <c r="E105" s="436" t="s">
        <v>1813</v>
      </c>
      <c r="F105" s="436" t="s">
        <v>1814</v>
      </c>
      <c r="G105" s="720" t="s">
        <v>1815</v>
      </c>
      <c r="H105" s="721"/>
      <c r="I105" s="721"/>
      <c r="J105" s="722"/>
      <c r="K105" s="436" t="s">
        <v>825</v>
      </c>
      <c r="L105" s="720" t="s">
        <v>1816</v>
      </c>
      <c r="M105" s="721"/>
      <c r="N105" s="722"/>
      <c r="O105" s="745"/>
      <c r="P105" s="746"/>
      <c r="Q105" s="746"/>
      <c r="R105" s="746"/>
      <c r="S105" s="746"/>
      <c r="T105" s="746"/>
    </row>
    <row r="106" spans="1:20" ht="11.85" customHeight="1" x14ac:dyDescent="0.25">
      <c r="A106" s="553" t="s">
        <v>1621</v>
      </c>
      <c r="B106" s="720" t="s">
        <v>1812</v>
      </c>
      <c r="C106" s="722"/>
      <c r="D106" s="436" t="s">
        <v>1812</v>
      </c>
      <c r="E106" s="436" t="s">
        <v>1813</v>
      </c>
      <c r="F106" s="436" t="s">
        <v>1814</v>
      </c>
      <c r="G106" s="720" t="s">
        <v>1815</v>
      </c>
      <c r="H106" s="721"/>
      <c r="I106" s="721"/>
      <c r="J106" s="722"/>
      <c r="K106" s="436" t="s">
        <v>825</v>
      </c>
      <c r="L106" s="720" t="s">
        <v>1816</v>
      </c>
      <c r="M106" s="721"/>
      <c r="N106" s="722"/>
      <c r="O106" s="745"/>
      <c r="P106" s="746"/>
      <c r="Q106" s="746"/>
      <c r="R106" s="746"/>
      <c r="S106" s="746"/>
      <c r="T106" s="746"/>
    </row>
    <row r="107" spans="1:20" ht="11.85" customHeight="1" x14ac:dyDescent="0.25">
      <c r="A107" s="553" t="s">
        <v>1667</v>
      </c>
      <c r="B107" s="720" t="s">
        <v>1817</v>
      </c>
      <c r="C107" s="722"/>
      <c r="D107" s="436" t="s">
        <v>1817</v>
      </c>
      <c r="E107" s="436" t="s">
        <v>825</v>
      </c>
      <c r="F107" s="436" t="s">
        <v>825</v>
      </c>
      <c r="G107" s="720" t="s">
        <v>1818</v>
      </c>
      <c r="H107" s="721"/>
      <c r="I107" s="721"/>
      <c r="J107" s="722"/>
      <c r="K107" s="436" t="s">
        <v>825</v>
      </c>
      <c r="L107" s="720" t="s">
        <v>1819</v>
      </c>
      <c r="M107" s="721"/>
      <c r="N107" s="722"/>
      <c r="O107" s="745"/>
      <c r="P107" s="746"/>
      <c r="Q107" s="746"/>
      <c r="R107" s="746"/>
      <c r="S107" s="746"/>
      <c r="T107" s="746"/>
    </row>
    <row r="108" spans="1:20" ht="11.85" customHeight="1" x14ac:dyDescent="0.25">
      <c r="A108" s="554" t="s">
        <v>1636</v>
      </c>
      <c r="B108" s="727" t="s">
        <v>1817</v>
      </c>
      <c r="C108" s="729"/>
      <c r="D108" s="437" t="s">
        <v>1817</v>
      </c>
      <c r="E108" s="437" t="s">
        <v>825</v>
      </c>
      <c r="F108" s="437" t="s">
        <v>825</v>
      </c>
      <c r="G108" s="727" t="s">
        <v>1818</v>
      </c>
      <c r="H108" s="728"/>
      <c r="I108" s="728"/>
      <c r="J108" s="729"/>
      <c r="K108" s="437" t="s">
        <v>825</v>
      </c>
      <c r="L108" s="727" t="s">
        <v>1819</v>
      </c>
      <c r="M108" s="728"/>
      <c r="N108" s="729"/>
      <c r="O108" s="745"/>
      <c r="P108" s="746"/>
      <c r="Q108" s="746"/>
      <c r="R108" s="746"/>
      <c r="S108" s="746"/>
      <c r="T108" s="746"/>
    </row>
    <row r="109" spans="1:20" ht="11.1" customHeight="1" x14ac:dyDescent="0.25">
      <c r="A109" s="559"/>
      <c r="B109" s="559"/>
      <c r="C109" s="559"/>
      <c r="D109" s="559"/>
      <c r="E109" s="559"/>
      <c r="F109" s="559"/>
      <c r="G109" s="559"/>
      <c r="H109" s="559"/>
      <c r="I109" s="559"/>
      <c r="J109" s="559"/>
      <c r="K109" s="559"/>
      <c r="L109" s="559"/>
      <c r="M109" s="559"/>
      <c r="N109" s="559"/>
      <c r="O109" s="550"/>
      <c r="P109" s="550"/>
      <c r="Q109" s="550"/>
      <c r="R109" s="550"/>
      <c r="S109" s="550"/>
    </row>
    <row r="110" spans="1:20" ht="11.85" customHeight="1" x14ac:dyDescent="0.25">
      <c r="A110" s="735" t="s">
        <v>1820</v>
      </c>
      <c r="B110" s="737" t="s">
        <v>1694</v>
      </c>
      <c r="C110" s="738"/>
      <c r="D110" s="737" t="s">
        <v>1695</v>
      </c>
      <c r="E110" s="742" t="s">
        <v>1696</v>
      </c>
      <c r="F110" s="743"/>
      <c r="G110" s="743"/>
      <c r="H110" s="743"/>
      <c r="I110" s="744"/>
      <c r="J110" s="737" t="s">
        <v>1697</v>
      </c>
      <c r="K110" s="738"/>
      <c r="L110" s="742" t="s">
        <v>1698</v>
      </c>
      <c r="M110" s="743"/>
      <c r="N110" s="743"/>
      <c r="O110" s="744"/>
      <c r="P110" s="737" t="s">
        <v>1699</v>
      </c>
      <c r="Q110" s="737" t="s">
        <v>1700</v>
      </c>
      <c r="R110" s="737" t="s">
        <v>1701</v>
      </c>
      <c r="S110" s="738"/>
      <c r="T110" s="551"/>
    </row>
    <row r="111" spans="1:20" ht="17.850000000000001" customHeight="1" x14ac:dyDescent="0.25">
      <c r="A111" s="736"/>
      <c r="B111" s="739"/>
      <c r="C111" s="740"/>
      <c r="D111" s="741"/>
      <c r="E111" s="544" t="s">
        <v>1702</v>
      </c>
      <c r="F111" s="737" t="s">
        <v>1703</v>
      </c>
      <c r="G111" s="747"/>
      <c r="H111" s="747"/>
      <c r="I111" s="748"/>
      <c r="J111" s="739"/>
      <c r="K111" s="740"/>
      <c r="L111" s="737" t="s">
        <v>1702</v>
      </c>
      <c r="M111" s="747"/>
      <c r="N111" s="748"/>
      <c r="O111" s="544" t="s">
        <v>1704</v>
      </c>
      <c r="P111" s="741"/>
      <c r="Q111" s="741"/>
      <c r="R111" s="739"/>
      <c r="S111" s="740"/>
      <c r="T111" s="551"/>
    </row>
    <row r="112" spans="1:20" ht="11.85" customHeight="1" x14ac:dyDescent="0.25">
      <c r="A112" s="552" t="s">
        <v>1774</v>
      </c>
      <c r="B112" s="730" t="s">
        <v>1775</v>
      </c>
      <c r="C112" s="731"/>
      <c r="D112" s="433" t="s">
        <v>1776</v>
      </c>
      <c r="E112" s="433" t="s">
        <v>1777</v>
      </c>
      <c r="F112" s="732" t="s">
        <v>1778</v>
      </c>
      <c r="G112" s="733"/>
      <c r="H112" s="733"/>
      <c r="I112" s="734"/>
      <c r="J112" s="732" t="s">
        <v>1779</v>
      </c>
      <c r="K112" s="734"/>
      <c r="L112" s="732" t="s">
        <v>1777</v>
      </c>
      <c r="M112" s="733"/>
      <c r="N112" s="734"/>
      <c r="O112" s="433" t="s">
        <v>1778</v>
      </c>
      <c r="P112" s="433" t="s">
        <v>1779</v>
      </c>
      <c r="Q112" s="433" t="s">
        <v>1780</v>
      </c>
      <c r="R112" s="732" t="s">
        <v>825</v>
      </c>
      <c r="S112" s="734"/>
      <c r="T112" s="560"/>
    </row>
    <row r="113" spans="1:20" ht="11.1" customHeight="1" x14ac:dyDescent="0.25">
      <c r="A113" s="553" t="s">
        <v>1716</v>
      </c>
      <c r="B113" s="718" t="s">
        <v>1821</v>
      </c>
      <c r="C113" s="719"/>
      <c r="D113" s="436" t="s">
        <v>1822</v>
      </c>
      <c r="E113" s="436" t="s">
        <v>1777</v>
      </c>
      <c r="F113" s="720" t="s">
        <v>1778</v>
      </c>
      <c r="G113" s="721"/>
      <c r="H113" s="721"/>
      <c r="I113" s="722"/>
      <c r="J113" s="720" t="s">
        <v>1823</v>
      </c>
      <c r="K113" s="722"/>
      <c r="L113" s="720" t="s">
        <v>1777</v>
      </c>
      <c r="M113" s="721"/>
      <c r="N113" s="722"/>
      <c r="O113" s="436" t="s">
        <v>1778</v>
      </c>
      <c r="P113" s="436" t="s">
        <v>1823</v>
      </c>
      <c r="Q113" s="436" t="s">
        <v>1780</v>
      </c>
      <c r="R113" s="720" t="s">
        <v>825</v>
      </c>
      <c r="S113" s="722"/>
      <c r="T113" s="560"/>
    </row>
    <row r="114" spans="1:20" ht="11.85" customHeight="1" x14ac:dyDescent="0.25">
      <c r="A114" s="553" t="s">
        <v>1727</v>
      </c>
      <c r="B114" s="718" t="s">
        <v>1824</v>
      </c>
      <c r="C114" s="719"/>
      <c r="D114" s="436" t="s">
        <v>1825</v>
      </c>
      <c r="E114" s="436" t="s">
        <v>1826</v>
      </c>
      <c r="F114" s="720" t="s">
        <v>1827</v>
      </c>
      <c r="G114" s="721"/>
      <c r="H114" s="721"/>
      <c r="I114" s="722"/>
      <c r="J114" s="720" t="s">
        <v>1828</v>
      </c>
      <c r="K114" s="722"/>
      <c r="L114" s="720" t="s">
        <v>1826</v>
      </c>
      <c r="M114" s="721"/>
      <c r="N114" s="722"/>
      <c r="O114" s="436" t="s">
        <v>1827</v>
      </c>
      <c r="P114" s="436" t="s">
        <v>1828</v>
      </c>
      <c r="Q114" s="436" t="s">
        <v>1829</v>
      </c>
      <c r="R114" s="720" t="s">
        <v>825</v>
      </c>
      <c r="S114" s="722"/>
      <c r="T114" s="560"/>
    </row>
    <row r="115" spans="1:20" ht="11.85" customHeight="1" x14ac:dyDescent="0.25">
      <c r="A115" s="553" t="s">
        <v>1735</v>
      </c>
      <c r="B115" s="718">
        <v>2</v>
      </c>
      <c r="C115" s="719"/>
      <c r="D115" s="436" t="s">
        <v>1830</v>
      </c>
      <c r="E115" s="436" t="s">
        <v>825</v>
      </c>
      <c r="F115" s="720" t="s">
        <v>825</v>
      </c>
      <c r="G115" s="721"/>
      <c r="H115" s="721"/>
      <c r="I115" s="722"/>
      <c r="J115" s="720" t="s">
        <v>1830</v>
      </c>
      <c r="K115" s="722"/>
      <c r="L115" s="720" t="s">
        <v>825</v>
      </c>
      <c r="M115" s="721"/>
      <c r="N115" s="722"/>
      <c r="O115" s="436" t="s">
        <v>825</v>
      </c>
      <c r="P115" s="436" t="s">
        <v>1830</v>
      </c>
      <c r="Q115" s="436" t="s">
        <v>825</v>
      </c>
      <c r="R115" s="720" t="s">
        <v>825</v>
      </c>
      <c r="S115" s="722"/>
      <c r="T115" s="560"/>
    </row>
    <row r="116" spans="1:20" ht="11.85" customHeight="1" x14ac:dyDescent="0.25">
      <c r="A116" s="553" t="s">
        <v>1741</v>
      </c>
      <c r="B116" s="718" t="s">
        <v>1831</v>
      </c>
      <c r="C116" s="719"/>
      <c r="D116" s="436" t="s">
        <v>1832</v>
      </c>
      <c r="E116" s="436" t="s">
        <v>1833</v>
      </c>
      <c r="F116" s="720" t="s">
        <v>1834</v>
      </c>
      <c r="G116" s="721"/>
      <c r="H116" s="721"/>
      <c r="I116" s="722"/>
      <c r="J116" s="720" t="s">
        <v>1835</v>
      </c>
      <c r="K116" s="722"/>
      <c r="L116" s="720" t="s">
        <v>1833</v>
      </c>
      <c r="M116" s="721"/>
      <c r="N116" s="722"/>
      <c r="O116" s="436" t="s">
        <v>1834</v>
      </c>
      <c r="P116" s="436" t="s">
        <v>1835</v>
      </c>
      <c r="Q116" s="436" t="s">
        <v>1836</v>
      </c>
      <c r="R116" s="720" t="s">
        <v>825</v>
      </c>
      <c r="S116" s="722"/>
      <c r="T116" s="560"/>
    </row>
    <row r="117" spans="1:20" ht="11.1" customHeight="1" x14ac:dyDescent="0.25">
      <c r="A117" s="553" t="s">
        <v>1751</v>
      </c>
      <c r="B117" s="718">
        <v>44</v>
      </c>
      <c r="C117" s="719"/>
      <c r="D117" s="436" t="s">
        <v>1837</v>
      </c>
      <c r="E117" s="436" t="s">
        <v>825</v>
      </c>
      <c r="F117" s="720" t="s">
        <v>825</v>
      </c>
      <c r="G117" s="721"/>
      <c r="H117" s="721"/>
      <c r="I117" s="722"/>
      <c r="J117" s="720" t="s">
        <v>1837</v>
      </c>
      <c r="K117" s="722"/>
      <c r="L117" s="720" t="s">
        <v>825</v>
      </c>
      <c r="M117" s="721"/>
      <c r="N117" s="722"/>
      <c r="O117" s="436" t="s">
        <v>825</v>
      </c>
      <c r="P117" s="436" t="s">
        <v>1837</v>
      </c>
      <c r="Q117" s="436" t="s">
        <v>825</v>
      </c>
      <c r="R117" s="720" t="s">
        <v>825</v>
      </c>
      <c r="S117" s="722"/>
      <c r="T117" s="560"/>
    </row>
    <row r="118" spans="1:20" ht="11.85" customHeight="1" x14ac:dyDescent="0.25">
      <c r="A118" s="554" t="s">
        <v>1770</v>
      </c>
      <c r="B118" s="725">
        <v>44</v>
      </c>
      <c r="C118" s="726"/>
      <c r="D118" s="437" t="s">
        <v>1837</v>
      </c>
      <c r="E118" s="437" t="s">
        <v>825</v>
      </c>
      <c r="F118" s="727" t="s">
        <v>825</v>
      </c>
      <c r="G118" s="728"/>
      <c r="H118" s="728"/>
      <c r="I118" s="729"/>
      <c r="J118" s="727" t="s">
        <v>1837</v>
      </c>
      <c r="K118" s="729"/>
      <c r="L118" s="727" t="s">
        <v>825</v>
      </c>
      <c r="M118" s="728"/>
      <c r="N118" s="729"/>
      <c r="O118" s="437" t="s">
        <v>825</v>
      </c>
      <c r="P118" s="437" t="s">
        <v>1837</v>
      </c>
      <c r="Q118" s="437" t="s">
        <v>825</v>
      </c>
      <c r="R118" s="727" t="s">
        <v>825</v>
      </c>
      <c r="S118" s="729"/>
      <c r="T118" s="560"/>
    </row>
    <row r="119" spans="1:20" ht="11.85" customHeight="1" x14ac:dyDescent="0.25">
      <c r="A119" s="723" t="s">
        <v>1838</v>
      </c>
      <c r="B119" s="723"/>
      <c r="C119" s="723"/>
      <c r="D119" s="723"/>
      <c r="E119" s="723"/>
      <c r="F119" s="723"/>
      <c r="G119" s="723"/>
      <c r="H119" s="723"/>
      <c r="I119" s="723"/>
      <c r="J119" s="723"/>
      <c r="K119" s="723"/>
      <c r="L119" s="723"/>
      <c r="M119" s="723"/>
      <c r="N119" s="564"/>
      <c r="O119" s="564"/>
      <c r="P119" s="564"/>
      <c r="Q119" s="564"/>
      <c r="R119" s="564"/>
      <c r="S119" s="564"/>
    </row>
    <row r="120" spans="1:20" ht="5.85" customHeight="1" x14ac:dyDescent="0.25"/>
    <row r="121" spans="1:20" ht="11.1" customHeight="1" x14ac:dyDescent="0.25"/>
    <row r="122" spans="1:20" ht="5.85" customHeight="1" x14ac:dyDescent="0.25"/>
    <row r="123" spans="1:20" ht="17.850000000000001" customHeight="1" x14ac:dyDescent="0.25"/>
    <row r="124" spans="1:20" ht="17.850000000000001" customHeight="1" x14ac:dyDescent="0.25"/>
    <row r="125" spans="1:20" ht="72.599999999999994" customHeight="1" x14ac:dyDescent="0.25"/>
    <row r="126" spans="1:20" ht="72.599999999999994" customHeight="1" x14ac:dyDescent="0.25"/>
    <row r="127" spans="1:20" ht="11.85" customHeight="1" x14ac:dyDescent="0.25">
      <c r="A127" s="724" t="s">
        <v>1683</v>
      </c>
      <c r="B127" s="724"/>
      <c r="C127" s="724"/>
      <c r="D127" s="724"/>
      <c r="E127" s="724"/>
      <c r="F127" s="724"/>
      <c r="G127" s="724"/>
      <c r="H127" s="724"/>
      <c r="I127" s="724"/>
      <c r="J127" s="724"/>
      <c r="K127" s="724"/>
      <c r="L127" s="724"/>
      <c r="M127" s="724"/>
      <c r="N127" s="724"/>
      <c r="O127" s="724"/>
      <c r="P127" s="724"/>
      <c r="Q127" s="724"/>
      <c r="R127" s="724"/>
      <c r="S127" s="724"/>
    </row>
    <row r="128" spans="1:20" ht="5.85" customHeight="1" x14ac:dyDescent="0.25"/>
  </sheetData>
  <mergeCells count="412">
    <mergeCell ref="A8:A9"/>
    <mergeCell ref="B8:C9"/>
    <mergeCell ref="D8:D9"/>
    <mergeCell ref="E8:N8"/>
    <mergeCell ref="O8:O9"/>
    <mergeCell ref="F9:H9"/>
    <mergeCell ref="I9:L9"/>
    <mergeCell ref="M9:N9"/>
    <mergeCell ref="A1:B1"/>
    <mergeCell ref="A2:B2"/>
    <mergeCell ref="A3:B3"/>
    <mergeCell ref="A4:B4"/>
    <mergeCell ref="A5:B5"/>
    <mergeCell ref="A7:G7"/>
    <mergeCell ref="B10:C10"/>
    <mergeCell ref="F10:H10"/>
    <mergeCell ref="I10:L10"/>
    <mergeCell ref="M10:N10"/>
    <mergeCell ref="B11:C11"/>
    <mergeCell ref="F11:H11"/>
    <mergeCell ref="I11:L11"/>
    <mergeCell ref="M11:N11"/>
    <mergeCell ref="Q7:S7"/>
    <mergeCell ref="B14:C14"/>
    <mergeCell ref="F14:H14"/>
    <mergeCell ref="I14:L14"/>
    <mergeCell ref="M14:N14"/>
    <mergeCell ref="B15:C15"/>
    <mergeCell ref="F15:H15"/>
    <mergeCell ref="I15:L15"/>
    <mergeCell ref="M15:N15"/>
    <mergeCell ref="B12:C12"/>
    <mergeCell ref="F12:H12"/>
    <mergeCell ref="I12:L12"/>
    <mergeCell ref="M12:N12"/>
    <mergeCell ref="B13:C13"/>
    <mergeCell ref="F13:H13"/>
    <mergeCell ref="I13:L13"/>
    <mergeCell ref="M13:N13"/>
    <mergeCell ref="B18:C18"/>
    <mergeCell ref="F18:H18"/>
    <mergeCell ref="I18:L18"/>
    <mergeCell ref="M18:N18"/>
    <mergeCell ref="B19:C19"/>
    <mergeCell ref="F19:H19"/>
    <mergeCell ref="I19:L19"/>
    <mergeCell ref="M19:N19"/>
    <mergeCell ref="B16:C16"/>
    <mergeCell ref="F16:H16"/>
    <mergeCell ref="I16:L16"/>
    <mergeCell ref="M16:N16"/>
    <mergeCell ref="B17:C17"/>
    <mergeCell ref="F17:H17"/>
    <mergeCell ref="I17:L17"/>
    <mergeCell ref="M17:N17"/>
    <mergeCell ref="B22:C22"/>
    <mergeCell ref="F22:H22"/>
    <mergeCell ref="I22:L22"/>
    <mergeCell ref="M22:N22"/>
    <mergeCell ref="B23:C23"/>
    <mergeCell ref="F23:H23"/>
    <mergeCell ref="I23:L23"/>
    <mergeCell ref="M23:N23"/>
    <mergeCell ref="B20:C20"/>
    <mergeCell ref="F20:H20"/>
    <mergeCell ref="I20:L20"/>
    <mergeCell ref="M20:N20"/>
    <mergeCell ref="B21:C21"/>
    <mergeCell ref="F21:H21"/>
    <mergeCell ref="I21:L21"/>
    <mergeCell ref="M21:N21"/>
    <mergeCell ref="B26:C26"/>
    <mergeCell ref="F26:H26"/>
    <mergeCell ref="I26:L26"/>
    <mergeCell ref="M26:N26"/>
    <mergeCell ref="B27:C27"/>
    <mergeCell ref="F27:H27"/>
    <mergeCell ref="I27:L27"/>
    <mergeCell ref="M27:N27"/>
    <mergeCell ref="B24:C24"/>
    <mergeCell ref="F24:H24"/>
    <mergeCell ref="I24:L24"/>
    <mergeCell ref="M24:N24"/>
    <mergeCell ref="B25:C25"/>
    <mergeCell ref="F25:H25"/>
    <mergeCell ref="I25:L25"/>
    <mergeCell ref="M25:N25"/>
    <mergeCell ref="B30:C30"/>
    <mergeCell ref="F30:H30"/>
    <mergeCell ref="I30:L30"/>
    <mergeCell ref="M30:N30"/>
    <mergeCell ref="B31:C31"/>
    <mergeCell ref="F31:H31"/>
    <mergeCell ref="I31:L31"/>
    <mergeCell ref="M31:N31"/>
    <mergeCell ref="B28:C28"/>
    <mergeCell ref="F28:H28"/>
    <mergeCell ref="I28:L28"/>
    <mergeCell ref="M28:N28"/>
    <mergeCell ref="B29:C29"/>
    <mergeCell ref="F29:H29"/>
    <mergeCell ref="I29:L29"/>
    <mergeCell ref="M29:N29"/>
    <mergeCell ref="B34:C34"/>
    <mergeCell ref="F34:H34"/>
    <mergeCell ref="I34:L34"/>
    <mergeCell ref="M34:N34"/>
    <mergeCell ref="B35:C35"/>
    <mergeCell ref="F35:H35"/>
    <mergeCell ref="I35:L35"/>
    <mergeCell ref="M35:N35"/>
    <mergeCell ref="B32:C32"/>
    <mergeCell ref="F32:H32"/>
    <mergeCell ref="I32:L32"/>
    <mergeCell ref="M32:N32"/>
    <mergeCell ref="B33:C33"/>
    <mergeCell ref="F33:H33"/>
    <mergeCell ref="I33:L33"/>
    <mergeCell ref="M33:N33"/>
    <mergeCell ref="B38:C38"/>
    <mergeCell ref="F38:H38"/>
    <mergeCell ref="I38:L38"/>
    <mergeCell ref="M38:N38"/>
    <mergeCell ref="B39:C39"/>
    <mergeCell ref="F39:H39"/>
    <mergeCell ref="I39:L39"/>
    <mergeCell ref="M39:N39"/>
    <mergeCell ref="B36:C36"/>
    <mergeCell ref="F36:H36"/>
    <mergeCell ref="I36:L36"/>
    <mergeCell ref="M36:N36"/>
    <mergeCell ref="B37:C37"/>
    <mergeCell ref="F37:H37"/>
    <mergeCell ref="I37:L37"/>
    <mergeCell ref="M37:N37"/>
    <mergeCell ref="B42:C42"/>
    <mergeCell ref="F42:H42"/>
    <mergeCell ref="I42:L42"/>
    <mergeCell ref="M42:N42"/>
    <mergeCell ref="B43:C43"/>
    <mergeCell ref="F43:H43"/>
    <mergeCell ref="I43:L43"/>
    <mergeCell ref="M43:N43"/>
    <mergeCell ref="B40:C40"/>
    <mergeCell ref="F40:H40"/>
    <mergeCell ref="I40:L40"/>
    <mergeCell ref="M40:N40"/>
    <mergeCell ref="B41:C41"/>
    <mergeCell ref="F41:H41"/>
    <mergeCell ref="I41:L41"/>
    <mergeCell ref="M41:N41"/>
    <mergeCell ref="Q55:S55"/>
    <mergeCell ref="B46:C46"/>
    <mergeCell ref="F46:H46"/>
    <mergeCell ref="I46:L46"/>
    <mergeCell ref="M46:N46"/>
    <mergeCell ref="A47:S47"/>
    <mergeCell ref="A49:B49"/>
    <mergeCell ref="B44:C44"/>
    <mergeCell ref="F44:H44"/>
    <mergeCell ref="I44:L44"/>
    <mergeCell ref="M44:N44"/>
    <mergeCell ref="B45:C45"/>
    <mergeCell ref="F45:H45"/>
    <mergeCell ref="I45:L45"/>
    <mergeCell ref="M45:N45"/>
    <mergeCell ref="O56:O57"/>
    <mergeCell ref="F57:H57"/>
    <mergeCell ref="I57:L57"/>
    <mergeCell ref="M57:N57"/>
    <mergeCell ref="A50:B50"/>
    <mergeCell ref="A51:B51"/>
    <mergeCell ref="A52:B52"/>
    <mergeCell ref="A53:B53"/>
    <mergeCell ref="A55:G55"/>
    <mergeCell ref="B58:C58"/>
    <mergeCell ref="F58:H58"/>
    <mergeCell ref="I58:L58"/>
    <mergeCell ref="M58:N58"/>
    <mergeCell ref="B59:C59"/>
    <mergeCell ref="F59:H59"/>
    <mergeCell ref="I59:L59"/>
    <mergeCell ref="M59:N59"/>
    <mergeCell ref="A56:A57"/>
    <mergeCell ref="B56:C57"/>
    <mergeCell ref="D56:D57"/>
    <mergeCell ref="E56:N56"/>
    <mergeCell ref="B62:C62"/>
    <mergeCell ref="F62:H62"/>
    <mergeCell ref="I62:L62"/>
    <mergeCell ref="M62:N62"/>
    <mergeCell ref="B63:C63"/>
    <mergeCell ref="F63:H63"/>
    <mergeCell ref="I63:L63"/>
    <mergeCell ref="M63:N63"/>
    <mergeCell ref="B60:C60"/>
    <mergeCell ref="F60:H60"/>
    <mergeCell ref="I60:L60"/>
    <mergeCell ref="M60:N60"/>
    <mergeCell ref="B61:C61"/>
    <mergeCell ref="F61:H61"/>
    <mergeCell ref="I61:L61"/>
    <mergeCell ref="M61:N61"/>
    <mergeCell ref="A67:A68"/>
    <mergeCell ref="B67:C68"/>
    <mergeCell ref="D67:D68"/>
    <mergeCell ref="E67:I67"/>
    <mergeCell ref="J67:K68"/>
    <mergeCell ref="L67:O67"/>
    <mergeCell ref="B64:C64"/>
    <mergeCell ref="F64:H64"/>
    <mergeCell ref="I64:L64"/>
    <mergeCell ref="M64:N64"/>
    <mergeCell ref="B65:C65"/>
    <mergeCell ref="F65:H65"/>
    <mergeCell ref="I65:L65"/>
    <mergeCell ref="M65:N65"/>
    <mergeCell ref="P67:P68"/>
    <mergeCell ref="Q67:Q68"/>
    <mergeCell ref="R67:S68"/>
    <mergeCell ref="F68:I68"/>
    <mergeCell ref="L68:N68"/>
    <mergeCell ref="B69:C69"/>
    <mergeCell ref="F69:I69"/>
    <mergeCell ref="J69:K69"/>
    <mergeCell ref="L69:N69"/>
    <mergeCell ref="R69:S69"/>
    <mergeCell ref="B70:C70"/>
    <mergeCell ref="F70:I70"/>
    <mergeCell ref="J70:K70"/>
    <mergeCell ref="L70:N70"/>
    <mergeCell ref="R70:S70"/>
    <mergeCell ref="B71:C71"/>
    <mergeCell ref="F71:I71"/>
    <mergeCell ref="J71:K71"/>
    <mergeCell ref="L71:N71"/>
    <mergeCell ref="R71:S71"/>
    <mergeCell ref="B72:C72"/>
    <mergeCell ref="F72:I72"/>
    <mergeCell ref="J72:K72"/>
    <mergeCell ref="L72:N72"/>
    <mergeCell ref="R72:S72"/>
    <mergeCell ref="B73:C73"/>
    <mergeCell ref="F73:I73"/>
    <mergeCell ref="J73:K73"/>
    <mergeCell ref="L73:N73"/>
    <mergeCell ref="R73:S73"/>
    <mergeCell ref="B74:C74"/>
    <mergeCell ref="F74:I74"/>
    <mergeCell ref="J74:K74"/>
    <mergeCell ref="L74:N74"/>
    <mergeCell ref="R74:S74"/>
    <mergeCell ref="B75:C75"/>
    <mergeCell ref="F75:I75"/>
    <mergeCell ref="J75:K75"/>
    <mergeCell ref="L75:N75"/>
    <mergeCell ref="R75:S75"/>
    <mergeCell ref="B76:C76"/>
    <mergeCell ref="F76:I76"/>
    <mergeCell ref="J76:K76"/>
    <mergeCell ref="L76:N76"/>
    <mergeCell ref="R76:S76"/>
    <mergeCell ref="B77:C77"/>
    <mergeCell ref="F77:I77"/>
    <mergeCell ref="J77:K77"/>
    <mergeCell ref="L77:N77"/>
    <mergeCell ref="R77:S77"/>
    <mergeCell ref="B78:C78"/>
    <mergeCell ref="F78:I78"/>
    <mergeCell ref="J78:K78"/>
    <mergeCell ref="L78:N78"/>
    <mergeCell ref="R78:S78"/>
    <mergeCell ref="B79:C79"/>
    <mergeCell ref="F79:I79"/>
    <mergeCell ref="J79:K79"/>
    <mergeCell ref="L79:N79"/>
    <mergeCell ref="R79:S79"/>
    <mergeCell ref="B80:C80"/>
    <mergeCell ref="F80:I80"/>
    <mergeCell ref="J80:K80"/>
    <mergeCell ref="L80:N80"/>
    <mergeCell ref="R80:S80"/>
    <mergeCell ref="B81:C81"/>
    <mergeCell ref="F81:I81"/>
    <mergeCell ref="J81:K81"/>
    <mergeCell ref="L81:N81"/>
    <mergeCell ref="R81:S81"/>
    <mergeCell ref="B82:C82"/>
    <mergeCell ref="F82:I82"/>
    <mergeCell ref="J82:K82"/>
    <mergeCell ref="L82:N82"/>
    <mergeCell ref="R82:S82"/>
    <mergeCell ref="B83:C83"/>
    <mergeCell ref="F83:I83"/>
    <mergeCell ref="J83:K83"/>
    <mergeCell ref="L83:N83"/>
    <mergeCell ref="R83:S83"/>
    <mergeCell ref="B84:C84"/>
    <mergeCell ref="F84:I84"/>
    <mergeCell ref="J84:K84"/>
    <mergeCell ref="L84:N84"/>
    <mergeCell ref="R84:S84"/>
    <mergeCell ref="B85:C85"/>
    <mergeCell ref="F85:I85"/>
    <mergeCell ref="J85:K85"/>
    <mergeCell ref="L85:N85"/>
    <mergeCell ref="R85:S85"/>
    <mergeCell ref="A88:T88"/>
    <mergeCell ref="A90:S90"/>
    <mergeCell ref="A92:B92"/>
    <mergeCell ref="A93:B93"/>
    <mergeCell ref="A94:B94"/>
    <mergeCell ref="A95:B95"/>
    <mergeCell ref="B86:C86"/>
    <mergeCell ref="F86:I86"/>
    <mergeCell ref="J86:K86"/>
    <mergeCell ref="L86:N86"/>
    <mergeCell ref="R86:S86"/>
    <mergeCell ref="B87:C87"/>
    <mergeCell ref="F87:I87"/>
    <mergeCell ref="J87:K87"/>
    <mergeCell ref="L87:N87"/>
    <mergeCell ref="R87:S87"/>
    <mergeCell ref="B101:C101"/>
    <mergeCell ref="G101:J101"/>
    <mergeCell ref="L101:N101"/>
    <mergeCell ref="O101:T101"/>
    <mergeCell ref="B102:C102"/>
    <mergeCell ref="G102:J102"/>
    <mergeCell ref="L102:N102"/>
    <mergeCell ref="O102:T102"/>
    <mergeCell ref="A96:B96"/>
    <mergeCell ref="A98:G98"/>
    <mergeCell ref="Q98:S98"/>
    <mergeCell ref="A99:A100"/>
    <mergeCell ref="B99:C100"/>
    <mergeCell ref="D99:D100"/>
    <mergeCell ref="E99:K99"/>
    <mergeCell ref="L99:N100"/>
    <mergeCell ref="G100:J100"/>
    <mergeCell ref="B105:C105"/>
    <mergeCell ref="G105:J105"/>
    <mergeCell ref="L105:N105"/>
    <mergeCell ref="O105:T105"/>
    <mergeCell ref="B106:C106"/>
    <mergeCell ref="G106:J106"/>
    <mergeCell ref="L106:N106"/>
    <mergeCell ref="O106:T106"/>
    <mergeCell ref="B103:C103"/>
    <mergeCell ref="G103:J103"/>
    <mergeCell ref="L103:N103"/>
    <mergeCell ref="O103:T103"/>
    <mergeCell ref="B104:C104"/>
    <mergeCell ref="G104:J104"/>
    <mergeCell ref="L104:N104"/>
    <mergeCell ref="O104:T104"/>
    <mergeCell ref="A110:A111"/>
    <mergeCell ref="B110:C111"/>
    <mergeCell ref="D110:D111"/>
    <mergeCell ref="E110:I110"/>
    <mergeCell ref="J110:K111"/>
    <mergeCell ref="L110:O110"/>
    <mergeCell ref="B107:C107"/>
    <mergeCell ref="G107:J107"/>
    <mergeCell ref="L107:N107"/>
    <mergeCell ref="O107:T107"/>
    <mergeCell ref="B108:C108"/>
    <mergeCell ref="G108:J108"/>
    <mergeCell ref="L108:N108"/>
    <mergeCell ref="O108:T108"/>
    <mergeCell ref="P110:P111"/>
    <mergeCell ref="Q110:Q111"/>
    <mergeCell ref="R110:S111"/>
    <mergeCell ref="F111:I111"/>
    <mergeCell ref="L111:N111"/>
    <mergeCell ref="B112:C112"/>
    <mergeCell ref="F112:I112"/>
    <mergeCell ref="J112:K112"/>
    <mergeCell ref="L112:N112"/>
    <mergeCell ref="R112:S112"/>
    <mergeCell ref="B113:C113"/>
    <mergeCell ref="F113:I113"/>
    <mergeCell ref="J113:K113"/>
    <mergeCell ref="L113:N113"/>
    <mergeCell ref="R113:S113"/>
    <mergeCell ref="B114:C114"/>
    <mergeCell ref="F114:I114"/>
    <mergeCell ref="J114:K114"/>
    <mergeCell ref="L114:N114"/>
    <mergeCell ref="R114:S114"/>
    <mergeCell ref="B115:C115"/>
    <mergeCell ref="F115:I115"/>
    <mergeCell ref="J115:K115"/>
    <mergeCell ref="L115:N115"/>
    <mergeCell ref="R115:S115"/>
    <mergeCell ref="B116:C116"/>
    <mergeCell ref="F116:I116"/>
    <mergeCell ref="J116:K116"/>
    <mergeCell ref="L116:N116"/>
    <mergeCell ref="R116:S116"/>
    <mergeCell ref="A119:M119"/>
    <mergeCell ref="A127:S127"/>
    <mergeCell ref="B117:C117"/>
    <mergeCell ref="F117:I117"/>
    <mergeCell ref="J117:K117"/>
    <mergeCell ref="L117:N117"/>
    <mergeCell ref="R117:S117"/>
    <mergeCell ref="B118:C118"/>
    <mergeCell ref="F118:I118"/>
    <mergeCell ref="J118:K118"/>
    <mergeCell ref="L118:N118"/>
    <mergeCell ref="R118:S118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76"/>
  <sheetViews>
    <sheetView topLeftCell="A74" workbookViewId="0">
      <selection activeCell="A74" sqref="A74:B74"/>
    </sheetView>
  </sheetViews>
  <sheetFormatPr defaultRowHeight="15" x14ac:dyDescent="0.25"/>
  <cols>
    <col min="1" max="1" width="57.7109375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</cols>
  <sheetData>
    <row r="1" spans="1:13" ht="11.85" customHeight="1" x14ac:dyDescent="0.25">
      <c r="A1" s="746" t="s">
        <v>833</v>
      </c>
      <c r="B1" s="746"/>
      <c r="L1" s="549" t="s">
        <v>1839</v>
      </c>
    </row>
    <row r="2" spans="1:13" ht="11.1" customHeight="1" x14ac:dyDescent="0.25">
      <c r="A2" s="746" t="s">
        <v>1840</v>
      </c>
      <c r="B2" s="746"/>
    </row>
    <row r="3" spans="1:13" ht="11.85" customHeight="1" x14ac:dyDescent="0.25">
      <c r="A3" s="754" t="s">
        <v>1841</v>
      </c>
      <c r="B3" s="754"/>
      <c r="C3" s="754"/>
      <c r="D3" s="754"/>
      <c r="E3" s="754"/>
      <c r="F3" s="754"/>
      <c r="G3" s="754"/>
      <c r="H3" s="754"/>
    </row>
    <row r="4" spans="1:13" ht="11.85" customHeight="1" x14ac:dyDescent="0.25">
      <c r="A4" s="746" t="s">
        <v>1842</v>
      </c>
      <c r="B4" s="746"/>
    </row>
    <row r="5" spans="1:13" ht="11.85" customHeight="1" x14ac:dyDescent="0.25">
      <c r="A5" s="746" t="s">
        <v>920</v>
      </c>
      <c r="B5" s="746"/>
    </row>
    <row r="6" spans="1:13" ht="5.85" customHeight="1" x14ac:dyDescent="0.25"/>
    <row r="7" spans="1:13" ht="11.1" customHeight="1" x14ac:dyDescent="0.25">
      <c r="A7" s="749" t="s">
        <v>1843</v>
      </c>
      <c r="B7" s="749"/>
      <c r="C7" s="550"/>
      <c r="D7" s="550"/>
      <c r="E7" s="550"/>
      <c r="F7" s="550"/>
      <c r="G7" s="550"/>
      <c r="H7" s="775" t="s">
        <v>922</v>
      </c>
      <c r="I7" s="775"/>
      <c r="J7" s="775"/>
      <c r="K7" s="775"/>
      <c r="L7" s="775"/>
    </row>
    <row r="8" spans="1:13" ht="11.85" customHeight="1" x14ac:dyDescent="0.25">
      <c r="A8" s="742" t="s">
        <v>1844</v>
      </c>
      <c r="B8" s="743"/>
      <c r="C8" s="743"/>
      <c r="D8" s="743"/>
      <c r="E8" s="743"/>
      <c r="F8" s="743"/>
      <c r="G8" s="743"/>
      <c r="H8" s="743"/>
      <c r="I8" s="743"/>
      <c r="J8" s="743"/>
      <c r="K8" s="743"/>
      <c r="L8" s="744"/>
      <c r="M8" s="551"/>
    </row>
    <row r="9" spans="1:13" ht="11.85" customHeight="1" x14ac:dyDescent="0.25">
      <c r="A9" s="742" t="s">
        <v>1845</v>
      </c>
      <c r="B9" s="743"/>
      <c r="C9" s="743"/>
      <c r="D9" s="743"/>
      <c r="E9" s="743"/>
      <c r="F9" s="743"/>
      <c r="G9" s="743"/>
      <c r="H9" s="743"/>
      <c r="I9" s="743"/>
      <c r="J9" s="743"/>
      <c r="K9" s="743"/>
      <c r="L9" s="744"/>
      <c r="M9" s="551"/>
    </row>
    <row r="10" spans="1:13" ht="28.9" customHeight="1" x14ac:dyDescent="0.25">
      <c r="A10" s="545" t="s">
        <v>1846</v>
      </c>
      <c r="B10" s="737" t="s">
        <v>1847</v>
      </c>
      <c r="C10" s="747"/>
      <c r="D10" s="748"/>
      <c r="E10" s="737" t="s">
        <v>1848</v>
      </c>
      <c r="F10" s="747"/>
      <c r="G10" s="747"/>
      <c r="H10" s="747"/>
      <c r="I10" s="747"/>
      <c r="J10" s="747"/>
      <c r="K10" s="747"/>
      <c r="L10" s="748"/>
      <c r="M10" s="551"/>
    </row>
    <row r="11" spans="1:13" ht="11.85" customHeight="1" x14ac:dyDescent="0.25">
      <c r="A11" s="552" t="s">
        <v>835</v>
      </c>
      <c r="B11" s="792" t="s">
        <v>1849</v>
      </c>
      <c r="C11" s="793"/>
      <c r="D11" s="794"/>
      <c r="E11" s="792" t="s">
        <v>1850</v>
      </c>
      <c r="F11" s="793"/>
      <c r="G11" s="793"/>
      <c r="H11" s="793"/>
      <c r="I11" s="793"/>
      <c r="J11" s="793"/>
      <c r="K11" s="793"/>
      <c r="L11" s="794"/>
      <c r="M11" s="551"/>
    </row>
    <row r="12" spans="1:13" ht="11.85" customHeight="1" x14ac:dyDescent="0.25">
      <c r="A12" s="565" t="s">
        <v>1851</v>
      </c>
      <c r="B12" s="789" t="s">
        <v>871</v>
      </c>
      <c r="C12" s="790"/>
      <c r="D12" s="791"/>
      <c r="E12" s="789" t="s">
        <v>1852</v>
      </c>
      <c r="F12" s="790"/>
      <c r="G12" s="790"/>
      <c r="H12" s="790"/>
      <c r="I12" s="790"/>
      <c r="J12" s="790"/>
      <c r="K12" s="790"/>
      <c r="L12" s="791"/>
      <c r="M12" s="551"/>
    </row>
    <row r="13" spans="1:13" ht="11.1" customHeight="1" x14ac:dyDescent="0.25">
      <c r="A13" s="553" t="s">
        <v>1853</v>
      </c>
      <c r="B13" s="720" t="s">
        <v>1854</v>
      </c>
      <c r="C13" s="721"/>
      <c r="D13" s="722"/>
      <c r="E13" s="720" t="s">
        <v>1855</v>
      </c>
      <c r="F13" s="721"/>
      <c r="G13" s="721"/>
      <c r="H13" s="721"/>
      <c r="I13" s="721"/>
      <c r="J13" s="721"/>
      <c r="K13" s="721"/>
      <c r="L13" s="722"/>
      <c r="M13" s="551"/>
    </row>
    <row r="14" spans="1:13" ht="11.85" customHeight="1" x14ac:dyDescent="0.25">
      <c r="A14" s="553" t="s">
        <v>1856</v>
      </c>
      <c r="B14" s="720" t="s">
        <v>1857</v>
      </c>
      <c r="C14" s="721"/>
      <c r="D14" s="722"/>
      <c r="E14" s="720" t="s">
        <v>1858</v>
      </c>
      <c r="F14" s="721"/>
      <c r="G14" s="721"/>
      <c r="H14" s="721"/>
      <c r="I14" s="721"/>
      <c r="J14" s="721"/>
      <c r="K14" s="721"/>
      <c r="L14" s="722"/>
      <c r="M14" s="551"/>
    </row>
    <row r="15" spans="1:13" ht="11.85" customHeight="1" x14ac:dyDescent="0.25">
      <c r="A15" s="553" t="s">
        <v>1859</v>
      </c>
      <c r="B15" s="720" t="s">
        <v>1860</v>
      </c>
      <c r="C15" s="721"/>
      <c r="D15" s="722"/>
      <c r="E15" s="720" t="s">
        <v>1861</v>
      </c>
      <c r="F15" s="721"/>
      <c r="G15" s="721"/>
      <c r="H15" s="721"/>
      <c r="I15" s="721"/>
      <c r="J15" s="721"/>
      <c r="K15" s="721"/>
      <c r="L15" s="722"/>
      <c r="M15" s="551"/>
    </row>
    <row r="16" spans="1:13" ht="11.85" customHeight="1" x14ac:dyDescent="0.25">
      <c r="A16" s="565" t="s">
        <v>1862</v>
      </c>
      <c r="B16" s="789" t="s">
        <v>1863</v>
      </c>
      <c r="C16" s="790"/>
      <c r="D16" s="791"/>
      <c r="E16" s="789" t="s">
        <v>1864</v>
      </c>
      <c r="F16" s="790"/>
      <c r="G16" s="790"/>
      <c r="H16" s="790"/>
      <c r="I16" s="790"/>
      <c r="J16" s="790"/>
      <c r="K16" s="790"/>
      <c r="L16" s="791"/>
      <c r="M16" s="551"/>
    </row>
    <row r="17" spans="1:13" ht="11.1" customHeight="1" x14ac:dyDescent="0.25">
      <c r="A17" s="553" t="s">
        <v>1853</v>
      </c>
      <c r="B17" s="720" t="s">
        <v>1865</v>
      </c>
      <c r="C17" s="721"/>
      <c r="D17" s="722"/>
      <c r="E17" s="720" t="s">
        <v>1866</v>
      </c>
      <c r="F17" s="721"/>
      <c r="G17" s="721"/>
      <c r="H17" s="721"/>
      <c r="I17" s="721"/>
      <c r="J17" s="721"/>
      <c r="K17" s="721"/>
      <c r="L17" s="722"/>
      <c r="M17" s="551"/>
    </row>
    <row r="18" spans="1:13" ht="11.85" customHeight="1" x14ac:dyDescent="0.25">
      <c r="A18" s="553" t="s">
        <v>1856</v>
      </c>
      <c r="B18" s="720" t="s">
        <v>1867</v>
      </c>
      <c r="C18" s="721"/>
      <c r="D18" s="722"/>
      <c r="E18" s="720" t="s">
        <v>1868</v>
      </c>
      <c r="F18" s="721"/>
      <c r="G18" s="721"/>
      <c r="H18" s="721"/>
      <c r="I18" s="721"/>
      <c r="J18" s="721"/>
      <c r="K18" s="721"/>
      <c r="L18" s="722"/>
      <c r="M18" s="551"/>
    </row>
    <row r="19" spans="1:13" ht="11.85" customHeight="1" x14ac:dyDescent="0.25">
      <c r="A19" s="553" t="s">
        <v>1859</v>
      </c>
      <c r="B19" s="720" t="s">
        <v>1869</v>
      </c>
      <c r="C19" s="721"/>
      <c r="D19" s="722"/>
      <c r="E19" s="720" t="s">
        <v>1870</v>
      </c>
      <c r="F19" s="721"/>
      <c r="G19" s="721"/>
      <c r="H19" s="721"/>
      <c r="I19" s="721"/>
      <c r="J19" s="721"/>
      <c r="K19" s="721"/>
      <c r="L19" s="722"/>
      <c r="M19" s="551"/>
    </row>
    <row r="20" spans="1:13" ht="11.85" customHeight="1" x14ac:dyDescent="0.25">
      <c r="A20" s="565" t="s">
        <v>846</v>
      </c>
      <c r="B20" s="789" t="s">
        <v>1871</v>
      </c>
      <c r="C20" s="790"/>
      <c r="D20" s="791"/>
      <c r="E20" s="789" t="s">
        <v>1872</v>
      </c>
      <c r="F20" s="790"/>
      <c r="G20" s="790"/>
      <c r="H20" s="790"/>
      <c r="I20" s="790"/>
      <c r="J20" s="790"/>
      <c r="K20" s="790"/>
      <c r="L20" s="791"/>
      <c r="M20" s="551"/>
    </row>
    <row r="21" spans="1:13" ht="11.1" customHeight="1" x14ac:dyDescent="0.25">
      <c r="A21" s="553" t="s">
        <v>1873</v>
      </c>
      <c r="B21" s="720" t="s">
        <v>825</v>
      </c>
      <c r="C21" s="721"/>
      <c r="D21" s="722"/>
      <c r="E21" s="720" t="s">
        <v>825</v>
      </c>
      <c r="F21" s="721"/>
      <c r="G21" s="721"/>
      <c r="H21" s="721"/>
      <c r="I21" s="721"/>
      <c r="J21" s="721"/>
      <c r="K21" s="721"/>
      <c r="L21" s="722"/>
      <c r="M21" s="551"/>
    </row>
    <row r="22" spans="1:13" ht="11.85" customHeight="1" x14ac:dyDescent="0.25">
      <c r="A22" s="553" t="s">
        <v>1874</v>
      </c>
      <c r="B22" s="720" t="s">
        <v>1871</v>
      </c>
      <c r="C22" s="721"/>
      <c r="D22" s="722"/>
      <c r="E22" s="720" t="s">
        <v>1872</v>
      </c>
      <c r="F22" s="721"/>
      <c r="G22" s="721"/>
      <c r="H22" s="721"/>
      <c r="I22" s="721"/>
      <c r="J22" s="721"/>
      <c r="K22" s="721"/>
      <c r="L22" s="722"/>
      <c r="M22" s="551"/>
    </row>
    <row r="23" spans="1:13" ht="11.85" customHeight="1" x14ac:dyDescent="0.25">
      <c r="A23" s="553" t="s">
        <v>849</v>
      </c>
      <c r="B23" s="720" t="s">
        <v>825</v>
      </c>
      <c r="C23" s="721"/>
      <c r="D23" s="722"/>
      <c r="E23" s="720" t="s">
        <v>825</v>
      </c>
      <c r="F23" s="721"/>
      <c r="G23" s="721"/>
      <c r="H23" s="721"/>
      <c r="I23" s="721"/>
      <c r="J23" s="721"/>
      <c r="K23" s="721"/>
      <c r="L23" s="722"/>
      <c r="M23" s="551"/>
    </row>
    <row r="24" spans="1:13" ht="11.85" customHeight="1" x14ac:dyDescent="0.25">
      <c r="A24" s="565" t="s">
        <v>853</v>
      </c>
      <c r="B24" s="789" t="s">
        <v>825</v>
      </c>
      <c r="C24" s="790"/>
      <c r="D24" s="791"/>
      <c r="E24" s="789" t="s">
        <v>825</v>
      </c>
      <c r="F24" s="790"/>
      <c r="G24" s="790"/>
      <c r="H24" s="790"/>
      <c r="I24" s="790"/>
      <c r="J24" s="790"/>
      <c r="K24" s="790"/>
      <c r="L24" s="791"/>
      <c r="M24" s="551"/>
    </row>
    <row r="25" spans="1:13" ht="11.1" customHeight="1" x14ac:dyDescent="0.25">
      <c r="A25" s="565" t="s">
        <v>869</v>
      </c>
      <c r="B25" s="789" t="s">
        <v>1875</v>
      </c>
      <c r="C25" s="790"/>
      <c r="D25" s="791"/>
      <c r="E25" s="789" t="s">
        <v>1876</v>
      </c>
      <c r="F25" s="790"/>
      <c r="G25" s="790"/>
      <c r="H25" s="790"/>
      <c r="I25" s="790"/>
      <c r="J25" s="790"/>
      <c r="K25" s="790"/>
      <c r="L25" s="791"/>
      <c r="M25" s="551"/>
    </row>
    <row r="26" spans="1:13" ht="11.85" customHeight="1" x14ac:dyDescent="0.25">
      <c r="A26" s="553" t="s">
        <v>1877</v>
      </c>
      <c r="B26" s="720" t="s">
        <v>1878</v>
      </c>
      <c r="C26" s="721"/>
      <c r="D26" s="722"/>
      <c r="E26" s="720" t="s">
        <v>1879</v>
      </c>
      <c r="F26" s="721"/>
      <c r="G26" s="721"/>
      <c r="H26" s="721"/>
      <c r="I26" s="721"/>
      <c r="J26" s="721"/>
      <c r="K26" s="721"/>
      <c r="L26" s="722"/>
      <c r="M26" s="551"/>
    </row>
    <row r="27" spans="1:13" ht="11.85" customHeight="1" x14ac:dyDescent="0.25">
      <c r="A27" s="553" t="s">
        <v>1880</v>
      </c>
      <c r="B27" s="720" t="s">
        <v>1812</v>
      </c>
      <c r="C27" s="721"/>
      <c r="D27" s="722"/>
      <c r="E27" s="720" t="s">
        <v>1815</v>
      </c>
      <c r="F27" s="721"/>
      <c r="G27" s="721"/>
      <c r="H27" s="721"/>
      <c r="I27" s="721"/>
      <c r="J27" s="721"/>
      <c r="K27" s="721"/>
      <c r="L27" s="722"/>
      <c r="M27" s="551"/>
    </row>
    <row r="28" spans="1:13" ht="11.85" customHeight="1" x14ac:dyDescent="0.25">
      <c r="A28" s="553" t="s">
        <v>1621</v>
      </c>
      <c r="B28" s="720" t="s">
        <v>1881</v>
      </c>
      <c r="C28" s="721"/>
      <c r="D28" s="722"/>
      <c r="E28" s="720" t="s">
        <v>825</v>
      </c>
      <c r="F28" s="721"/>
      <c r="G28" s="721"/>
      <c r="H28" s="721"/>
      <c r="I28" s="721"/>
      <c r="J28" s="721"/>
      <c r="K28" s="721"/>
      <c r="L28" s="722"/>
      <c r="M28" s="551"/>
    </row>
    <row r="29" spans="1:13" ht="11.1" customHeight="1" x14ac:dyDescent="0.25">
      <c r="A29" s="553" t="s">
        <v>1882</v>
      </c>
      <c r="B29" s="789" t="s">
        <v>825</v>
      </c>
      <c r="C29" s="790"/>
      <c r="D29" s="791"/>
      <c r="E29" s="789" t="s">
        <v>825</v>
      </c>
      <c r="F29" s="790"/>
      <c r="G29" s="790"/>
      <c r="H29" s="790"/>
      <c r="I29" s="790"/>
      <c r="J29" s="790"/>
      <c r="K29" s="790"/>
      <c r="L29" s="791"/>
      <c r="M29" s="551"/>
    </row>
    <row r="30" spans="1:13" ht="11.85" customHeight="1" x14ac:dyDescent="0.25">
      <c r="A30" s="553" t="s">
        <v>1883</v>
      </c>
      <c r="B30" s="720" t="s">
        <v>825</v>
      </c>
      <c r="C30" s="721"/>
      <c r="D30" s="722"/>
      <c r="E30" s="720" t="s">
        <v>825</v>
      </c>
      <c r="F30" s="721"/>
      <c r="G30" s="721"/>
      <c r="H30" s="721"/>
      <c r="I30" s="721"/>
      <c r="J30" s="721"/>
      <c r="K30" s="721"/>
      <c r="L30" s="722"/>
      <c r="M30" s="551"/>
    </row>
    <row r="31" spans="1:13" ht="11.85" customHeight="1" x14ac:dyDescent="0.25">
      <c r="A31" s="553" t="s">
        <v>1636</v>
      </c>
      <c r="B31" s="720" t="s">
        <v>825</v>
      </c>
      <c r="C31" s="721"/>
      <c r="D31" s="722"/>
      <c r="E31" s="720" t="s">
        <v>825</v>
      </c>
      <c r="F31" s="721"/>
      <c r="G31" s="721"/>
      <c r="H31" s="721"/>
      <c r="I31" s="721"/>
      <c r="J31" s="721"/>
      <c r="K31" s="721"/>
      <c r="L31" s="722"/>
      <c r="M31" s="551"/>
    </row>
    <row r="32" spans="1:13" ht="11.85" customHeight="1" x14ac:dyDescent="0.25">
      <c r="A32" s="554" t="s">
        <v>1658</v>
      </c>
      <c r="B32" s="727" t="s">
        <v>825</v>
      </c>
      <c r="C32" s="728"/>
      <c r="D32" s="729"/>
      <c r="E32" s="727" t="s">
        <v>825</v>
      </c>
      <c r="F32" s="728"/>
      <c r="G32" s="728"/>
      <c r="H32" s="728"/>
      <c r="I32" s="728"/>
      <c r="J32" s="728"/>
      <c r="K32" s="728"/>
      <c r="L32" s="729"/>
      <c r="M32" s="551"/>
    </row>
    <row r="33" spans="1:13" ht="11.1" customHeight="1" x14ac:dyDescent="0.25">
      <c r="A33" s="566" t="s">
        <v>1884</v>
      </c>
      <c r="B33" s="786" t="s">
        <v>1885</v>
      </c>
      <c r="C33" s="787"/>
      <c r="D33" s="788"/>
      <c r="E33" s="786" t="s">
        <v>1886</v>
      </c>
      <c r="F33" s="787"/>
      <c r="G33" s="787"/>
      <c r="H33" s="787"/>
      <c r="I33" s="787"/>
      <c r="J33" s="787"/>
      <c r="K33" s="787"/>
      <c r="L33" s="788"/>
      <c r="M33" s="551"/>
    </row>
    <row r="34" spans="1:13" ht="11.85" customHeight="1" x14ac:dyDescent="0.25">
      <c r="A34" s="559"/>
      <c r="B34" s="559"/>
      <c r="C34" s="559"/>
      <c r="D34" s="559"/>
      <c r="E34" s="559"/>
      <c r="F34" s="559"/>
      <c r="G34" s="559"/>
      <c r="H34" s="559"/>
      <c r="I34" s="559"/>
      <c r="J34" s="559"/>
      <c r="K34" s="559"/>
      <c r="L34" s="559"/>
    </row>
    <row r="35" spans="1:13" ht="34.700000000000003" customHeight="1" x14ac:dyDescent="0.25">
      <c r="A35" s="545" t="s">
        <v>1887</v>
      </c>
      <c r="B35" s="737" t="s">
        <v>1888</v>
      </c>
      <c r="C35" s="748"/>
      <c r="D35" s="737" t="s">
        <v>1889</v>
      </c>
      <c r="E35" s="748"/>
      <c r="F35" s="544" t="s">
        <v>1890</v>
      </c>
      <c r="G35" s="737" t="s">
        <v>1891</v>
      </c>
      <c r="H35" s="747"/>
      <c r="I35" s="748"/>
      <c r="J35" s="737" t="s">
        <v>1892</v>
      </c>
      <c r="K35" s="747"/>
      <c r="L35" s="748"/>
      <c r="M35" s="551"/>
    </row>
    <row r="36" spans="1:13" ht="11.85" customHeight="1" x14ac:dyDescent="0.25">
      <c r="A36" s="567" t="s">
        <v>1893</v>
      </c>
      <c r="B36" s="730" t="s">
        <v>1894</v>
      </c>
      <c r="C36" s="731"/>
      <c r="D36" s="730" t="s">
        <v>1895</v>
      </c>
      <c r="E36" s="731"/>
      <c r="F36" s="439" t="s">
        <v>1895</v>
      </c>
      <c r="G36" s="730" t="s">
        <v>1896</v>
      </c>
      <c r="H36" s="763"/>
      <c r="I36" s="731"/>
      <c r="J36" s="730" t="s">
        <v>825</v>
      </c>
      <c r="K36" s="763"/>
      <c r="L36" s="731"/>
      <c r="M36" s="560"/>
    </row>
    <row r="37" spans="1:13" ht="11.85" customHeight="1" x14ac:dyDescent="0.25">
      <c r="A37" s="553" t="s">
        <v>1897</v>
      </c>
      <c r="B37" s="718" t="s">
        <v>1898</v>
      </c>
      <c r="C37" s="719"/>
      <c r="D37" s="718" t="s">
        <v>1899</v>
      </c>
      <c r="E37" s="719"/>
      <c r="F37" s="438" t="s">
        <v>1899</v>
      </c>
      <c r="G37" s="718" t="s">
        <v>1900</v>
      </c>
      <c r="H37" s="761"/>
      <c r="I37" s="719"/>
      <c r="J37" s="718" t="s">
        <v>825</v>
      </c>
      <c r="K37" s="761"/>
      <c r="L37" s="719"/>
      <c r="M37" s="560"/>
    </row>
    <row r="38" spans="1:13" ht="11.85" customHeight="1" x14ac:dyDescent="0.25">
      <c r="A38" s="553" t="s">
        <v>1901</v>
      </c>
      <c r="B38" s="718" t="s">
        <v>1902</v>
      </c>
      <c r="C38" s="719"/>
      <c r="D38" s="718" t="s">
        <v>1903</v>
      </c>
      <c r="E38" s="719"/>
      <c r="F38" s="438" t="s">
        <v>1903</v>
      </c>
      <c r="G38" s="718" t="s">
        <v>1904</v>
      </c>
      <c r="H38" s="761"/>
      <c r="I38" s="719"/>
      <c r="J38" s="718" t="s">
        <v>825</v>
      </c>
      <c r="K38" s="761"/>
      <c r="L38" s="719"/>
      <c r="M38" s="560"/>
    </row>
    <row r="39" spans="1:13" ht="11.1" customHeight="1" x14ac:dyDescent="0.25">
      <c r="A39" s="565" t="s">
        <v>1905</v>
      </c>
      <c r="B39" s="718" t="s">
        <v>825</v>
      </c>
      <c r="C39" s="719"/>
      <c r="D39" s="718" t="s">
        <v>825</v>
      </c>
      <c r="E39" s="719"/>
      <c r="F39" s="438" t="s">
        <v>825</v>
      </c>
      <c r="G39" s="718" t="s">
        <v>825</v>
      </c>
      <c r="H39" s="761"/>
      <c r="I39" s="719"/>
      <c r="J39" s="718" t="s">
        <v>825</v>
      </c>
      <c r="K39" s="761"/>
      <c r="L39" s="719"/>
      <c r="M39" s="560"/>
    </row>
    <row r="40" spans="1:13" ht="11.85" customHeight="1" x14ac:dyDescent="0.25">
      <c r="A40" s="553" t="s">
        <v>1877</v>
      </c>
      <c r="B40" s="718" t="s">
        <v>825</v>
      </c>
      <c r="C40" s="719"/>
      <c r="D40" s="718" t="s">
        <v>825</v>
      </c>
      <c r="E40" s="719"/>
      <c r="F40" s="438" t="s">
        <v>825</v>
      </c>
      <c r="G40" s="718" t="s">
        <v>825</v>
      </c>
      <c r="H40" s="761"/>
      <c r="I40" s="719"/>
      <c r="J40" s="718" t="s">
        <v>825</v>
      </c>
      <c r="K40" s="761"/>
      <c r="L40" s="719"/>
      <c r="M40" s="560"/>
    </row>
    <row r="41" spans="1:13" ht="11.85" customHeight="1" x14ac:dyDescent="0.25">
      <c r="A41" s="554" t="s">
        <v>1906</v>
      </c>
      <c r="B41" s="725" t="s">
        <v>825</v>
      </c>
      <c r="C41" s="726"/>
      <c r="D41" s="725" t="s">
        <v>825</v>
      </c>
      <c r="E41" s="726"/>
      <c r="F41" s="561" t="s">
        <v>825</v>
      </c>
      <c r="G41" s="725" t="s">
        <v>825</v>
      </c>
      <c r="H41" s="762"/>
      <c r="I41" s="726"/>
      <c r="J41" s="725" t="s">
        <v>825</v>
      </c>
      <c r="K41" s="762"/>
      <c r="L41" s="726"/>
      <c r="M41" s="560"/>
    </row>
    <row r="42" spans="1:13" ht="11.85" customHeight="1" x14ac:dyDescent="0.25">
      <c r="A42" s="566" t="s">
        <v>1907</v>
      </c>
      <c r="B42" s="770" t="s">
        <v>1894</v>
      </c>
      <c r="C42" s="771"/>
      <c r="D42" s="770" t="s">
        <v>1895</v>
      </c>
      <c r="E42" s="771"/>
      <c r="F42" s="568" t="s">
        <v>1895</v>
      </c>
      <c r="G42" s="770" t="s">
        <v>1896</v>
      </c>
      <c r="H42" s="772"/>
      <c r="I42" s="771"/>
      <c r="J42" s="770" t="s">
        <v>825</v>
      </c>
      <c r="K42" s="772"/>
      <c r="L42" s="771"/>
      <c r="M42" s="560"/>
    </row>
    <row r="43" spans="1:13" ht="11.1" customHeight="1" x14ac:dyDescent="0.25">
      <c r="A43" s="566" t="s">
        <v>1908</v>
      </c>
      <c r="B43" s="770" t="s">
        <v>1909</v>
      </c>
      <c r="C43" s="771"/>
      <c r="D43" s="770" t="s">
        <v>1910</v>
      </c>
      <c r="E43" s="771"/>
      <c r="F43" s="568" t="s">
        <v>1910</v>
      </c>
      <c r="G43" s="770" t="s">
        <v>1911</v>
      </c>
      <c r="H43" s="772"/>
      <c r="I43" s="771"/>
      <c r="J43" s="758"/>
      <c r="K43" s="760"/>
      <c r="L43" s="759"/>
      <c r="M43" s="560"/>
    </row>
    <row r="44" spans="1:13" ht="5.85" customHeight="1" x14ac:dyDescent="0.25">
      <c r="A44" s="564"/>
      <c r="B44" s="564"/>
      <c r="C44" s="564"/>
      <c r="D44" s="564"/>
      <c r="E44" s="564"/>
      <c r="F44" s="564"/>
      <c r="G44" s="564"/>
      <c r="H44" s="564"/>
      <c r="I44" s="564"/>
      <c r="J44" s="564"/>
      <c r="K44" s="564"/>
      <c r="L44" s="564"/>
    </row>
    <row r="45" spans="1:13" ht="11.85" customHeight="1" x14ac:dyDescent="0.25">
      <c r="A45" s="774" t="s">
        <v>1912</v>
      </c>
      <c r="B45" s="774"/>
      <c r="C45" s="774"/>
      <c r="D45" s="774"/>
      <c r="E45" s="774"/>
      <c r="F45" s="774"/>
      <c r="G45" s="774"/>
      <c r="H45" s="774"/>
      <c r="I45" s="774"/>
      <c r="J45" s="774"/>
      <c r="K45" s="774"/>
      <c r="L45" s="774"/>
    </row>
    <row r="46" spans="1:13" ht="11.85" customHeight="1" x14ac:dyDescent="0.25">
      <c r="A46" s="746" t="s">
        <v>833</v>
      </c>
      <c r="B46" s="746"/>
      <c r="L46" s="549" t="s">
        <v>1913</v>
      </c>
    </row>
    <row r="47" spans="1:13" ht="11.1" customHeight="1" x14ac:dyDescent="0.25">
      <c r="A47" s="746" t="s">
        <v>1840</v>
      </c>
      <c r="B47" s="746"/>
    </row>
    <row r="48" spans="1:13" ht="11.85" customHeight="1" x14ac:dyDescent="0.25">
      <c r="A48" s="754" t="s">
        <v>1841</v>
      </c>
      <c r="B48" s="754"/>
      <c r="C48" s="754"/>
      <c r="D48" s="754"/>
      <c r="E48" s="754"/>
      <c r="F48" s="754"/>
      <c r="G48" s="754"/>
      <c r="H48" s="754"/>
    </row>
    <row r="49" spans="1:13" ht="11.85" customHeight="1" x14ac:dyDescent="0.25">
      <c r="A49" s="746" t="s">
        <v>1842</v>
      </c>
      <c r="B49" s="746"/>
    </row>
    <row r="50" spans="1:13" ht="11.85" customHeight="1" x14ac:dyDescent="0.25">
      <c r="A50" s="746" t="s">
        <v>920</v>
      </c>
      <c r="B50" s="746"/>
    </row>
    <row r="51" spans="1:13" ht="5.85" customHeight="1" x14ac:dyDescent="0.25"/>
    <row r="52" spans="1:13" ht="11.1" customHeight="1" x14ac:dyDescent="0.25">
      <c r="A52" s="749" t="s">
        <v>1843</v>
      </c>
      <c r="B52" s="749"/>
      <c r="C52" s="550"/>
      <c r="D52" s="550"/>
      <c r="E52" s="550"/>
      <c r="F52" s="550"/>
      <c r="G52" s="550"/>
      <c r="H52" s="775" t="s">
        <v>922</v>
      </c>
      <c r="I52" s="775"/>
      <c r="J52" s="775"/>
      <c r="K52" s="775"/>
      <c r="L52" s="775"/>
    </row>
    <row r="53" spans="1:13" ht="11.85" customHeight="1" x14ac:dyDescent="0.25">
      <c r="A53" s="569" t="s">
        <v>1914</v>
      </c>
      <c r="B53" s="742" t="s">
        <v>1915</v>
      </c>
      <c r="C53" s="743"/>
      <c r="D53" s="743"/>
      <c r="E53" s="743"/>
      <c r="F53" s="743"/>
      <c r="G53" s="743"/>
      <c r="H53" s="743"/>
      <c r="I53" s="743"/>
      <c r="J53" s="743"/>
      <c r="K53" s="743"/>
      <c r="L53" s="744"/>
      <c r="M53" s="745"/>
    </row>
    <row r="54" spans="1:13" ht="11.85" customHeight="1" x14ac:dyDescent="0.25">
      <c r="A54" s="570" t="s">
        <v>1076</v>
      </c>
      <c r="B54" s="783" t="s">
        <v>825</v>
      </c>
      <c r="C54" s="784"/>
      <c r="D54" s="784"/>
      <c r="E54" s="784"/>
      <c r="F54" s="784"/>
      <c r="G54" s="784"/>
      <c r="H54" s="784"/>
      <c r="I54" s="784"/>
      <c r="J54" s="784"/>
      <c r="K54" s="784"/>
      <c r="L54" s="785"/>
      <c r="M54" s="745"/>
    </row>
    <row r="55" spans="1:13" ht="5.85" customHeight="1" x14ac:dyDescent="0.25">
      <c r="A55" s="746"/>
      <c r="B55" s="782"/>
      <c r="C55" s="782"/>
      <c r="D55" s="782"/>
      <c r="E55" s="782"/>
      <c r="F55" s="782"/>
      <c r="G55" s="782"/>
      <c r="H55" s="782"/>
      <c r="I55" s="782"/>
      <c r="J55" s="782"/>
      <c r="K55" s="782"/>
      <c r="L55" s="782"/>
      <c r="M55" s="746"/>
    </row>
    <row r="56" spans="1:13" ht="11.1" customHeight="1" x14ac:dyDescent="0.25">
      <c r="A56" s="569" t="s">
        <v>1916</v>
      </c>
      <c r="B56" s="742" t="s">
        <v>1915</v>
      </c>
      <c r="C56" s="743"/>
      <c r="D56" s="743"/>
      <c r="E56" s="743"/>
      <c r="F56" s="743"/>
      <c r="G56" s="743"/>
      <c r="H56" s="743"/>
      <c r="I56" s="743"/>
      <c r="J56" s="743"/>
      <c r="K56" s="743"/>
      <c r="L56" s="744"/>
      <c r="M56" s="745"/>
    </row>
    <row r="57" spans="1:13" ht="11.85" customHeight="1" x14ac:dyDescent="0.25">
      <c r="A57" s="570" t="s">
        <v>1076</v>
      </c>
      <c r="B57" s="783" t="s">
        <v>1798</v>
      </c>
      <c r="C57" s="784"/>
      <c r="D57" s="784"/>
      <c r="E57" s="784"/>
      <c r="F57" s="784"/>
      <c r="G57" s="784"/>
      <c r="H57" s="784"/>
      <c r="I57" s="784"/>
      <c r="J57" s="784"/>
      <c r="K57" s="784"/>
      <c r="L57" s="785"/>
      <c r="M57" s="745"/>
    </row>
    <row r="58" spans="1:13" ht="5.85" customHeight="1" x14ac:dyDescent="0.25">
      <c r="A58" s="746"/>
      <c r="B58" s="782"/>
      <c r="C58" s="782"/>
      <c r="D58" s="782"/>
      <c r="E58" s="782"/>
      <c r="F58" s="782"/>
      <c r="G58" s="782"/>
      <c r="H58" s="782"/>
      <c r="I58" s="782"/>
      <c r="J58" s="782"/>
      <c r="K58" s="782"/>
      <c r="L58" s="782"/>
      <c r="M58" s="746"/>
    </row>
    <row r="59" spans="1:13" ht="23.65" customHeight="1" x14ac:dyDescent="0.25">
      <c r="A59" s="545" t="s">
        <v>1917</v>
      </c>
      <c r="B59" s="742" t="s">
        <v>1918</v>
      </c>
      <c r="C59" s="743"/>
      <c r="D59" s="743"/>
      <c r="E59" s="743"/>
      <c r="F59" s="743"/>
      <c r="G59" s="743"/>
      <c r="H59" s="743"/>
      <c r="I59" s="743"/>
      <c r="J59" s="743"/>
      <c r="K59" s="743"/>
      <c r="L59" s="744"/>
      <c r="M59" s="551"/>
    </row>
    <row r="60" spans="1:13" ht="11.1" customHeight="1" x14ac:dyDescent="0.25">
      <c r="A60" s="552" t="s">
        <v>1919</v>
      </c>
      <c r="B60" s="730" t="s">
        <v>825</v>
      </c>
      <c r="C60" s="763"/>
      <c r="D60" s="763"/>
      <c r="E60" s="763"/>
      <c r="F60" s="763"/>
      <c r="G60" s="763"/>
      <c r="H60" s="763"/>
      <c r="I60" s="763"/>
      <c r="J60" s="763"/>
      <c r="K60" s="763"/>
      <c r="L60" s="731"/>
      <c r="M60" s="551"/>
    </row>
    <row r="61" spans="1:13" ht="11.85" customHeight="1" x14ac:dyDescent="0.25">
      <c r="A61" s="553" t="s">
        <v>1920</v>
      </c>
      <c r="B61" s="718" t="s">
        <v>825</v>
      </c>
      <c r="C61" s="761"/>
      <c r="D61" s="761"/>
      <c r="E61" s="761"/>
      <c r="F61" s="761"/>
      <c r="G61" s="761"/>
      <c r="H61" s="761"/>
      <c r="I61" s="761"/>
      <c r="J61" s="761"/>
      <c r="K61" s="761"/>
      <c r="L61" s="719"/>
      <c r="M61" s="551"/>
    </row>
    <row r="62" spans="1:13" ht="11.85" customHeight="1" x14ac:dyDescent="0.25">
      <c r="A62" s="553" t="s">
        <v>1921</v>
      </c>
      <c r="B62" s="718" t="s">
        <v>825</v>
      </c>
      <c r="C62" s="761"/>
      <c r="D62" s="761"/>
      <c r="E62" s="761"/>
      <c r="F62" s="761"/>
      <c r="G62" s="761"/>
      <c r="H62" s="761"/>
      <c r="I62" s="761"/>
      <c r="J62" s="761"/>
      <c r="K62" s="761"/>
      <c r="L62" s="719"/>
      <c r="M62" s="551"/>
    </row>
    <row r="63" spans="1:13" ht="11.85" customHeight="1" x14ac:dyDescent="0.25">
      <c r="A63" s="554" t="s">
        <v>1922</v>
      </c>
      <c r="B63" s="725" t="s">
        <v>825</v>
      </c>
      <c r="C63" s="762"/>
      <c r="D63" s="762"/>
      <c r="E63" s="762"/>
      <c r="F63" s="762"/>
      <c r="G63" s="762"/>
      <c r="H63" s="762"/>
      <c r="I63" s="762"/>
      <c r="J63" s="762"/>
      <c r="K63" s="762"/>
      <c r="L63" s="726"/>
      <c r="M63" s="551"/>
    </row>
    <row r="64" spans="1:13" ht="5.0999999999999996" customHeight="1" x14ac:dyDescent="0.25">
      <c r="A64" s="746"/>
      <c r="B64" s="782"/>
      <c r="C64" s="782"/>
      <c r="D64" s="782"/>
      <c r="E64" s="782"/>
      <c r="F64" s="782"/>
      <c r="G64" s="782"/>
      <c r="H64" s="782"/>
      <c r="I64" s="782"/>
      <c r="J64" s="782"/>
      <c r="K64" s="782"/>
      <c r="L64" s="782"/>
      <c r="M64" s="746"/>
    </row>
    <row r="65" spans="1:13" ht="11.85" customHeight="1" x14ac:dyDescent="0.25">
      <c r="A65" s="545" t="s">
        <v>1923</v>
      </c>
      <c r="B65" s="742" t="s">
        <v>1924</v>
      </c>
      <c r="C65" s="743"/>
      <c r="D65" s="743"/>
      <c r="E65" s="743"/>
      <c r="F65" s="743"/>
      <c r="G65" s="743"/>
      <c r="H65" s="743"/>
      <c r="I65" s="743"/>
      <c r="J65" s="743"/>
      <c r="K65" s="743"/>
      <c r="L65" s="744"/>
      <c r="M65" s="551"/>
    </row>
    <row r="66" spans="1:13" ht="11.85" customHeight="1" x14ac:dyDescent="0.25">
      <c r="A66" s="552" t="s">
        <v>1925</v>
      </c>
      <c r="B66" s="730" t="s">
        <v>1926</v>
      </c>
      <c r="C66" s="763"/>
      <c r="D66" s="763"/>
      <c r="E66" s="763"/>
      <c r="F66" s="763"/>
      <c r="G66" s="763"/>
      <c r="H66" s="763"/>
      <c r="I66" s="763"/>
      <c r="J66" s="763"/>
      <c r="K66" s="763"/>
      <c r="L66" s="731"/>
      <c r="M66" s="551"/>
    </row>
    <row r="67" spans="1:13" ht="11.85" customHeight="1" x14ac:dyDescent="0.25">
      <c r="A67" s="553" t="s">
        <v>1927</v>
      </c>
      <c r="B67" s="718" t="s">
        <v>1928</v>
      </c>
      <c r="C67" s="761"/>
      <c r="D67" s="761"/>
      <c r="E67" s="761"/>
      <c r="F67" s="761"/>
      <c r="G67" s="761"/>
      <c r="H67" s="761"/>
      <c r="I67" s="761"/>
      <c r="J67" s="761"/>
      <c r="K67" s="761"/>
      <c r="L67" s="719"/>
      <c r="M67" s="551"/>
    </row>
    <row r="68" spans="1:13" ht="11.1" customHeight="1" x14ac:dyDescent="0.25">
      <c r="A68" s="554" t="s">
        <v>1929</v>
      </c>
      <c r="B68" s="725" t="s">
        <v>1930</v>
      </c>
      <c r="C68" s="762"/>
      <c r="D68" s="762"/>
      <c r="E68" s="762"/>
      <c r="F68" s="762"/>
      <c r="G68" s="762"/>
      <c r="H68" s="762"/>
      <c r="I68" s="762"/>
      <c r="J68" s="762"/>
      <c r="K68" s="762"/>
      <c r="L68" s="726"/>
      <c r="M68" s="551"/>
    </row>
    <row r="69" spans="1:13" x14ac:dyDescent="0.25">
      <c r="A69" s="564"/>
      <c r="B69" s="564"/>
      <c r="C69" s="564"/>
      <c r="D69" s="564"/>
      <c r="E69" s="564"/>
      <c r="F69" s="564"/>
      <c r="G69" s="564"/>
      <c r="H69" s="564"/>
      <c r="I69" s="564"/>
      <c r="J69" s="564"/>
      <c r="K69" s="564"/>
      <c r="L69" s="564"/>
    </row>
    <row r="73" spans="1:13" ht="11.85" customHeight="1" x14ac:dyDescent="0.25">
      <c r="A73" s="774" t="s">
        <v>1912</v>
      </c>
      <c r="B73" s="774"/>
      <c r="C73" s="774"/>
      <c r="D73" s="774"/>
      <c r="E73" s="774"/>
      <c r="F73" s="774"/>
      <c r="G73" s="774"/>
      <c r="H73" s="774"/>
      <c r="I73" s="774"/>
      <c r="J73" s="774"/>
      <c r="K73" s="774"/>
      <c r="L73" s="774"/>
    </row>
    <row r="74" spans="1:13" ht="11.85" customHeight="1" x14ac:dyDescent="0.25">
      <c r="A74" s="746" t="s">
        <v>833</v>
      </c>
      <c r="B74" s="746"/>
      <c r="L74" s="549" t="s">
        <v>1931</v>
      </c>
    </row>
    <row r="75" spans="1:13" ht="11.1" customHeight="1" x14ac:dyDescent="0.25">
      <c r="A75" s="746" t="s">
        <v>1840</v>
      </c>
      <c r="B75" s="746"/>
    </row>
    <row r="76" spans="1:13" ht="11.85" customHeight="1" x14ac:dyDescent="0.25">
      <c r="A76" s="754" t="s">
        <v>1841</v>
      </c>
      <c r="B76" s="754"/>
      <c r="C76" s="754"/>
      <c r="D76" s="754"/>
      <c r="E76" s="754"/>
      <c r="F76" s="754"/>
      <c r="G76" s="754"/>
      <c r="H76" s="754"/>
    </row>
    <row r="77" spans="1:13" ht="11.85" customHeight="1" x14ac:dyDescent="0.25">
      <c r="A77" s="746" t="s">
        <v>1842</v>
      </c>
      <c r="B77" s="746"/>
    </row>
    <row r="78" spans="1:13" ht="11.85" customHeight="1" x14ac:dyDescent="0.25">
      <c r="A78" s="746" t="s">
        <v>920</v>
      </c>
      <c r="B78" s="746"/>
    </row>
    <row r="79" spans="1:13" ht="5.85" customHeight="1" x14ac:dyDescent="0.25"/>
    <row r="80" spans="1:13" ht="11.1" customHeight="1" x14ac:dyDescent="0.25">
      <c r="A80" s="749" t="s">
        <v>1843</v>
      </c>
      <c r="B80" s="749"/>
      <c r="C80" s="550"/>
      <c r="D80" s="550"/>
      <c r="E80" s="550"/>
      <c r="F80" s="550"/>
      <c r="G80" s="550"/>
      <c r="H80" s="775" t="s">
        <v>922</v>
      </c>
      <c r="I80" s="775"/>
      <c r="J80" s="775"/>
      <c r="K80" s="775"/>
      <c r="L80" s="775"/>
    </row>
    <row r="81" spans="1:13" ht="11.85" customHeight="1" x14ac:dyDescent="0.25">
      <c r="A81" s="742" t="s">
        <v>1932</v>
      </c>
      <c r="B81" s="743"/>
      <c r="C81" s="743"/>
      <c r="D81" s="743"/>
      <c r="E81" s="743"/>
      <c r="F81" s="743"/>
      <c r="G81" s="743"/>
      <c r="H81" s="743"/>
      <c r="I81" s="743"/>
      <c r="J81" s="743"/>
      <c r="K81" s="743"/>
      <c r="L81" s="744"/>
      <c r="M81" s="551"/>
    </row>
    <row r="82" spans="1:13" ht="28.9" customHeight="1" x14ac:dyDescent="0.25">
      <c r="A82" s="545" t="s">
        <v>1933</v>
      </c>
      <c r="B82" s="737" t="s">
        <v>1847</v>
      </c>
      <c r="C82" s="748"/>
      <c r="D82" s="737" t="s">
        <v>1848</v>
      </c>
      <c r="E82" s="747"/>
      <c r="F82" s="747"/>
      <c r="G82" s="747"/>
      <c r="H82" s="747"/>
      <c r="I82" s="747"/>
      <c r="J82" s="747"/>
      <c r="K82" s="747"/>
      <c r="L82" s="748"/>
      <c r="M82" s="551"/>
    </row>
    <row r="83" spans="1:13" ht="11.85" customHeight="1" x14ac:dyDescent="0.25">
      <c r="A83" s="552" t="s">
        <v>1934</v>
      </c>
      <c r="B83" s="779" t="s">
        <v>825</v>
      </c>
      <c r="C83" s="780"/>
      <c r="D83" s="779" t="s">
        <v>825</v>
      </c>
      <c r="E83" s="781"/>
      <c r="F83" s="781"/>
      <c r="G83" s="781"/>
      <c r="H83" s="781"/>
      <c r="I83" s="781"/>
      <c r="J83" s="781"/>
      <c r="K83" s="781"/>
      <c r="L83" s="780"/>
      <c r="M83" s="551"/>
    </row>
    <row r="84" spans="1:13" ht="11.85" customHeight="1" x14ac:dyDescent="0.25">
      <c r="A84" s="565" t="s">
        <v>1851</v>
      </c>
      <c r="B84" s="776" t="s">
        <v>825</v>
      </c>
      <c r="C84" s="777"/>
      <c r="D84" s="776" t="s">
        <v>825</v>
      </c>
      <c r="E84" s="778"/>
      <c r="F84" s="778"/>
      <c r="G84" s="778"/>
      <c r="H84" s="778"/>
      <c r="I84" s="778"/>
      <c r="J84" s="778"/>
      <c r="K84" s="778"/>
      <c r="L84" s="777"/>
      <c r="M84" s="551"/>
    </row>
    <row r="85" spans="1:13" ht="11.85" customHeight="1" x14ac:dyDescent="0.25">
      <c r="A85" s="553" t="s">
        <v>1853</v>
      </c>
      <c r="B85" s="718" t="s">
        <v>825</v>
      </c>
      <c r="C85" s="719"/>
      <c r="D85" s="718" t="s">
        <v>825</v>
      </c>
      <c r="E85" s="761"/>
      <c r="F85" s="761"/>
      <c r="G85" s="761"/>
      <c r="H85" s="761"/>
      <c r="I85" s="761"/>
      <c r="J85" s="761"/>
      <c r="K85" s="761"/>
      <c r="L85" s="719"/>
      <c r="M85" s="551"/>
    </row>
    <row r="86" spans="1:13" ht="11.1" customHeight="1" x14ac:dyDescent="0.25">
      <c r="A86" s="553" t="s">
        <v>1856</v>
      </c>
      <c r="B86" s="718" t="s">
        <v>825</v>
      </c>
      <c r="C86" s="719"/>
      <c r="D86" s="718" t="s">
        <v>825</v>
      </c>
      <c r="E86" s="761"/>
      <c r="F86" s="761"/>
      <c r="G86" s="761"/>
      <c r="H86" s="761"/>
      <c r="I86" s="761"/>
      <c r="J86" s="761"/>
      <c r="K86" s="761"/>
      <c r="L86" s="719"/>
      <c r="M86" s="551"/>
    </row>
    <row r="87" spans="1:13" ht="11.85" customHeight="1" x14ac:dyDescent="0.25">
      <c r="A87" s="553" t="s">
        <v>1859</v>
      </c>
      <c r="B87" s="718" t="s">
        <v>825</v>
      </c>
      <c r="C87" s="719"/>
      <c r="D87" s="718" t="s">
        <v>825</v>
      </c>
      <c r="E87" s="761"/>
      <c r="F87" s="761"/>
      <c r="G87" s="761"/>
      <c r="H87" s="761"/>
      <c r="I87" s="761"/>
      <c r="J87" s="761"/>
      <c r="K87" s="761"/>
      <c r="L87" s="719"/>
      <c r="M87" s="551"/>
    </row>
    <row r="88" spans="1:13" ht="11.85" customHeight="1" x14ac:dyDescent="0.25">
      <c r="A88" s="565" t="s">
        <v>1862</v>
      </c>
      <c r="B88" s="776" t="s">
        <v>825</v>
      </c>
      <c r="C88" s="777"/>
      <c r="D88" s="776" t="s">
        <v>825</v>
      </c>
      <c r="E88" s="778"/>
      <c r="F88" s="778"/>
      <c r="G88" s="778"/>
      <c r="H88" s="778"/>
      <c r="I88" s="778"/>
      <c r="J88" s="778"/>
      <c r="K88" s="778"/>
      <c r="L88" s="777"/>
      <c r="M88" s="551"/>
    </row>
    <row r="89" spans="1:13" ht="11.85" customHeight="1" x14ac:dyDescent="0.25">
      <c r="A89" s="553" t="s">
        <v>1853</v>
      </c>
      <c r="B89" s="718" t="s">
        <v>825</v>
      </c>
      <c r="C89" s="719"/>
      <c r="D89" s="718" t="s">
        <v>825</v>
      </c>
      <c r="E89" s="761"/>
      <c r="F89" s="761"/>
      <c r="G89" s="761"/>
      <c r="H89" s="761"/>
      <c r="I89" s="761"/>
      <c r="J89" s="761"/>
      <c r="K89" s="761"/>
      <c r="L89" s="719"/>
      <c r="M89" s="551"/>
    </row>
    <row r="90" spans="1:13" ht="11.1" customHeight="1" x14ac:dyDescent="0.25">
      <c r="A90" s="553" t="s">
        <v>1856</v>
      </c>
      <c r="B90" s="718" t="s">
        <v>825</v>
      </c>
      <c r="C90" s="719"/>
      <c r="D90" s="718" t="s">
        <v>825</v>
      </c>
      <c r="E90" s="761"/>
      <c r="F90" s="761"/>
      <c r="G90" s="761"/>
      <c r="H90" s="761"/>
      <c r="I90" s="761"/>
      <c r="J90" s="761"/>
      <c r="K90" s="761"/>
      <c r="L90" s="719"/>
      <c r="M90" s="551"/>
    </row>
    <row r="91" spans="1:13" ht="11.85" customHeight="1" x14ac:dyDescent="0.25">
      <c r="A91" s="553" t="s">
        <v>1859</v>
      </c>
      <c r="B91" s="718" t="s">
        <v>825</v>
      </c>
      <c r="C91" s="719"/>
      <c r="D91" s="718" t="s">
        <v>825</v>
      </c>
      <c r="E91" s="761"/>
      <c r="F91" s="761"/>
      <c r="G91" s="761"/>
      <c r="H91" s="761"/>
      <c r="I91" s="761"/>
      <c r="J91" s="761"/>
      <c r="K91" s="761"/>
      <c r="L91" s="719"/>
      <c r="M91" s="551"/>
    </row>
    <row r="92" spans="1:13" ht="11.85" customHeight="1" x14ac:dyDescent="0.25">
      <c r="A92" s="565" t="s">
        <v>846</v>
      </c>
      <c r="B92" s="776" t="s">
        <v>825</v>
      </c>
      <c r="C92" s="777"/>
      <c r="D92" s="776" t="s">
        <v>825</v>
      </c>
      <c r="E92" s="778"/>
      <c r="F92" s="778"/>
      <c r="G92" s="778"/>
      <c r="H92" s="778"/>
      <c r="I92" s="778"/>
      <c r="J92" s="778"/>
      <c r="K92" s="778"/>
      <c r="L92" s="777"/>
      <c r="M92" s="551"/>
    </row>
    <row r="93" spans="1:13" ht="11.85" customHeight="1" x14ac:dyDescent="0.25">
      <c r="A93" s="553" t="s">
        <v>1873</v>
      </c>
      <c r="B93" s="718" t="s">
        <v>825</v>
      </c>
      <c r="C93" s="719"/>
      <c r="D93" s="718" t="s">
        <v>825</v>
      </c>
      <c r="E93" s="761"/>
      <c r="F93" s="761"/>
      <c r="G93" s="761"/>
      <c r="H93" s="761"/>
      <c r="I93" s="761"/>
      <c r="J93" s="761"/>
      <c r="K93" s="761"/>
      <c r="L93" s="719"/>
      <c r="M93" s="551"/>
    </row>
    <row r="94" spans="1:13" ht="11.1" customHeight="1" x14ac:dyDescent="0.25">
      <c r="A94" s="553" t="s">
        <v>1874</v>
      </c>
      <c r="B94" s="718" t="s">
        <v>825</v>
      </c>
      <c r="C94" s="719"/>
      <c r="D94" s="718" t="s">
        <v>825</v>
      </c>
      <c r="E94" s="761"/>
      <c r="F94" s="761"/>
      <c r="G94" s="761"/>
      <c r="H94" s="761"/>
      <c r="I94" s="761"/>
      <c r="J94" s="761"/>
      <c r="K94" s="761"/>
      <c r="L94" s="719"/>
      <c r="M94" s="551"/>
    </row>
    <row r="95" spans="1:13" ht="11.85" customHeight="1" x14ac:dyDescent="0.25">
      <c r="A95" s="553" t="s">
        <v>849</v>
      </c>
      <c r="B95" s="718" t="s">
        <v>825</v>
      </c>
      <c r="C95" s="719"/>
      <c r="D95" s="718" t="s">
        <v>825</v>
      </c>
      <c r="E95" s="761"/>
      <c r="F95" s="761"/>
      <c r="G95" s="761"/>
      <c r="H95" s="761"/>
      <c r="I95" s="761"/>
      <c r="J95" s="761"/>
      <c r="K95" s="761"/>
      <c r="L95" s="719"/>
      <c r="M95" s="551"/>
    </row>
    <row r="96" spans="1:13" ht="11.85" customHeight="1" x14ac:dyDescent="0.25">
      <c r="A96" s="565" t="s">
        <v>853</v>
      </c>
      <c r="B96" s="776" t="s">
        <v>825</v>
      </c>
      <c r="C96" s="777"/>
      <c r="D96" s="776" t="s">
        <v>825</v>
      </c>
      <c r="E96" s="778"/>
      <c r="F96" s="778"/>
      <c r="G96" s="778"/>
      <c r="H96" s="778"/>
      <c r="I96" s="778"/>
      <c r="J96" s="778"/>
      <c r="K96" s="778"/>
      <c r="L96" s="777"/>
      <c r="M96" s="551"/>
    </row>
    <row r="97" spans="1:13" ht="11.85" customHeight="1" x14ac:dyDescent="0.25">
      <c r="A97" s="565" t="s">
        <v>869</v>
      </c>
      <c r="B97" s="776" t="s">
        <v>825</v>
      </c>
      <c r="C97" s="777"/>
      <c r="D97" s="776" t="s">
        <v>825</v>
      </c>
      <c r="E97" s="778"/>
      <c r="F97" s="778"/>
      <c r="G97" s="778"/>
      <c r="H97" s="778"/>
      <c r="I97" s="778"/>
      <c r="J97" s="778"/>
      <c r="K97" s="778"/>
      <c r="L97" s="777"/>
      <c r="M97" s="551"/>
    </row>
    <row r="98" spans="1:13" ht="11.1" customHeight="1" x14ac:dyDescent="0.25">
      <c r="A98" s="553" t="s">
        <v>1935</v>
      </c>
      <c r="B98" s="718" t="s">
        <v>825</v>
      </c>
      <c r="C98" s="719"/>
      <c r="D98" s="718" t="s">
        <v>825</v>
      </c>
      <c r="E98" s="761"/>
      <c r="F98" s="761"/>
      <c r="G98" s="761"/>
      <c r="H98" s="761"/>
      <c r="I98" s="761"/>
      <c r="J98" s="761"/>
      <c r="K98" s="761"/>
      <c r="L98" s="719"/>
      <c r="M98" s="551"/>
    </row>
    <row r="99" spans="1:13" ht="11.85" customHeight="1" x14ac:dyDescent="0.25">
      <c r="A99" s="553" t="s">
        <v>1621</v>
      </c>
      <c r="B99" s="718" t="s">
        <v>825</v>
      </c>
      <c r="C99" s="719"/>
      <c r="D99" s="718" t="s">
        <v>825</v>
      </c>
      <c r="E99" s="761"/>
      <c r="F99" s="761"/>
      <c r="G99" s="761"/>
      <c r="H99" s="761"/>
      <c r="I99" s="761"/>
      <c r="J99" s="761"/>
      <c r="K99" s="761"/>
      <c r="L99" s="719"/>
      <c r="M99" s="551"/>
    </row>
    <row r="100" spans="1:13" ht="11.85" customHeight="1" x14ac:dyDescent="0.25">
      <c r="A100" s="553" t="s">
        <v>1936</v>
      </c>
      <c r="B100" s="776" t="s">
        <v>825</v>
      </c>
      <c r="C100" s="777"/>
      <c r="D100" s="776" t="s">
        <v>825</v>
      </c>
      <c r="E100" s="778"/>
      <c r="F100" s="778"/>
      <c r="G100" s="778"/>
      <c r="H100" s="778"/>
      <c r="I100" s="778"/>
      <c r="J100" s="778"/>
      <c r="K100" s="778"/>
      <c r="L100" s="777"/>
      <c r="M100" s="551"/>
    </row>
    <row r="101" spans="1:13" ht="11.85" customHeight="1" x14ac:dyDescent="0.25">
      <c r="A101" s="553" t="s">
        <v>1883</v>
      </c>
      <c r="B101" s="718" t="s">
        <v>825</v>
      </c>
      <c r="C101" s="719"/>
      <c r="D101" s="718" t="s">
        <v>825</v>
      </c>
      <c r="E101" s="761"/>
      <c r="F101" s="761"/>
      <c r="G101" s="761"/>
      <c r="H101" s="761"/>
      <c r="I101" s="761"/>
      <c r="J101" s="761"/>
      <c r="K101" s="761"/>
      <c r="L101" s="719"/>
      <c r="M101" s="551"/>
    </row>
    <row r="102" spans="1:13" ht="11.1" customHeight="1" x14ac:dyDescent="0.25">
      <c r="A102" s="553" t="s">
        <v>1636</v>
      </c>
      <c r="B102" s="718" t="s">
        <v>825</v>
      </c>
      <c r="C102" s="719"/>
      <c r="D102" s="718" t="s">
        <v>825</v>
      </c>
      <c r="E102" s="761"/>
      <c r="F102" s="761"/>
      <c r="G102" s="761"/>
      <c r="H102" s="761"/>
      <c r="I102" s="761"/>
      <c r="J102" s="761"/>
      <c r="K102" s="761"/>
      <c r="L102" s="719"/>
      <c r="M102" s="551"/>
    </row>
    <row r="103" spans="1:13" ht="11.85" customHeight="1" x14ac:dyDescent="0.25">
      <c r="A103" s="554" t="s">
        <v>1658</v>
      </c>
      <c r="B103" s="725" t="s">
        <v>825</v>
      </c>
      <c r="C103" s="726"/>
      <c r="D103" s="725" t="s">
        <v>825</v>
      </c>
      <c r="E103" s="762"/>
      <c r="F103" s="762"/>
      <c r="G103" s="762"/>
      <c r="H103" s="762"/>
      <c r="I103" s="762"/>
      <c r="J103" s="762"/>
      <c r="K103" s="762"/>
      <c r="L103" s="726"/>
      <c r="M103" s="551"/>
    </row>
    <row r="104" spans="1:13" ht="11.85" customHeight="1" x14ac:dyDescent="0.25">
      <c r="A104" s="566" t="s">
        <v>1937</v>
      </c>
      <c r="B104" s="770" t="s">
        <v>825</v>
      </c>
      <c r="C104" s="771"/>
      <c r="D104" s="770" t="s">
        <v>825</v>
      </c>
      <c r="E104" s="772"/>
      <c r="F104" s="772"/>
      <c r="G104" s="772"/>
      <c r="H104" s="772"/>
      <c r="I104" s="772"/>
      <c r="J104" s="772"/>
      <c r="K104" s="772"/>
      <c r="L104" s="771"/>
      <c r="M104" s="551"/>
    </row>
    <row r="105" spans="1:13" ht="5.85" customHeight="1" x14ac:dyDescent="0.25">
      <c r="A105" s="559"/>
      <c r="B105" s="559"/>
      <c r="C105" s="559"/>
      <c r="D105" s="559"/>
      <c r="E105" s="559"/>
      <c r="F105" s="559"/>
      <c r="G105" s="559"/>
      <c r="H105" s="559"/>
      <c r="I105" s="559"/>
      <c r="J105" s="559"/>
      <c r="K105" s="559"/>
      <c r="L105" s="559"/>
    </row>
    <row r="106" spans="1:13" ht="34.700000000000003" customHeight="1" x14ac:dyDescent="0.25">
      <c r="A106" s="545" t="s">
        <v>1938</v>
      </c>
      <c r="B106" s="737" t="s">
        <v>1888</v>
      </c>
      <c r="C106" s="748"/>
      <c r="D106" s="737" t="s">
        <v>1889</v>
      </c>
      <c r="E106" s="748"/>
      <c r="F106" s="544" t="s">
        <v>1890</v>
      </c>
      <c r="G106" s="737" t="s">
        <v>1939</v>
      </c>
      <c r="H106" s="747"/>
      <c r="I106" s="748"/>
      <c r="J106" s="737" t="s">
        <v>1892</v>
      </c>
      <c r="K106" s="747"/>
      <c r="L106" s="748"/>
      <c r="M106" s="551"/>
    </row>
    <row r="107" spans="1:13" ht="11.85" customHeight="1" x14ac:dyDescent="0.25">
      <c r="A107" s="567" t="s">
        <v>1893</v>
      </c>
      <c r="B107" s="779" t="s">
        <v>825</v>
      </c>
      <c r="C107" s="780"/>
      <c r="D107" s="779" t="s">
        <v>825</v>
      </c>
      <c r="E107" s="780"/>
      <c r="F107" s="571" t="s">
        <v>825</v>
      </c>
      <c r="G107" s="779" t="s">
        <v>825</v>
      </c>
      <c r="H107" s="781"/>
      <c r="I107" s="780"/>
      <c r="J107" s="779" t="s">
        <v>825</v>
      </c>
      <c r="K107" s="781"/>
      <c r="L107" s="780"/>
      <c r="M107" s="560"/>
    </row>
    <row r="108" spans="1:13" ht="11.85" customHeight="1" x14ac:dyDescent="0.25">
      <c r="A108" s="553" t="s">
        <v>1897</v>
      </c>
      <c r="B108" s="718" t="s">
        <v>825</v>
      </c>
      <c r="C108" s="719"/>
      <c r="D108" s="718" t="s">
        <v>825</v>
      </c>
      <c r="E108" s="719"/>
      <c r="F108" s="438" t="s">
        <v>825</v>
      </c>
      <c r="G108" s="718" t="s">
        <v>825</v>
      </c>
      <c r="H108" s="761"/>
      <c r="I108" s="719"/>
      <c r="J108" s="718" t="s">
        <v>825</v>
      </c>
      <c r="K108" s="761"/>
      <c r="L108" s="719"/>
      <c r="M108" s="560"/>
    </row>
    <row r="109" spans="1:13" ht="11.1" customHeight="1" x14ac:dyDescent="0.25">
      <c r="A109" s="553" t="s">
        <v>1901</v>
      </c>
      <c r="B109" s="718" t="s">
        <v>825</v>
      </c>
      <c r="C109" s="719"/>
      <c r="D109" s="718" t="s">
        <v>825</v>
      </c>
      <c r="E109" s="719"/>
      <c r="F109" s="438" t="s">
        <v>825</v>
      </c>
      <c r="G109" s="718" t="s">
        <v>825</v>
      </c>
      <c r="H109" s="761"/>
      <c r="I109" s="719"/>
      <c r="J109" s="718" t="s">
        <v>825</v>
      </c>
      <c r="K109" s="761"/>
      <c r="L109" s="719"/>
      <c r="M109" s="560"/>
    </row>
    <row r="110" spans="1:13" ht="11.85" customHeight="1" x14ac:dyDescent="0.25">
      <c r="A110" s="565" t="s">
        <v>1905</v>
      </c>
      <c r="B110" s="776" t="s">
        <v>825</v>
      </c>
      <c r="C110" s="777"/>
      <c r="D110" s="776" t="s">
        <v>825</v>
      </c>
      <c r="E110" s="777"/>
      <c r="F110" s="440" t="s">
        <v>825</v>
      </c>
      <c r="G110" s="776" t="s">
        <v>825</v>
      </c>
      <c r="H110" s="778"/>
      <c r="I110" s="777"/>
      <c r="J110" s="776" t="s">
        <v>825</v>
      </c>
      <c r="K110" s="778"/>
      <c r="L110" s="777"/>
      <c r="M110" s="560"/>
    </row>
    <row r="111" spans="1:13" ht="11.85" customHeight="1" x14ac:dyDescent="0.25">
      <c r="A111" s="553" t="s">
        <v>1935</v>
      </c>
      <c r="B111" s="718" t="s">
        <v>825</v>
      </c>
      <c r="C111" s="719"/>
      <c r="D111" s="718" t="s">
        <v>825</v>
      </c>
      <c r="E111" s="719"/>
      <c r="F111" s="438" t="s">
        <v>825</v>
      </c>
      <c r="G111" s="718" t="s">
        <v>825</v>
      </c>
      <c r="H111" s="761"/>
      <c r="I111" s="719"/>
      <c r="J111" s="718" t="s">
        <v>825</v>
      </c>
      <c r="K111" s="761"/>
      <c r="L111" s="719"/>
      <c r="M111" s="560"/>
    </row>
    <row r="112" spans="1:13" ht="11.85" customHeight="1" x14ac:dyDescent="0.25">
      <c r="A112" s="554" t="s">
        <v>1906</v>
      </c>
      <c r="B112" s="725" t="s">
        <v>825</v>
      </c>
      <c r="C112" s="726"/>
      <c r="D112" s="725" t="s">
        <v>825</v>
      </c>
      <c r="E112" s="726"/>
      <c r="F112" s="561" t="s">
        <v>825</v>
      </c>
      <c r="G112" s="725" t="s">
        <v>825</v>
      </c>
      <c r="H112" s="762"/>
      <c r="I112" s="726"/>
      <c r="J112" s="725" t="s">
        <v>825</v>
      </c>
      <c r="K112" s="762"/>
      <c r="L112" s="726"/>
      <c r="M112" s="560"/>
    </row>
    <row r="113" spans="1:13" ht="11.1" customHeight="1" x14ac:dyDescent="0.25">
      <c r="A113" s="566" t="s">
        <v>1940</v>
      </c>
      <c r="B113" s="770" t="s">
        <v>825</v>
      </c>
      <c r="C113" s="771"/>
      <c r="D113" s="770" t="s">
        <v>825</v>
      </c>
      <c r="E113" s="771"/>
      <c r="F113" s="568" t="s">
        <v>825</v>
      </c>
      <c r="G113" s="770" t="s">
        <v>825</v>
      </c>
      <c r="H113" s="772"/>
      <c r="I113" s="771"/>
      <c r="J113" s="770" t="s">
        <v>825</v>
      </c>
      <c r="K113" s="772"/>
      <c r="L113" s="771"/>
      <c r="M113" s="560"/>
    </row>
    <row r="114" spans="1:13" ht="11.85" customHeight="1" x14ac:dyDescent="0.25">
      <c r="A114" s="566" t="s">
        <v>1941</v>
      </c>
      <c r="B114" s="770" t="s">
        <v>825</v>
      </c>
      <c r="C114" s="771"/>
      <c r="D114" s="770" t="s">
        <v>825</v>
      </c>
      <c r="E114" s="771"/>
      <c r="F114" s="568" t="s">
        <v>825</v>
      </c>
      <c r="G114" s="770" t="s">
        <v>825</v>
      </c>
      <c r="H114" s="772"/>
      <c r="I114" s="771"/>
      <c r="J114" s="758"/>
      <c r="K114" s="760"/>
      <c r="L114" s="759"/>
      <c r="M114" s="560"/>
    </row>
    <row r="115" spans="1:13" ht="17.850000000000001" customHeight="1" x14ac:dyDescent="0.25">
      <c r="A115" s="746"/>
      <c r="B115" s="753"/>
      <c r="C115" s="753"/>
      <c r="D115" s="753"/>
      <c r="E115" s="753"/>
      <c r="F115" s="753"/>
      <c r="G115" s="753"/>
      <c r="H115" s="753"/>
      <c r="I115" s="753"/>
      <c r="J115" s="753"/>
      <c r="K115" s="753"/>
      <c r="L115" s="753"/>
      <c r="M115" s="746"/>
    </row>
    <row r="116" spans="1:13" ht="17.100000000000001" customHeight="1" x14ac:dyDescent="0.25"/>
    <row r="117" spans="1:13" ht="11.85" customHeight="1" x14ac:dyDescent="0.25">
      <c r="A117" s="774" t="s">
        <v>1912</v>
      </c>
      <c r="B117" s="774"/>
      <c r="C117" s="774"/>
      <c r="D117" s="774"/>
      <c r="E117" s="774"/>
      <c r="F117" s="774"/>
      <c r="G117" s="774"/>
      <c r="H117" s="774"/>
      <c r="I117" s="774"/>
      <c r="J117" s="774"/>
      <c r="K117" s="774"/>
      <c r="L117" s="774"/>
    </row>
    <row r="118" spans="1:13" ht="11.85" customHeight="1" x14ac:dyDescent="0.25">
      <c r="A118" s="746" t="s">
        <v>833</v>
      </c>
      <c r="B118" s="746"/>
      <c r="L118" s="549" t="s">
        <v>1942</v>
      </c>
    </row>
    <row r="119" spans="1:13" ht="11.1" customHeight="1" x14ac:dyDescent="0.25">
      <c r="A119" s="746" t="s">
        <v>1840</v>
      </c>
      <c r="B119" s="746"/>
    </row>
    <row r="120" spans="1:13" ht="11.85" customHeight="1" x14ac:dyDescent="0.25">
      <c r="A120" s="754" t="s">
        <v>1841</v>
      </c>
      <c r="B120" s="754"/>
      <c r="C120" s="754"/>
      <c r="D120" s="754"/>
      <c r="E120" s="754"/>
      <c r="F120" s="754"/>
      <c r="G120" s="754"/>
      <c r="H120" s="754"/>
    </row>
    <row r="121" spans="1:13" ht="11.85" customHeight="1" x14ac:dyDescent="0.25">
      <c r="A121" s="746" t="s">
        <v>1842</v>
      </c>
      <c r="B121" s="746"/>
    </row>
    <row r="122" spans="1:13" ht="11.85" customHeight="1" x14ac:dyDescent="0.25">
      <c r="A122" s="746" t="s">
        <v>920</v>
      </c>
      <c r="B122" s="746"/>
    </row>
    <row r="123" spans="1:13" ht="5.85" customHeight="1" x14ac:dyDescent="0.25"/>
    <row r="124" spans="1:13" ht="11.1" customHeight="1" x14ac:dyDescent="0.25">
      <c r="A124" s="749" t="s">
        <v>1843</v>
      </c>
      <c r="B124" s="749"/>
      <c r="C124" s="550"/>
      <c r="D124" s="550"/>
      <c r="E124" s="550"/>
      <c r="F124" s="550"/>
      <c r="G124" s="550"/>
      <c r="H124" s="775" t="s">
        <v>922</v>
      </c>
      <c r="I124" s="775"/>
      <c r="J124" s="775"/>
      <c r="K124" s="775"/>
      <c r="L124" s="775"/>
    </row>
    <row r="125" spans="1:13" ht="23.65" customHeight="1" x14ac:dyDescent="0.25">
      <c r="A125" s="545" t="s">
        <v>1943</v>
      </c>
      <c r="B125" s="742" t="s">
        <v>1918</v>
      </c>
      <c r="C125" s="743"/>
      <c r="D125" s="743"/>
      <c r="E125" s="743"/>
      <c r="F125" s="743"/>
      <c r="G125" s="743"/>
      <c r="H125" s="743"/>
      <c r="I125" s="743"/>
      <c r="J125" s="743"/>
      <c r="K125" s="743"/>
      <c r="L125" s="744"/>
      <c r="M125" s="551"/>
    </row>
    <row r="126" spans="1:13" ht="11.85" customHeight="1" x14ac:dyDescent="0.25">
      <c r="A126" s="552" t="s">
        <v>1944</v>
      </c>
      <c r="B126" s="730" t="s">
        <v>825</v>
      </c>
      <c r="C126" s="763"/>
      <c r="D126" s="763"/>
      <c r="E126" s="763"/>
      <c r="F126" s="763"/>
      <c r="G126" s="763"/>
      <c r="H126" s="763"/>
      <c r="I126" s="763"/>
      <c r="J126" s="763"/>
      <c r="K126" s="763"/>
      <c r="L126" s="731"/>
      <c r="M126" s="551"/>
    </row>
    <row r="127" spans="1:13" ht="11.1" customHeight="1" x14ac:dyDescent="0.25">
      <c r="A127" s="554" t="s">
        <v>1945</v>
      </c>
      <c r="B127" s="725" t="s">
        <v>825</v>
      </c>
      <c r="C127" s="762"/>
      <c r="D127" s="762"/>
      <c r="E127" s="762"/>
      <c r="F127" s="762"/>
      <c r="G127" s="762"/>
      <c r="H127" s="762"/>
      <c r="I127" s="762"/>
      <c r="J127" s="762"/>
      <c r="K127" s="762"/>
      <c r="L127" s="726"/>
      <c r="M127" s="551"/>
    </row>
    <row r="128" spans="1:13" ht="5.85" customHeight="1" x14ac:dyDescent="0.25">
      <c r="A128" s="559"/>
      <c r="B128" s="559"/>
      <c r="C128" s="559"/>
      <c r="D128" s="559"/>
      <c r="E128" s="559"/>
      <c r="F128" s="559"/>
      <c r="G128" s="559"/>
      <c r="H128" s="559"/>
      <c r="I128" s="559"/>
      <c r="J128" s="559"/>
      <c r="K128" s="559"/>
      <c r="L128" s="559"/>
    </row>
    <row r="129" spans="1:13" ht="11.85" customHeight="1" x14ac:dyDescent="0.25">
      <c r="A129" s="742" t="s">
        <v>1946</v>
      </c>
      <c r="B129" s="743"/>
      <c r="C129" s="743"/>
      <c r="D129" s="743"/>
      <c r="E129" s="743"/>
      <c r="F129" s="743"/>
      <c r="G129" s="743"/>
      <c r="H129" s="743"/>
      <c r="I129" s="743"/>
      <c r="J129" s="743"/>
      <c r="K129" s="743"/>
      <c r="L129" s="744"/>
      <c r="M129" s="551"/>
    </row>
    <row r="130" spans="1:13" ht="28.9" customHeight="1" x14ac:dyDescent="0.25">
      <c r="A130" s="545" t="s">
        <v>1947</v>
      </c>
      <c r="B130" s="737" t="s">
        <v>1463</v>
      </c>
      <c r="C130" s="748"/>
      <c r="D130" s="737" t="s">
        <v>1848</v>
      </c>
      <c r="E130" s="747"/>
      <c r="F130" s="747"/>
      <c r="G130" s="747"/>
      <c r="H130" s="747"/>
      <c r="I130" s="747"/>
      <c r="J130" s="747"/>
      <c r="K130" s="747"/>
      <c r="L130" s="748"/>
      <c r="M130" s="551"/>
    </row>
    <row r="131" spans="1:13" ht="11.85" customHeight="1" x14ac:dyDescent="0.25">
      <c r="A131" s="555" t="s">
        <v>3</v>
      </c>
      <c r="B131" s="758" t="s">
        <v>1948</v>
      </c>
      <c r="C131" s="759"/>
      <c r="D131" s="758" t="s">
        <v>1949</v>
      </c>
      <c r="E131" s="760"/>
      <c r="F131" s="760"/>
      <c r="G131" s="760"/>
      <c r="H131" s="760"/>
      <c r="I131" s="760"/>
      <c r="J131" s="760"/>
      <c r="K131" s="760"/>
      <c r="L131" s="759"/>
      <c r="M131" s="551"/>
    </row>
    <row r="132" spans="1:13" ht="11.85" customHeight="1" x14ac:dyDescent="0.25">
      <c r="A132" s="566" t="s">
        <v>1950</v>
      </c>
      <c r="B132" s="770" t="s">
        <v>1948</v>
      </c>
      <c r="C132" s="771"/>
      <c r="D132" s="770" t="s">
        <v>1949</v>
      </c>
      <c r="E132" s="772"/>
      <c r="F132" s="772"/>
      <c r="G132" s="772"/>
      <c r="H132" s="772"/>
      <c r="I132" s="772"/>
      <c r="J132" s="772"/>
      <c r="K132" s="772"/>
      <c r="L132" s="771"/>
      <c r="M132" s="551"/>
    </row>
    <row r="133" spans="1:13" ht="5.85" customHeight="1" x14ac:dyDescent="0.25">
      <c r="A133" s="559"/>
      <c r="B133" s="559"/>
      <c r="C133" s="559"/>
      <c r="D133" s="559"/>
      <c r="E133" s="559"/>
      <c r="F133" s="559"/>
      <c r="G133" s="559"/>
      <c r="H133" s="559"/>
      <c r="I133" s="559"/>
      <c r="J133" s="559"/>
      <c r="K133" s="559"/>
      <c r="L133" s="559"/>
    </row>
    <row r="134" spans="1:13" ht="34.700000000000003" customHeight="1" x14ac:dyDescent="0.25">
      <c r="A134" s="545" t="s">
        <v>1951</v>
      </c>
      <c r="B134" s="737" t="s">
        <v>1952</v>
      </c>
      <c r="C134" s="748"/>
      <c r="D134" s="737" t="s">
        <v>1889</v>
      </c>
      <c r="E134" s="748"/>
      <c r="F134" s="544" t="s">
        <v>1890</v>
      </c>
      <c r="G134" s="737" t="s">
        <v>1891</v>
      </c>
      <c r="H134" s="747"/>
      <c r="I134" s="748"/>
      <c r="J134" s="737" t="s">
        <v>1892</v>
      </c>
      <c r="K134" s="747"/>
      <c r="L134" s="748"/>
      <c r="M134" s="551"/>
    </row>
    <row r="135" spans="1:13" ht="11.85" customHeight="1" x14ac:dyDescent="0.25">
      <c r="A135" s="552" t="s">
        <v>1953</v>
      </c>
      <c r="B135" s="730" t="s">
        <v>1954</v>
      </c>
      <c r="C135" s="731"/>
      <c r="D135" s="730" t="s">
        <v>1955</v>
      </c>
      <c r="E135" s="731"/>
      <c r="F135" s="439" t="s">
        <v>1956</v>
      </c>
      <c r="G135" s="730" t="s">
        <v>1957</v>
      </c>
      <c r="H135" s="763"/>
      <c r="I135" s="731"/>
      <c r="J135" s="730" t="s">
        <v>1958</v>
      </c>
      <c r="K135" s="763"/>
      <c r="L135" s="731"/>
      <c r="M135" s="560"/>
    </row>
    <row r="136" spans="1:13" ht="11.1" customHeight="1" x14ac:dyDescent="0.25">
      <c r="A136" s="553" t="s">
        <v>1959</v>
      </c>
      <c r="B136" s="718">
        <v>10</v>
      </c>
      <c r="C136" s="719"/>
      <c r="D136" s="718" t="s">
        <v>825</v>
      </c>
      <c r="E136" s="719"/>
      <c r="F136" s="438" t="s">
        <v>825</v>
      </c>
      <c r="G136" s="718" t="s">
        <v>825</v>
      </c>
      <c r="H136" s="761"/>
      <c r="I136" s="719"/>
      <c r="J136" s="718" t="s">
        <v>825</v>
      </c>
      <c r="K136" s="761"/>
      <c r="L136" s="719"/>
      <c r="M136" s="560"/>
    </row>
    <row r="137" spans="1:13" ht="11.85" customHeight="1" x14ac:dyDescent="0.25">
      <c r="A137" s="553" t="s">
        <v>1960</v>
      </c>
      <c r="B137" s="718" t="s">
        <v>1961</v>
      </c>
      <c r="C137" s="719"/>
      <c r="D137" s="718" t="s">
        <v>1955</v>
      </c>
      <c r="E137" s="719"/>
      <c r="F137" s="438" t="s">
        <v>1956</v>
      </c>
      <c r="G137" s="718" t="s">
        <v>1957</v>
      </c>
      <c r="H137" s="761"/>
      <c r="I137" s="719"/>
      <c r="J137" s="718" t="s">
        <v>1958</v>
      </c>
      <c r="K137" s="761"/>
      <c r="L137" s="719"/>
      <c r="M137" s="560"/>
    </row>
    <row r="138" spans="1:13" ht="11.85" customHeight="1" x14ac:dyDescent="0.25">
      <c r="A138" s="554" t="s">
        <v>1962</v>
      </c>
      <c r="B138" s="725" t="s">
        <v>1963</v>
      </c>
      <c r="C138" s="726"/>
      <c r="D138" s="725" t="s">
        <v>825</v>
      </c>
      <c r="E138" s="726"/>
      <c r="F138" s="561" t="s">
        <v>825</v>
      </c>
      <c r="G138" s="725" t="s">
        <v>825</v>
      </c>
      <c r="H138" s="762"/>
      <c r="I138" s="726"/>
      <c r="J138" s="725" t="s">
        <v>825</v>
      </c>
      <c r="K138" s="762"/>
      <c r="L138" s="726"/>
      <c r="M138" s="560"/>
    </row>
    <row r="139" spans="1:13" ht="11.85" customHeight="1" x14ac:dyDescent="0.25">
      <c r="A139" s="566" t="s">
        <v>1964</v>
      </c>
      <c r="B139" s="770" t="s">
        <v>1965</v>
      </c>
      <c r="C139" s="771"/>
      <c r="D139" s="770" t="s">
        <v>1955</v>
      </c>
      <c r="E139" s="771"/>
      <c r="F139" s="568" t="s">
        <v>1956</v>
      </c>
      <c r="G139" s="770" t="s">
        <v>1957</v>
      </c>
      <c r="H139" s="772"/>
      <c r="I139" s="771"/>
      <c r="J139" s="770" t="s">
        <v>1958</v>
      </c>
      <c r="K139" s="772"/>
      <c r="L139" s="771"/>
      <c r="M139" s="560"/>
    </row>
    <row r="140" spans="1:13" ht="11.1" customHeight="1" x14ac:dyDescent="0.25">
      <c r="A140" s="566" t="s">
        <v>1966</v>
      </c>
      <c r="B140" s="770" t="s">
        <v>1967</v>
      </c>
      <c r="C140" s="771"/>
      <c r="D140" s="770" t="s">
        <v>1968</v>
      </c>
      <c r="E140" s="771"/>
      <c r="F140" s="568" t="s">
        <v>1969</v>
      </c>
      <c r="G140" s="770" t="s">
        <v>1970</v>
      </c>
      <c r="H140" s="772"/>
      <c r="I140" s="771"/>
      <c r="J140" s="758"/>
      <c r="K140" s="760"/>
      <c r="L140" s="759"/>
      <c r="M140" s="560"/>
    </row>
    <row r="141" spans="1:13" x14ac:dyDescent="0.25">
      <c r="A141" s="746"/>
      <c r="B141" s="753"/>
      <c r="C141" s="753"/>
      <c r="D141" s="753"/>
      <c r="E141" s="753"/>
      <c r="F141" s="753"/>
      <c r="G141" s="753"/>
      <c r="H141" s="753"/>
      <c r="I141" s="753"/>
      <c r="J141" s="753"/>
      <c r="K141" s="753"/>
      <c r="L141" s="753"/>
      <c r="M141" s="746"/>
    </row>
    <row r="142" spans="1:13" x14ac:dyDescent="0.25">
      <c r="A142" s="746"/>
      <c r="B142" s="746"/>
      <c r="C142" s="746"/>
      <c r="D142" s="746"/>
      <c r="E142" s="746"/>
      <c r="F142" s="746"/>
      <c r="G142" s="746"/>
      <c r="H142" s="746"/>
      <c r="I142" s="746"/>
      <c r="J142" s="746"/>
      <c r="K142" s="746"/>
      <c r="L142" s="746"/>
      <c r="M142" s="746"/>
    </row>
    <row r="143" spans="1:13" x14ac:dyDescent="0.25">
      <c r="A143" s="746"/>
      <c r="B143" s="746"/>
      <c r="C143" s="746"/>
      <c r="D143" s="746"/>
      <c r="E143" s="746"/>
      <c r="F143" s="746"/>
      <c r="G143" s="746"/>
      <c r="H143" s="746"/>
      <c r="I143" s="746"/>
      <c r="J143" s="746"/>
      <c r="K143" s="746"/>
      <c r="L143" s="746"/>
      <c r="M143" s="746"/>
    </row>
    <row r="144" spans="1:13" x14ac:dyDescent="0.25">
      <c r="A144" s="746"/>
      <c r="B144" s="746"/>
      <c r="C144" s="746"/>
      <c r="D144" s="746"/>
      <c r="E144" s="746"/>
      <c r="F144" s="746"/>
      <c r="G144" s="746"/>
      <c r="H144" s="746"/>
      <c r="I144" s="746"/>
      <c r="J144" s="746"/>
      <c r="K144" s="746"/>
      <c r="L144" s="746"/>
      <c r="M144" s="746"/>
    </row>
    <row r="145" spans="1:13" ht="5.85" customHeight="1" x14ac:dyDescent="0.25"/>
    <row r="146" spans="1:13" ht="11.85" customHeight="1" x14ac:dyDescent="0.25">
      <c r="A146" s="774" t="s">
        <v>1912</v>
      </c>
      <c r="B146" s="774"/>
      <c r="C146" s="774"/>
      <c r="D146" s="774"/>
      <c r="E146" s="774"/>
      <c r="F146" s="774"/>
      <c r="G146" s="774"/>
      <c r="H146" s="774"/>
      <c r="I146" s="774"/>
      <c r="J146" s="774"/>
      <c r="K146" s="774"/>
      <c r="L146" s="774"/>
    </row>
    <row r="147" spans="1:13" ht="11.85" customHeight="1" x14ac:dyDescent="0.25">
      <c r="A147" s="746" t="s">
        <v>833</v>
      </c>
      <c r="B147" s="746"/>
      <c r="L147" s="549" t="s">
        <v>1971</v>
      </c>
    </row>
    <row r="148" spans="1:13" ht="11.1" customHeight="1" x14ac:dyDescent="0.25">
      <c r="A148" s="746" t="s">
        <v>1840</v>
      </c>
      <c r="B148" s="746"/>
    </row>
    <row r="149" spans="1:13" ht="11.85" customHeight="1" x14ac:dyDescent="0.25">
      <c r="A149" s="754" t="s">
        <v>1841</v>
      </c>
      <c r="B149" s="754"/>
      <c r="C149" s="754"/>
      <c r="D149" s="754"/>
      <c r="E149" s="754"/>
      <c r="F149" s="754"/>
      <c r="G149" s="754"/>
      <c r="H149" s="754"/>
    </row>
    <row r="150" spans="1:13" ht="11.85" customHeight="1" x14ac:dyDescent="0.25">
      <c r="A150" s="746" t="s">
        <v>1842</v>
      </c>
      <c r="B150" s="746"/>
    </row>
    <row r="151" spans="1:13" ht="11.85" customHeight="1" x14ac:dyDescent="0.25">
      <c r="A151" s="746" t="s">
        <v>920</v>
      </c>
      <c r="B151" s="746"/>
    </row>
    <row r="152" spans="1:13" ht="5.85" customHeight="1" x14ac:dyDescent="0.25"/>
    <row r="153" spans="1:13" ht="11.1" customHeight="1" x14ac:dyDescent="0.25">
      <c r="A153" s="749" t="s">
        <v>1843</v>
      </c>
      <c r="B153" s="749"/>
      <c r="C153" s="550"/>
      <c r="D153" s="550"/>
      <c r="E153" s="550"/>
      <c r="F153" s="550"/>
      <c r="G153" s="550"/>
      <c r="H153" s="775" t="s">
        <v>922</v>
      </c>
      <c r="I153" s="775"/>
      <c r="J153" s="775"/>
      <c r="K153" s="775"/>
      <c r="L153" s="775"/>
    </row>
    <row r="154" spans="1:13" ht="11.85" customHeight="1" x14ac:dyDescent="0.25">
      <c r="A154" s="742" t="s">
        <v>1972</v>
      </c>
      <c r="B154" s="743"/>
      <c r="C154" s="743"/>
      <c r="D154" s="743"/>
      <c r="E154" s="743"/>
      <c r="F154" s="743"/>
      <c r="G154" s="743"/>
      <c r="H154" s="743"/>
      <c r="I154" s="743"/>
      <c r="J154" s="743"/>
      <c r="K154" s="743"/>
      <c r="L154" s="744"/>
      <c r="M154" s="551"/>
    </row>
    <row r="155" spans="1:13" ht="28.9" customHeight="1" x14ac:dyDescent="0.25">
      <c r="A155" s="545" t="s">
        <v>1973</v>
      </c>
      <c r="B155" s="737" t="s">
        <v>1463</v>
      </c>
      <c r="C155" s="748"/>
      <c r="D155" s="737" t="s">
        <v>1848</v>
      </c>
      <c r="E155" s="747"/>
      <c r="F155" s="747"/>
      <c r="G155" s="747"/>
      <c r="H155" s="747"/>
      <c r="I155" s="747"/>
      <c r="J155" s="747"/>
      <c r="K155" s="747"/>
      <c r="L155" s="748"/>
      <c r="M155" s="551"/>
    </row>
    <row r="156" spans="1:13" ht="11.85" customHeight="1" x14ac:dyDescent="0.25">
      <c r="A156" s="552" t="s">
        <v>1974</v>
      </c>
      <c r="B156" s="730" t="s">
        <v>825</v>
      </c>
      <c r="C156" s="731"/>
      <c r="D156" s="730" t="s">
        <v>825</v>
      </c>
      <c r="E156" s="763"/>
      <c r="F156" s="763"/>
      <c r="G156" s="763"/>
      <c r="H156" s="763"/>
      <c r="I156" s="763"/>
      <c r="J156" s="763"/>
      <c r="K156" s="763"/>
      <c r="L156" s="731"/>
      <c r="M156" s="551"/>
    </row>
    <row r="157" spans="1:13" ht="11.85" customHeight="1" x14ac:dyDescent="0.25">
      <c r="A157" s="554" t="s">
        <v>1975</v>
      </c>
      <c r="B157" s="725" t="s">
        <v>825</v>
      </c>
      <c r="C157" s="726"/>
      <c r="D157" s="725" t="s">
        <v>825</v>
      </c>
      <c r="E157" s="762"/>
      <c r="F157" s="762"/>
      <c r="G157" s="762"/>
      <c r="H157" s="762"/>
      <c r="I157" s="762"/>
      <c r="J157" s="762"/>
      <c r="K157" s="762"/>
      <c r="L157" s="726"/>
      <c r="M157" s="551"/>
    </row>
    <row r="158" spans="1:13" ht="11.85" customHeight="1" x14ac:dyDescent="0.25">
      <c r="A158" s="566" t="s">
        <v>1976</v>
      </c>
      <c r="B158" s="770" t="s">
        <v>825</v>
      </c>
      <c r="C158" s="771"/>
      <c r="D158" s="770" t="s">
        <v>825</v>
      </c>
      <c r="E158" s="772"/>
      <c r="F158" s="772"/>
      <c r="G158" s="772"/>
      <c r="H158" s="772"/>
      <c r="I158" s="772"/>
      <c r="J158" s="772"/>
      <c r="K158" s="772"/>
      <c r="L158" s="771"/>
      <c r="M158" s="551"/>
    </row>
    <row r="159" spans="1:13" ht="5.85" customHeight="1" x14ac:dyDescent="0.25">
      <c r="A159" s="559"/>
      <c r="B159" s="559"/>
      <c r="C159" s="559"/>
      <c r="D159" s="559"/>
      <c r="E159" s="559"/>
      <c r="F159" s="559"/>
      <c r="G159" s="559"/>
      <c r="H159" s="559"/>
      <c r="I159" s="559"/>
      <c r="J159" s="559"/>
      <c r="K159" s="559"/>
      <c r="L159" s="559"/>
    </row>
    <row r="160" spans="1:13" ht="34.700000000000003" customHeight="1" x14ac:dyDescent="0.25">
      <c r="A160" s="545" t="s">
        <v>1977</v>
      </c>
      <c r="B160" s="737" t="s">
        <v>1952</v>
      </c>
      <c r="C160" s="748"/>
      <c r="D160" s="737" t="s">
        <v>1889</v>
      </c>
      <c r="E160" s="748"/>
      <c r="F160" s="544" t="s">
        <v>1890</v>
      </c>
      <c r="G160" s="737" t="s">
        <v>1891</v>
      </c>
      <c r="H160" s="747"/>
      <c r="I160" s="748"/>
      <c r="J160" s="737" t="s">
        <v>1892</v>
      </c>
      <c r="K160" s="747"/>
      <c r="L160" s="748"/>
      <c r="M160" s="551"/>
    </row>
    <row r="161" spans="1:13" ht="11.85" customHeight="1" x14ac:dyDescent="0.25">
      <c r="A161" s="552" t="s">
        <v>1897</v>
      </c>
      <c r="B161" s="730" t="s">
        <v>825</v>
      </c>
      <c r="C161" s="731"/>
      <c r="D161" s="730" t="s">
        <v>825</v>
      </c>
      <c r="E161" s="731"/>
      <c r="F161" s="439" t="s">
        <v>825</v>
      </c>
      <c r="G161" s="730" t="s">
        <v>825</v>
      </c>
      <c r="H161" s="763"/>
      <c r="I161" s="731"/>
      <c r="J161" s="730" t="s">
        <v>825</v>
      </c>
      <c r="K161" s="763"/>
      <c r="L161" s="731"/>
      <c r="M161" s="551"/>
    </row>
    <row r="162" spans="1:13" ht="11.1" customHeight="1" x14ac:dyDescent="0.25">
      <c r="A162" s="553" t="s">
        <v>1067</v>
      </c>
      <c r="B162" s="718" t="s">
        <v>825</v>
      </c>
      <c r="C162" s="719"/>
      <c r="D162" s="718" t="s">
        <v>825</v>
      </c>
      <c r="E162" s="719"/>
      <c r="F162" s="438" t="s">
        <v>825</v>
      </c>
      <c r="G162" s="718" t="s">
        <v>825</v>
      </c>
      <c r="H162" s="761"/>
      <c r="I162" s="719"/>
      <c r="J162" s="718" t="s">
        <v>825</v>
      </c>
      <c r="K162" s="761"/>
      <c r="L162" s="719"/>
      <c r="M162" s="551"/>
    </row>
    <row r="163" spans="1:13" ht="11.85" customHeight="1" x14ac:dyDescent="0.25">
      <c r="A163" s="554" t="s">
        <v>1905</v>
      </c>
      <c r="B163" s="725" t="s">
        <v>825</v>
      </c>
      <c r="C163" s="726"/>
      <c r="D163" s="725" t="s">
        <v>825</v>
      </c>
      <c r="E163" s="726"/>
      <c r="F163" s="561" t="s">
        <v>825</v>
      </c>
      <c r="G163" s="725" t="s">
        <v>825</v>
      </c>
      <c r="H163" s="762"/>
      <c r="I163" s="726"/>
      <c r="J163" s="725" t="s">
        <v>825</v>
      </c>
      <c r="K163" s="762"/>
      <c r="L163" s="726"/>
      <c r="M163" s="551"/>
    </row>
    <row r="164" spans="1:13" ht="11.85" customHeight="1" x14ac:dyDescent="0.25">
      <c r="A164" s="566" t="s">
        <v>1978</v>
      </c>
      <c r="B164" s="770" t="s">
        <v>825</v>
      </c>
      <c r="C164" s="771"/>
      <c r="D164" s="770" t="s">
        <v>825</v>
      </c>
      <c r="E164" s="771"/>
      <c r="F164" s="568" t="s">
        <v>825</v>
      </c>
      <c r="G164" s="770" t="s">
        <v>825</v>
      </c>
      <c r="H164" s="772"/>
      <c r="I164" s="771"/>
      <c r="J164" s="770" t="s">
        <v>825</v>
      </c>
      <c r="K164" s="772"/>
      <c r="L164" s="771"/>
      <c r="M164" s="551"/>
    </row>
    <row r="165" spans="1:13" ht="11.85" customHeight="1" x14ac:dyDescent="0.25">
      <c r="A165" s="566" t="s">
        <v>1979</v>
      </c>
      <c r="B165" s="770" t="s">
        <v>825</v>
      </c>
      <c r="C165" s="771"/>
      <c r="D165" s="770" t="s">
        <v>825</v>
      </c>
      <c r="E165" s="771"/>
      <c r="F165" s="568" t="s">
        <v>825</v>
      </c>
      <c r="G165" s="770" t="s">
        <v>825</v>
      </c>
      <c r="H165" s="772"/>
      <c r="I165" s="771"/>
      <c r="J165" s="758"/>
      <c r="K165" s="760"/>
      <c r="L165" s="759"/>
      <c r="M165" s="551"/>
    </row>
    <row r="166" spans="1:13" ht="11.1" customHeight="1" x14ac:dyDescent="0.25">
      <c r="A166" s="564"/>
      <c r="B166" s="564"/>
      <c r="C166" s="564"/>
      <c r="D166" s="564"/>
      <c r="E166" s="564"/>
      <c r="F166" s="564"/>
      <c r="G166" s="564"/>
      <c r="H166" s="564"/>
      <c r="I166" s="564"/>
      <c r="J166" s="564"/>
      <c r="K166" s="564"/>
      <c r="L166" s="564"/>
    </row>
    <row r="167" spans="1:13" ht="23.65" customHeight="1" x14ac:dyDescent="0.25">
      <c r="A167" s="773" t="s">
        <v>1980</v>
      </c>
      <c r="B167" s="773"/>
      <c r="C167" s="773"/>
      <c r="D167" s="773"/>
      <c r="E167" s="773"/>
      <c r="F167" s="773"/>
      <c r="G167" s="773"/>
      <c r="H167" s="773"/>
      <c r="I167" s="773"/>
      <c r="J167" s="773"/>
    </row>
    <row r="168" spans="1:13" ht="5.85" customHeight="1" x14ac:dyDescent="0.25"/>
    <row r="169" spans="1:13" ht="11.1" customHeight="1" x14ac:dyDescent="0.25"/>
    <row r="170" spans="1:13" ht="17.850000000000001" customHeight="1" x14ac:dyDescent="0.25"/>
    <row r="171" spans="1:13" ht="11.85" customHeight="1" x14ac:dyDescent="0.25"/>
    <row r="172" spans="1:13" ht="11.85" customHeight="1" x14ac:dyDescent="0.25"/>
    <row r="176" spans="1:13" ht="11.85" customHeight="1" x14ac:dyDescent="0.25">
      <c r="A176" s="774" t="s">
        <v>1912</v>
      </c>
      <c r="B176" s="774"/>
      <c r="C176" s="774"/>
      <c r="D176" s="774"/>
      <c r="E176" s="774"/>
      <c r="F176" s="774"/>
      <c r="G176" s="774"/>
      <c r="H176" s="774"/>
      <c r="I176" s="774"/>
      <c r="J176" s="774"/>
      <c r="K176" s="774"/>
      <c r="L176" s="774"/>
    </row>
  </sheetData>
  <mergeCells count="301">
    <mergeCell ref="A1:B1"/>
    <mergeCell ref="A2:B2"/>
    <mergeCell ref="A3:H3"/>
    <mergeCell ref="A4:B4"/>
    <mergeCell ref="A5:B5"/>
    <mergeCell ref="A7:B7"/>
    <mergeCell ref="H7:L7"/>
    <mergeCell ref="B12:D12"/>
    <mergeCell ref="E12:L12"/>
    <mergeCell ref="B13:D13"/>
    <mergeCell ref="E13:L13"/>
    <mergeCell ref="B14:D14"/>
    <mergeCell ref="E14:L14"/>
    <mergeCell ref="A8:L8"/>
    <mergeCell ref="A9:L9"/>
    <mergeCell ref="B10:D10"/>
    <mergeCell ref="E10:L10"/>
    <mergeCell ref="B11:D11"/>
    <mergeCell ref="E11:L11"/>
    <mergeCell ref="B18:D18"/>
    <mergeCell ref="E18:L18"/>
    <mergeCell ref="B19:D19"/>
    <mergeCell ref="E19:L19"/>
    <mergeCell ref="B20:D20"/>
    <mergeCell ref="E20:L20"/>
    <mergeCell ref="B15:D15"/>
    <mergeCell ref="E15:L15"/>
    <mergeCell ref="B16:D16"/>
    <mergeCell ref="E16:L16"/>
    <mergeCell ref="B17:D17"/>
    <mergeCell ref="E17:L17"/>
    <mergeCell ref="B24:D24"/>
    <mergeCell ref="E24:L24"/>
    <mergeCell ref="B25:D25"/>
    <mergeCell ref="E25:L25"/>
    <mergeCell ref="B26:D26"/>
    <mergeCell ref="E26:L26"/>
    <mergeCell ref="B21:D21"/>
    <mergeCell ref="E21:L21"/>
    <mergeCell ref="B22:D22"/>
    <mergeCell ref="E22:L22"/>
    <mergeCell ref="B23:D23"/>
    <mergeCell ref="E23:L23"/>
    <mergeCell ref="B30:D30"/>
    <mergeCell ref="E30:L30"/>
    <mergeCell ref="B31:D31"/>
    <mergeCell ref="E31:L31"/>
    <mergeCell ref="B32:D32"/>
    <mergeCell ref="E32:L32"/>
    <mergeCell ref="B27:D27"/>
    <mergeCell ref="E27:L27"/>
    <mergeCell ref="B28:D28"/>
    <mergeCell ref="E28:L28"/>
    <mergeCell ref="B29:D29"/>
    <mergeCell ref="E29:L29"/>
    <mergeCell ref="B36:C36"/>
    <mergeCell ref="D36:E36"/>
    <mergeCell ref="G36:I36"/>
    <mergeCell ref="J36:L36"/>
    <mergeCell ref="B37:C37"/>
    <mergeCell ref="D37:E37"/>
    <mergeCell ref="G37:I37"/>
    <mergeCell ref="J37:L37"/>
    <mergeCell ref="B33:D33"/>
    <mergeCell ref="E33:L33"/>
    <mergeCell ref="B35:C35"/>
    <mergeCell ref="D35:E35"/>
    <mergeCell ref="G35:I35"/>
    <mergeCell ref="J35:L35"/>
    <mergeCell ref="B40:C40"/>
    <mergeCell ref="D40:E40"/>
    <mergeCell ref="G40:I40"/>
    <mergeCell ref="J40:L40"/>
    <mergeCell ref="B41:C41"/>
    <mergeCell ref="D41:E41"/>
    <mergeCell ref="G41:I41"/>
    <mergeCell ref="J41:L41"/>
    <mergeCell ref="B38:C38"/>
    <mergeCell ref="D38:E38"/>
    <mergeCell ref="G38:I38"/>
    <mergeCell ref="J38:L38"/>
    <mergeCell ref="B39:C39"/>
    <mergeCell ref="D39:E39"/>
    <mergeCell ref="G39:I39"/>
    <mergeCell ref="J39:L39"/>
    <mergeCell ref="A45:L45"/>
    <mergeCell ref="A46:B46"/>
    <mergeCell ref="A47:B47"/>
    <mergeCell ref="A48:H48"/>
    <mergeCell ref="A49:B49"/>
    <mergeCell ref="A50:B50"/>
    <mergeCell ref="B42:C42"/>
    <mergeCell ref="D42:E42"/>
    <mergeCell ref="G42:I42"/>
    <mergeCell ref="J42:L42"/>
    <mergeCell ref="B43:C43"/>
    <mergeCell ref="D43:E43"/>
    <mergeCell ref="G43:I43"/>
    <mergeCell ref="J43:L43"/>
    <mergeCell ref="B56:L56"/>
    <mergeCell ref="M56:M57"/>
    <mergeCell ref="B57:L57"/>
    <mergeCell ref="A58:M58"/>
    <mergeCell ref="B59:L59"/>
    <mergeCell ref="B60:L60"/>
    <mergeCell ref="A52:B52"/>
    <mergeCell ref="H52:L52"/>
    <mergeCell ref="B53:L53"/>
    <mergeCell ref="M53:M54"/>
    <mergeCell ref="B54:L54"/>
    <mergeCell ref="A55:M55"/>
    <mergeCell ref="B67:L67"/>
    <mergeCell ref="B68:L68"/>
    <mergeCell ref="A73:L73"/>
    <mergeCell ref="A74:B74"/>
    <mergeCell ref="A75:B75"/>
    <mergeCell ref="A76:H76"/>
    <mergeCell ref="B61:L61"/>
    <mergeCell ref="B62:L62"/>
    <mergeCell ref="B63:L63"/>
    <mergeCell ref="A64:M64"/>
    <mergeCell ref="B65:L65"/>
    <mergeCell ref="B66:L66"/>
    <mergeCell ref="B83:C83"/>
    <mergeCell ref="D83:L83"/>
    <mergeCell ref="B84:C84"/>
    <mergeCell ref="D84:L84"/>
    <mergeCell ref="B85:C85"/>
    <mergeCell ref="D85:L85"/>
    <mergeCell ref="A77:B77"/>
    <mergeCell ref="A78:B78"/>
    <mergeCell ref="A80:B80"/>
    <mergeCell ref="H80:L80"/>
    <mergeCell ref="A81:L81"/>
    <mergeCell ref="B82:C82"/>
    <mergeCell ref="D82:L82"/>
    <mergeCell ref="B89:C89"/>
    <mergeCell ref="D89:L89"/>
    <mergeCell ref="B90:C90"/>
    <mergeCell ref="D90:L90"/>
    <mergeCell ref="B91:C91"/>
    <mergeCell ref="D91:L91"/>
    <mergeCell ref="B86:C86"/>
    <mergeCell ref="D86:L86"/>
    <mergeCell ref="B87:C87"/>
    <mergeCell ref="D87:L87"/>
    <mergeCell ref="B88:C88"/>
    <mergeCell ref="D88:L88"/>
    <mergeCell ref="B95:C95"/>
    <mergeCell ref="D95:L95"/>
    <mergeCell ref="B96:C96"/>
    <mergeCell ref="D96:L96"/>
    <mergeCell ref="B97:C97"/>
    <mergeCell ref="D97:L97"/>
    <mergeCell ref="B92:C92"/>
    <mergeCell ref="D92:L92"/>
    <mergeCell ref="B93:C93"/>
    <mergeCell ref="D93:L93"/>
    <mergeCell ref="B94:C94"/>
    <mergeCell ref="D94:L94"/>
    <mergeCell ref="B101:C101"/>
    <mergeCell ref="D101:L101"/>
    <mergeCell ref="B102:C102"/>
    <mergeCell ref="D102:L102"/>
    <mergeCell ref="B103:C103"/>
    <mergeCell ref="D103:L103"/>
    <mergeCell ref="B98:C98"/>
    <mergeCell ref="D98:L98"/>
    <mergeCell ref="B99:C99"/>
    <mergeCell ref="D99:L99"/>
    <mergeCell ref="B100:C100"/>
    <mergeCell ref="D100:L100"/>
    <mergeCell ref="B107:C107"/>
    <mergeCell ref="D107:E107"/>
    <mergeCell ref="G107:I107"/>
    <mergeCell ref="J107:L107"/>
    <mergeCell ref="B108:C108"/>
    <mergeCell ref="D108:E108"/>
    <mergeCell ref="G108:I108"/>
    <mergeCell ref="J108:L108"/>
    <mergeCell ref="B104:C104"/>
    <mergeCell ref="D104:L104"/>
    <mergeCell ref="B106:C106"/>
    <mergeCell ref="D106:E106"/>
    <mergeCell ref="G106:I106"/>
    <mergeCell ref="J106:L106"/>
    <mergeCell ref="B111:C111"/>
    <mergeCell ref="D111:E111"/>
    <mergeCell ref="G111:I111"/>
    <mergeCell ref="J111:L111"/>
    <mergeCell ref="B112:C112"/>
    <mergeCell ref="D112:E112"/>
    <mergeCell ref="G112:I112"/>
    <mergeCell ref="J112:L112"/>
    <mergeCell ref="B109:C109"/>
    <mergeCell ref="D109:E109"/>
    <mergeCell ref="G109:I109"/>
    <mergeCell ref="J109:L109"/>
    <mergeCell ref="B110:C110"/>
    <mergeCell ref="D110:E110"/>
    <mergeCell ref="G110:I110"/>
    <mergeCell ref="J110:L110"/>
    <mergeCell ref="A115:M115"/>
    <mergeCell ref="A117:L117"/>
    <mergeCell ref="A118:B118"/>
    <mergeCell ref="A119:B119"/>
    <mergeCell ref="A120:H120"/>
    <mergeCell ref="A121:B121"/>
    <mergeCell ref="B113:C113"/>
    <mergeCell ref="D113:E113"/>
    <mergeCell ref="G113:I113"/>
    <mergeCell ref="J113:L113"/>
    <mergeCell ref="B114:C114"/>
    <mergeCell ref="D114:E114"/>
    <mergeCell ref="G114:I114"/>
    <mergeCell ref="J114:L114"/>
    <mergeCell ref="A129:L129"/>
    <mergeCell ref="B130:C130"/>
    <mergeCell ref="D130:L130"/>
    <mergeCell ref="B131:C131"/>
    <mergeCell ref="D131:L131"/>
    <mergeCell ref="B132:C132"/>
    <mergeCell ref="D132:L132"/>
    <mergeCell ref="A122:B122"/>
    <mergeCell ref="A124:B124"/>
    <mergeCell ref="H124:L124"/>
    <mergeCell ref="B125:L125"/>
    <mergeCell ref="B126:L126"/>
    <mergeCell ref="B127:L127"/>
    <mergeCell ref="B136:C136"/>
    <mergeCell ref="D136:E136"/>
    <mergeCell ref="G136:I136"/>
    <mergeCell ref="J136:L136"/>
    <mergeCell ref="B137:C137"/>
    <mergeCell ref="D137:E137"/>
    <mergeCell ref="G137:I137"/>
    <mergeCell ref="J137:L137"/>
    <mergeCell ref="B134:C134"/>
    <mergeCell ref="D134:E134"/>
    <mergeCell ref="G134:I134"/>
    <mergeCell ref="J134:L134"/>
    <mergeCell ref="B135:C135"/>
    <mergeCell ref="D135:E135"/>
    <mergeCell ref="G135:I135"/>
    <mergeCell ref="J135:L135"/>
    <mergeCell ref="B140:C140"/>
    <mergeCell ref="D140:E140"/>
    <mergeCell ref="G140:I140"/>
    <mergeCell ref="J140:L140"/>
    <mergeCell ref="A141:M144"/>
    <mergeCell ref="A146:L146"/>
    <mergeCell ref="B138:C138"/>
    <mergeCell ref="D138:E138"/>
    <mergeCell ref="G138:I138"/>
    <mergeCell ref="J138:L138"/>
    <mergeCell ref="B139:C139"/>
    <mergeCell ref="D139:E139"/>
    <mergeCell ref="G139:I139"/>
    <mergeCell ref="J139:L139"/>
    <mergeCell ref="A154:L154"/>
    <mergeCell ref="B155:C155"/>
    <mergeCell ref="D155:L155"/>
    <mergeCell ref="B156:C156"/>
    <mergeCell ref="D156:L156"/>
    <mergeCell ref="B157:C157"/>
    <mergeCell ref="D157:L157"/>
    <mergeCell ref="A147:B147"/>
    <mergeCell ref="A148:B148"/>
    <mergeCell ref="A149:H149"/>
    <mergeCell ref="A150:B150"/>
    <mergeCell ref="A151:B151"/>
    <mergeCell ref="A153:B153"/>
    <mergeCell ref="H153:L153"/>
    <mergeCell ref="B161:C161"/>
    <mergeCell ref="D161:E161"/>
    <mergeCell ref="G161:I161"/>
    <mergeCell ref="J161:L161"/>
    <mergeCell ref="B162:C162"/>
    <mergeCell ref="D162:E162"/>
    <mergeCell ref="G162:I162"/>
    <mergeCell ref="J162:L162"/>
    <mergeCell ref="B158:C158"/>
    <mergeCell ref="D158:L158"/>
    <mergeCell ref="B160:C160"/>
    <mergeCell ref="D160:E160"/>
    <mergeCell ref="G160:I160"/>
    <mergeCell ref="J160:L160"/>
    <mergeCell ref="B165:C165"/>
    <mergeCell ref="D165:E165"/>
    <mergeCell ref="G165:I165"/>
    <mergeCell ref="J165:L165"/>
    <mergeCell ref="A167:J167"/>
    <mergeCell ref="A176:L176"/>
    <mergeCell ref="B163:C163"/>
    <mergeCell ref="D163:E163"/>
    <mergeCell ref="G163:I163"/>
    <mergeCell ref="J163:L163"/>
    <mergeCell ref="B164:C164"/>
    <mergeCell ref="D164:E164"/>
    <mergeCell ref="G164:I164"/>
    <mergeCell ref="J164:L16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34"/>
  <sheetViews>
    <sheetView workbookViewId="0">
      <selection activeCell="D23" sqref="D23:M23"/>
    </sheetView>
  </sheetViews>
  <sheetFormatPr defaultRowHeight="15" x14ac:dyDescent="0.25"/>
  <cols>
    <col min="1" max="1" width="27.28515625" customWidth="1"/>
    <col min="2" max="2" width="5" customWidth="1"/>
    <col min="3" max="3" width="9.140625" customWidth="1"/>
    <col min="4" max="4" width="3" customWidth="1"/>
    <col min="5" max="5" width="6.140625" customWidth="1"/>
    <col min="6" max="6" width="9.140625" customWidth="1"/>
    <col min="7" max="7" width="8.140625" customWidth="1"/>
    <col min="8" max="8" width="0.85546875" customWidth="1"/>
    <col min="9" max="9" width="5.140625" customWidth="1"/>
    <col min="10" max="10" width="4" customWidth="1"/>
    <col min="11" max="11" width="7" customWidth="1"/>
    <col min="12" max="12" width="2" customWidth="1"/>
    <col min="13" max="13" width="9.140625" customWidth="1"/>
  </cols>
  <sheetData>
    <row r="1" spans="1:13" ht="11.85" customHeight="1" x14ac:dyDescent="0.25">
      <c r="A1" s="856" t="s">
        <v>833</v>
      </c>
      <c r="B1" s="856"/>
      <c r="C1" s="856"/>
      <c r="D1" s="856"/>
      <c r="L1" s="860" t="s">
        <v>834</v>
      </c>
      <c r="M1" s="860"/>
    </row>
    <row r="2" spans="1:13" ht="11.1" customHeight="1" x14ac:dyDescent="0.25">
      <c r="A2" s="856" t="s">
        <v>824</v>
      </c>
      <c r="B2" s="856"/>
      <c r="C2" s="856"/>
      <c r="D2" s="856"/>
    </row>
    <row r="3" spans="1:13" ht="11.85" customHeight="1" x14ac:dyDescent="0.25">
      <c r="A3" s="861" t="s">
        <v>1981</v>
      </c>
      <c r="B3" s="861"/>
      <c r="C3" s="861"/>
      <c r="D3" s="861"/>
    </row>
    <row r="4" spans="1:13" ht="11.85" customHeight="1" x14ac:dyDescent="0.25">
      <c r="A4" s="856" t="s">
        <v>832</v>
      </c>
      <c r="B4" s="856"/>
      <c r="C4" s="856"/>
      <c r="D4" s="856"/>
    </row>
    <row r="5" spans="1:13" ht="11.85" customHeight="1" x14ac:dyDescent="0.25">
      <c r="A5" s="856" t="s">
        <v>920</v>
      </c>
      <c r="B5" s="856"/>
      <c r="C5" s="856"/>
      <c r="D5" s="856"/>
    </row>
    <row r="6" spans="1:13" ht="5.85" customHeight="1" x14ac:dyDescent="0.25"/>
    <row r="7" spans="1:13" ht="11.1" customHeight="1" x14ac:dyDescent="0.25">
      <c r="A7" s="572" t="s">
        <v>1982</v>
      </c>
      <c r="B7" s="550"/>
      <c r="C7" s="550"/>
      <c r="D7" s="550"/>
      <c r="E7" s="550"/>
      <c r="F7" s="550"/>
      <c r="G7" s="550"/>
      <c r="H7" s="550"/>
      <c r="I7" s="550"/>
      <c r="J7" s="879" t="s">
        <v>1017</v>
      </c>
      <c r="K7" s="879"/>
      <c r="L7" s="879"/>
      <c r="M7" s="879"/>
    </row>
    <row r="8" spans="1:13" ht="11.85" customHeight="1" x14ac:dyDescent="0.25">
      <c r="A8" s="804" t="s">
        <v>1983</v>
      </c>
      <c r="B8" s="825"/>
      <c r="C8" s="825"/>
      <c r="D8" s="825"/>
      <c r="E8" s="825"/>
      <c r="F8" s="825"/>
      <c r="G8" s="825"/>
      <c r="H8" s="825"/>
      <c r="I8" s="825"/>
      <c r="J8" s="825"/>
      <c r="K8" s="825"/>
      <c r="L8" s="825"/>
      <c r="M8" s="805"/>
    </row>
    <row r="9" spans="1:13" ht="11.85" customHeight="1" x14ac:dyDescent="0.25">
      <c r="A9" s="804" t="s">
        <v>1984</v>
      </c>
      <c r="B9" s="839"/>
      <c r="C9" s="870" t="s">
        <v>927</v>
      </c>
      <c r="D9" s="806" t="s">
        <v>1985</v>
      </c>
      <c r="E9" s="807"/>
      <c r="F9" s="807"/>
      <c r="G9" s="807"/>
      <c r="H9" s="807"/>
      <c r="I9" s="807"/>
      <c r="J9" s="807"/>
      <c r="K9" s="807"/>
      <c r="L9" s="807"/>
      <c r="M9" s="808"/>
    </row>
    <row r="10" spans="1:13" ht="11.85" customHeight="1" x14ac:dyDescent="0.25">
      <c r="A10" s="840"/>
      <c r="B10" s="841"/>
      <c r="C10" s="871"/>
      <c r="D10" s="880" t="s">
        <v>928</v>
      </c>
      <c r="E10" s="881"/>
      <c r="F10" s="881"/>
      <c r="G10" s="881"/>
      <c r="H10" s="881"/>
      <c r="I10" s="881"/>
      <c r="J10" s="881"/>
      <c r="K10" s="881"/>
      <c r="L10" s="881"/>
      <c r="M10" s="882"/>
    </row>
    <row r="11" spans="1:13" ht="5.0999999999999996" customHeight="1" x14ac:dyDescent="0.25">
      <c r="A11" s="842"/>
      <c r="B11" s="843"/>
      <c r="C11" s="866"/>
      <c r="D11" s="883" t="s">
        <v>956</v>
      </c>
      <c r="E11" s="884"/>
      <c r="F11" s="884"/>
      <c r="G11" s="884"/>
      <c r="H11" s="884"/>
      <c r="I11" s="884"/>
      <c r="J11" s="884"/>
      <c r="K11" s="884"/>
      <c r="L11" s="884"/>
      <c r="M11" s="885"/>
    </row>
    <row r="12" spans="1:13" ht="11.85" customHeight="1" x14ac:dyDescent="0.25">
      <c r="A12" s="868" t="s">
        <v>1986</v>
      </c>
      <c r="B12" s="869"/>
      <c r="C12" s="573" t="s">
        <v>1479</v>
      </c>
      <c r="D12" s="830" t="s">
        <v>1482</v>
      </c>
      <c r="E12" s="812"/>
      <c r="F12" s="812"/>
      <c r="G12" s="812"/>
      <c r="H12" s="812"/>
      <c r="I12" s="812"/>
      <c r="J12" s="812"/>
      <c r="K12" s="812"/>
      <c r="L12" s="812"/>
      <c r="M12" s="811"/>
    </row>
    <row r="13" spans="1:13" ht="11.85" customHeight="1" x14ac:dyDescent="0.25">
      <c r="A13" s="862" t="s">
        <v>836</v>
      </c>
      <c r="B13" s="863"/>
      <c r="C13" s="574" t="s">
        <v>837</v>
      </c>
      <c r="D13" s="826" t="s">
        <v>1487</v>
      </c>
      <c r="E13" s="798"/>
      <c r="F13" s="798"/>
      <c r="G13" s="798"/>
      <c r="H13" s="798"/>
      <c r="I13" s="798"/>
      <c r="J13" s="798"/>
      <c r="K13" s="798"/>
      <c r="L13" s="798"/>
      <c r="M13" s="797"/>
    </row>
    <row r="14" spans="1:13" ht="11.85" customHeight="1" x14ac:dyDescent="0.25">
      <c r="A14" s="862" t="s">
        <v>208</v>
      </c>
      <c r="B14" s="863"/>
      <c r="C14" s="574" t="s">
        <v>838</v>
      </c>
      <c r="D14" s="826" t="s">
        <v>1987</v>
      </c>
      <c r="E14" s="798"/>
      <c r="F14" s="798"/>
      <c r="G14" s="798"/>
      <c r="H14" s="798"/>
      <c r="I14" s="798"/>
      <c r="J14" s="798"/>
      <c r="K14" s="798"/>
      <c r="L14" s="798"/>
      <c r="M14" s="797"/>
    </row>
    <row r="15" spans="1:13" ht="11.1" customHeight="1" x14ac:dyDescent="0.25">
      <c r="A15" s="862" t="s">
        <v>839</v>
      </c>
      <c r="B15" s="863"/>
      <c r="C15" s="574" t="s">
        <v>840</v>
      </c>
      <c r="D15" s="826" t="s">
        <v>1988</v>
      </c>
      <c r="E15" s="798"/>
      <c r="F15" s="798"/>
      <c r="G15" s="798"/>
      <c r="H15" s="798"/>
      <c r="I15" s="798"/>
      <c r="J15" s="798"/>
      <c r="K15" s="798"/>
      <c r="L15" s="798"/>
      <c r="M15" s="797"/>
    </row>
    <row r="16" spans="1:13" ht="11.85" customHeight="1" x14ac:dyDescent="0.25">
      <c r="A16" s="862" t="s">
        <v>210</v>
      </c>
      <c r="B16" s="863"/>
      <c r="C16" s="574" t="s">
        <v>841</v>
      </c>
      <c r="D16" s="826" t="s">
        <v>1989</v>
      </c>
      <c r="E16" s="798"/>
      <c r="F16" s="798"/>
      <c r="G16" s="798"/>
      <c r="H16" s="798"/>
      <c r="I16" s="798"/>
      <c r="J16" s="798"/>
      <c r="K16" s="798"/>
      <c r="L16" s="798"/>
      <c r="M16" s="797"/>
    </row>
    <row r="17" spans="1:13" ht="11.85" customHeight="1" x14ac:dyDescent="0.25">
      <c r="A17" s="862" t="s">
        <v>206</v>
      </c>
      <c r="B17" s="863"/>
      <c r="C17" s="574" t="s">
        <v>842</v>
      </c>
      <c r="D17" s="826" t="s">
        <v>1990</v>
      </c>
      <c r="E17" s="798"/>
      <c r="F17" s="798"/>
      <c r="G17" s="798"/>
      <c r="H17" s="798"/>
      <c r="I17" s="798"/>
      <c r="J17" s="798"/>
      <c r="K17" s="798"/>
      <c r="L17" s="798"/>
      <c r="M17" s="797"/>
    </row>
    <row r="18" spans="1:13" ht="11.85" customHeight="1" x14ac:dyDescent="0.25">
      <c r="A18" s="862" t="s">
        <v>1991</v>
      </c>
      <c r="B18" s="863"/>
      <c r="C18" s="574" t="s">
        <v>843</v>
      </c>
      <c r="D18" s="826" t="s">
        <v>1992</v>
      </c>
      <c r="E18" s="798"/>
      <c r="F18" s="798"/>
      <c r="G18" s="798"/>
      <c r="H18" s="798"/>
      <c r="I18" s="798"/>
      <c r="J18" s="798"/>
      <c r="K18" s="798"/>
      <c r="L18" s="798"/>
      <c r="M18" s="797"/>
    </row>
    <row r="19" spans="1:13" ht="11.1" customHeight="1" x14ac:dyDescent="0.25">
      <c r="A19" s="862" t="s">
        <v>844</v>
      </c>
      <c r="B19" s="863"/>
      <c r="C19" s="574" t="s">
        <v>845</v>
      </c>
      <c r="D19" s="826" t="s">
        <v>1512</v>
      </c>
      <c r="E19" s="798"/>
      <c r="F19" s="798"/>
      <c r="G19" s="798"/>
      <c r="H19" s="798"/>
      <c r="I19" s="798"/>
      <c r="J19" s="798"/>
      <c r="K19" s="798"/>
      <c r="L19" s="798"/>
      <c r="M19" s="797"/>
    </row>
    <row r="20" spans="1:13" ht="11.85" customHeight="1" x14ac:dyDescent="0.25">
      <c r="A20" s="862" t="s">
        <v>846</v>
      </c>
      <c r="B20" s="863"/>
      <c r="C20" s="574" t="s">
        <v>847</v>
      </c>
      <c r="D20" s="826" t="s">
        <v>1531</v>
      </c>
      <c r="E20" s="798"/>
      <c r="F20" s="798"/>
      <c r="G20" s="798"/>
      <c r="H20" s="798"/>
      <c r="I20" s="798"/>
      <c r="J20" s="798"/>
      <c r="K20" s="798"/>
      <c r="L20" s="798"/>
      <c r="M20" s="797"/>
    </row>
    <row r="21" spans="1:13" ht="11.85" customHeight="1" x14ac:dyDescent="0.25">
      <c r="A21" s="862" t="s">
        <v>1993</v>
      </c>
      <c r="B21" s="863"/>
      <c r="C21" s="574" t="s">
        <v>848</v>
      </c>
      <c r="D21" s="826" t="s">
        <v>1543</v>
      </c>
      <c r="E21" s="798"/>
      <c r="F21" s="798"/>
      <c r="G21" s="798"/>
      <c r="H21" s="798"/>
      <c r="I21" s="798"/>
      <c r="J21" s="798"/>
      <c r="K21" s="798"/>
      <c r="L21" s="798"/>
      <c r="M21" s="797"/>
    </row>
    <row r="22" spans="1:13" ht="11.85" customHeight="1" x14ac:dyDescent="0.25">
      <c r="A22" s="862" t="s">
        <v>849</v>
      </c>
      <c r="B22" s="863"/>
      <c r="C22" s="574" t="s">
        <v>850</v>
      </c>
      <c r="D22" s="826" t="s">
        <v>1537</v>
      </c>
      <c r="E22" s="798"/>
      <c r="F22" s="798"/>
      <c r="G22" s="798"/>
      <c r="H22" s="798"/>
      <c r="I22" s="798"/>
      <c r="J22" s="798"/>
      <c r="K22" s="798"/>
      <c r="L22" s="798"/>
      <c r="M22" s="797"/>
    </row>
    <row r="23" spans="1:13" ht="11.1" customHeight="1" x14ac:dyDescent="0.25">
      <c r="A23" s="862" t="s">
        <v>855</v>
      </c>
      <c r="B23" s="863"/>
      <c r="C23" s="574" t="s">
        <v>1558</v>
      </c>
      <c r="D23" s="826" t="s">
        <v>1561</v>
      </c>
      <c r="E23" s="798"/>
      <c r="F23" s="798"/>
      <c r="G23" s="798"/>
      <c r="H23" s="798"/>
      <c r="I23" s="798"/>
      <c r="J23" s="798"/>
      <c r="K23" s="798"/>
      <c r="L23" s="798"/>
      <c r="M23" s="797"/>
    </row>
    <row r="24" spans="1:13" ht="11.85" customHeight="1" x14ac:dyDescent="0.25">
      <c r="A24" s="862" t="s">
        <v>856</v>
      </c>
      <c r="B24" s="863"/>
      <c r="C24" s="574" t="s">
        <v>1994</v>
      </c>
      <c r="D24" s="826" t="s">
        <v>1995</v>
      </c>
      <c r="E24" s="798"/>
      <c r="F24" s="798"/>
      <c r="G24" s="798"/>
      <c r="H24" s="798"/>
      <c r="I24" s="798"/>
      <c r="J24" s="798"/>
      <c r="K24" s="798"/>
      <c r="L24" s="798"/>
      <c r="M24" s="797"/>
    </row>
    <row r="25" spans="1:13" ht="11.85" customHeight="1" x14ac:dyDescent="0.25">
      <c r="A25" s="862" t="s">
        <v>857</v>
      </c>
      <c r="B25" s="863"/>
      <c r="C25" s="574" t="s">
        <v>1996</v>
      </c>
      <c r="D25" s="826" t="s">
        <v>1997</v>
      </c>
      <c r="E25" s="798"/>
      <c r="F25" s="798"/>
      <c r="G25" s="798"/>
      <c r="H25" s="798"/>
      <c r="I25" s="798"/>
      <c r="J25" s="798"/>
      <c r="K25" s="798"/>
      <c r="L25" s="798"/>
      <c r="M25" s="797"/>
    </row>
    <row r="26" spans="1:13" ht="11.85" customHeight="1" x14ac:dyDescent="0.25">
      <c r="A26" s="862" t="s">
        <v>859</v>
      </c>
      <c r="B26" s="863"/>
      <c r="C26" s="574" t="s">
        <v>1998</v>
      </c>
      <c r="D26" s="826" t="s">
        <v>1999</v>
      </c>
      <c r="E26" s="798"/>
      <c r="F26" s="798"/>
      <c r="G26" s="798"/>
      <c r="H26" s="798"/>
      <c r="I26" s="798"/>
      <c r="J26" s="798"/>
      <c r="K26" s="798"/>
      <c r="L26" s="798"/>
      <c r="M26" s="797"/>
    </row>
    <row r="27" spans="1:13" ht="11.1" customHeight="1" x14ac:dyDescent="0.25">
      <c r="A27" s="862" t="s">
        <v>861</v>
      </c>
      <c r="B27" s="863"/>
      <c r="C27" s="574" t="s">
        <v>2000</v>
      </c>
      <c r="D27" s="826" t="s">
        <v>2001</v>
      </c>
      <c r="E27" s="798"/>
      <c r="F27" s="798"/>
      <c r="G27" s="798"/>
      <c r="H27" s="798"/>
      <c r="I27" s="798"/>
      <c r="J27" s="798"/>
      <c r="K27" s="798"/>
      <c r="L27" s="798"/>
      <c r="M27" s="797"/>
    </row>
    <row r="28" spans="1:13" ht="11.85" customHeight="1" x14ac:dyDescent="0.25">
      <c r="A28" s="862" t="s">
        <v>863</v>
      </c>
      <c r="B28" s="863"/>
      <c r="C28" s="574" t="s">
        <v>2002</v>
      </c>
      <c r="D28" s="826" t="s">
        <v>825</v>
      </c>
      <c r="E28" s="798"/>
      <c r="F28" s="798"/>
      <c r="G28" s="798"/>
      <c r="H28" s="798"/>
      <c r="I28" s="798"/>
      <c r="J28" s="798"/>
      <c r="K28" s="798"/>
      <c r="L28" s="798"/>
      <c r="M28" s="797"/>
    </row>
    <row r="29" spans="1:13" ht="11.85" customHeight="1" x14ac:dyDescent="0.25">
      <c r="A29" s="862" t="s">
        <v>865</v>
      </c>
      <c r="B29" s="863"/>
      <c r="C29" s="574" t="s">
        <v>2003</v>
      </c>
      <c r="D29" s="826" t="s">
        <v>2004</v>
      </c>
      <c r="E29" s="798"/>
      <c r="F29" s="798"/>
      <c r="G29" s="798"/>
      <c r="H29" s="798"/>
      <c r="I29" s="798"/>
      <c r="J29" s="798"/>
      <c r="K29" s="798"/>
      <c r="L29" s="798"/>
      <c r="M29" s="797"/>
    </row>
    <row r="30" spans="1:13" ht="11.85" customHeight="1" x14ac:dyDescent="0.25">
      <c r="A30" s="862" t="s">
        <v>867</v>
      </c>
      <c r="B30" s="863"/>
      <c r="C30" s="574" t="s">
        <v>1591</v>
      </c>
      <c r="D30" s="826" t="s">
        <v>1594</v>
      </c>
      <c r="E30" s="798"/>
      <c r="F30" s="798"/>
      <c r="G30" s="798"/>
      <c r="H30" s="798"/>
      <c r="I30" s="798"/>
      <c r="J30" s="798"/>
      <c r="K30" s="798"/>
      <c r="L30" s="798"/>
      <c r="M30" s="797"/>
    </row>
    <row r="31" spans="1:13" ht="11.1" customHeight="1" x14ac:dyDescent="0.25">
      <c r="A31" s="862" t="s">
        <v>868</v>
      </c>
      <c r="B31" s="863"/>
      <c r="C31" s="574" t="s">
        <v>2005</v>
      </c>
      <c r="D31" s="826" t="s">
        <v>2006</v>
      </c>
      <c r="E31" s="798"/>
      <c r="F31" s="798"/>
      <c r="G31" s="798"/>
      <c r="H31" s="798"/>
      <c r="I31" s="798"/>
      <c r="J31" s="798"/>
      <c r="K31" s="798"/>
      <c r="L31" s="798"/>
      <c r="M31" s="797"/>
    </row>
    <row r="32" spans="1:13" ht="11.85" customHeight="1" x14ac:dyDescent="0.25">
      <c r="A32" s="862" t="s">
        <v>1621</v>
      </c>
      <c r="B32" s="863"/>
      <c r="C32" s="574" t="s">
        <v>2007</v>
      </c>
      <c r="D32" s="826" t="s">
        <v>2008</v>
      </c>
      <c r="E32" s="798"/>
      <c r="F32" s="798"/>
      <c r="G32" s="798"/>
      <c r="H32" s="798"/>
      <c r="I32" s="798"/>
      <c r="J32" s="798"/>
      <c r="K32" s="798"/>
      <c r="L32" s="798"/>
      <c r="M32" s="797"/>
    </row>
    <row r="33" spans="1:13" ht="11.85" customHeight="1" x14ac:dyDescent="0.25">
      <c r="A33" s="862" t="s">
        <v>2009</v>
      </c>
      <c r="B33" s="863"/>
      <c r="C33" s="574" t="s">
        <v>2010</v>
      </c>
      <c r="D33" s="826" t="s">
        <v>2011</v>
      </c>
      <c r="E33" s="798"/>
      <c r="F33" s="798"/>
      <c r="G33" s="798"/>
      <c r="H33" s="798"/>
      <c r="I33" s="798"/>
      <c r="J33" s="798"/>
      <c r="K33" s="798"/>
      <c r="L33" s="798"/>
      <c r="M33" s="797"/>
    </row>
    <row r="34" spans="1:13" ht="11.85" customHeight="1" x14ac:dyDescent="0.25">
      <c r="A34" s="862" t="s">
        <v>2012</v>
      </c>
      <c r="B34" s="863"/>
      <c r="C34" s="574" t="s">
        <v>2013</v>
      </c>
      <c r="D34" s="826" t="s">
        <v>2014</v>
      </c>
      <c r="E34" s="798"/>
      <c r="F34" s="798"/>
      <c r="G34" s="798"/>
      <c r="H34" s="798"/>
      <c r="I34" s="798"/>
      <c r="J34" s="798"/>
      <c r="K34" s="798"/>
      <c r="L34" s="798"/>
      <c r="M34" s="797"/>
    </row>
    <row r="35" spans="1:13" ht="11.1" customHeight="1" x14ac:dyDescent="0.25">
      <c r="A35" s="862" t="s">
        <v>2015</v>
      </c>
      <c r="B35" s="863"/>
      <c r="C35" s="574" t="s">
        <v>2016</v>
      </c>
      <c r="D35" s="826" t="s">
        <v>2017</v>
      </c>
      <c r="E35" s="798"/>
      <c r="F35" s="798"/>
      <c r="G35" s="798"/>
      <c r="H35" s="798"/>
      <c r="I35" s="798"/>
      <c r="J35" s="798"/>
      <c r="K35" s="798"/>
      <c r="L35" s="798"/>
      <c r="M35" s="797"/>
    </row>
    <row r="36" spans="1:13" ht="11.85" customHeight="1" x14ac:dyDescent="0.25">
      <c r="A36" s="862" t="s">
        <v>2018</v>
      </c>
      <c r="B36" s="863"/>
      <c r="C36" s="574" t="s">
        <v>1630</v>
      </c>
      <c r="D36" s="826" t="s">
        <v>1633</v>
      </c>
      <c r="E36" s="798"/>
      <c r="F36" s="798"/>
      <c r="G36" s="798"/>
      <c r="H36" s="798"/>
      <c r="I36" s="798"/>
      <c r="J36" s="798"/>
      <c r="K36" s="798"/>
      <c r="L36" s="798"/>
      <c r="M36" s="797"/>
    </row>
    <row r="37" spans="1:13" ht="11.85" customHeight="1" x14ac:dyDescent="0.25">
      <c r="A37" s="862" t="s">
        <v>2019</v>
      </c>
      <c r="B37" s="863"/>
      <c r="C37" s="574" t="s">
        <v>825</v>
      </c>
      <c r="D37" s="826" t="s">
        <v>825</v>
      </c>
      <c r="E37" s="798"/>
      <c r="F37" s="798"/>
      <c r="G37" s="798"/>
      <c r="H37" s="798"/>
      <c r="I37" s="798"/>
      <c r="J37" s="798"/>
      <c r="K37" s="798"/>
      <c r="L37" s="798"/>
      <c r="M37" s="797"/>
    </row>
    <row r="38" spans="1:13" ht="11.85" customHeight="1" x14ac:dyDescent="0.25">
      <c r="A38" s="862" t="s">
        <v>2020</v>
      </c>
      <c r="B38" s="863"/>
      <c r="C38" s="574" t="s">
        <v>1637</v>
      </c>
      <c r="D38" s="826" t="s">
        <v>1639</v>
      </c>
      <c r="E38" s="798"/>
      <c r="F38" s="798"/>
      <c r="G38" s="798"/>
      <c r="H38" s="798"/>
      <c r="I38" s="798"/>
      <c r="J38" s="798"/>
      <c r="K38" s="798"/>
      <c r="L38" s="798"/>
      <c r="M38" s="797"/>
    </row>
    <row r="39" spans="1:13" ht="11.1" customHeight="1" x14ac:dyDescent="0.25">
      <c r="A39" s="862" t="s">
        <v>2021</v>
      </c>
      <c r="B39" s="863"/>
      <c r="C39" s="574" t="s">
        <v>825</v>
      </c>
      <c r="D39" s="826" t="s">
        <v>825</v>
      </c>
      <c r="E39" s="798"/>
      <c r="F39" s="798"/>
      <c r="G39" s="798"/>
      <c r="H39" s="798"/>
      <c r="I39" s="798"/>
      <c r="J39" s="798"/>
      <c r="K39" s="798"/>
      <c r="L39" s="798"/>
      <c r="M39" s="797"/>
    </row>
    <row r="40" spans="1:13" ht="11.85" customHeight="1" x14ac:dyDescent="0.25">
      <c r="A40" s="862" t="s">
        <v>2022</v>
      </c>
      <c r="B40" s="863"/>
      <c r="C40" s="574" t="s">
        <v>825</v>
      </c>
      <c r="D40" s="826" t="s">
        <v>825</v>
      </c>
      <c r="E40" s="798"/>
      <c r="F40" s="798"/>
      <c r="G40" s="798"/>
      <c r="H40" s="798"/>
      <c r="I40" s="798"/>
      <c r="J40" s="798"/>
      <c r="K40" s="798"/>
      <c r="L40" s="798"/>
      <c r="M40" s="797"/>
    </row>
    <row r="41" spans="1:13" ht="11.85" customHeight="1" x14ac:dyDescent="0.25">
      <c r="A41" s="862" t="s">
        <v>2023</v>
      </c>
      <c r="B41" s="863"/>
      <c r="C41" s="574" t="s">
        <v>825</v>
      </c>
      <c r="D41" s="826" t="s">
        <v>825</v>
      </c>
      <c r="E41" s="798"/>
      <c r="F41" s="798"/>
      <c r="G41" s="798"/>
      <c r="H41" s="798"/>
      <c r="I41" s="798"/>
      <c r="J41" s="798"/>
      <c r="K41" s="798"/>
      <c r="L41" s="798"/>
      <c r="M41" s="797"/>
    </row>
    <row r="42" spans="1:13" ht="11.85" customHeight="1" x14ac:dyDescent="0.25">
      <c r="A42" s="862" t="s">
        <v>2024</v>
      </c>
      <c r="B42" s="863"/>
      <c r="C42" s="574" t="s">
        <v>825</v>
      </c>
      <c r="D42" s="826" t="s">
        <v>825</v>
      </c>
      <c r="E42" s="798"/>
      <c r="F42" s="798"/>
      <c r="G42" s="798"/>
      <c r="H42" s="798"/>
      <c r="I42" s="798"/>
      <c r="J42" s="798"/>
      <c r="K42" s="798"/>
      <c r="L42" s="798"/>
      <c r="M42" s="797"/>
    </row>
    <row r="43" spans="1:13" ht="11.1" customHeight="1" x14ac:dyDescent="0.25">
      <c r="A43" s="862" t="s">
        <v>1642</v>
      </c>
      <c r="B43" s="863"/>
      <c r="C43" s="574" t="s">
        <v>1643</v>
      </c>
      <c r="D43" s="826" t="s">
        <v>1646</v>
      </c>
      <c r="E43" s="798"/>
      <c r="F43" s="798"/>
      <c r="G43" s="798"/>
      <c r="H43" s="798"/>
      <c r="I43" s="798"/>
      <c r="J43" s="798"/>
      <c r="K43" s="798"/>
      <c r="L43" s="798"/>
      <c r="M43" s="797"/>
    </row>
    <row r="44" spans="1:13" ht="11.85" customHeight="1" x14ac:dyDescent="0.25">
      <c r="A44" s="862" t="s">
        <v>2025</v>
      </c>
      <c r="B44" s="863"/>
      <c r="C44" s="574" t="s">
        <v>2026</v>
      </c>
      <c r="D44" s="826" t="s">
        <v>1651</v>
      </c>
      <c r="E44" s="798"/>
      <c r="F44" s="798"/>
      <c r="G44" s="798"/>
      <c r="H44" s="798"/>
      <c r="I44" s="798"/>
      <c r="J44" s="798"/>
      <c r="K44" s="798"/>
      <c r="L44" s="798"/>
      <c r="M44" s="797"/>
    </row>
    <row r="45" spans="1:13" ht="11.85" customHeight="1" x14ac:dyDescent="0.25">
      <c r="A45" s="862" t="s">
        <v>2027</v>
      </c>
      <c r="B45" s="863"/>
      <c r="C45" s="574" t="s">
        <v>2028</v>
      </c>
      <c r="D45" s="826" t="s">
        <v>1655</v>
      </c>
      <c r="E45" s="798"/>
      <c r="F45" s="798"/>
      <c r="G45" s="798"/>
      <c r="H45" s="798"/>
      <c r="I45" s="798"/>
      <c r="J45" s="798"/>
      <c r="K45" s="798"/>
      <c r="L45" s="798"/>
      <c r="M45" s="797"/>
    </row>
    <row r="46" spans="1:13" ht="11.85" customHeight="1" x14ac:dyDescent="0.25">
      <c r="A46" s="862" t="s">
        <v>1658</v>
      </c>
      <c r="B46" s="863"/>
      <c r="C46" s="574" t="s">
        <v>1660</v>
      </c>
      <c r="D46" s="826" t="s">
        <v>1663</v>
      </c>
      <c r="E46" s="798"/>
      <c r="F46" s="798"/>
      <c r="G46" s="798"/>
      <c r="H46" s="798"/>
      <c r="I46" s="798"/>
      <c r="J46" s="798"/>
      <c r="K46" s="798"/>
      <c r="L46" s="798"/>
      <c r="M46" s="797"/>
    </row>
    <row r="47" spans="1:13" ht="11.1" customHeight="1" x14ac:dyDescent="0.25">
      <c r="A47" s="862" t="s">
        <v>2029</v>
      </c>
      <c r="B47" s="863"/>
      <c r="C47" s="574" t="s">
        <v>825</v>
      </c>
      <c r="D47" s="826" t="s">
        <v>825</v>
      </c>
      <c r="E47" s="798"/>
      <c r="F47" s="798"/>
      <c r="G47" s="798"/>
      <c r="H47" s="798"/>
      <c r="I47" s="798"/>
      <c r="J47" s="798"/>
      <c r="K47" s="798"/>
      <c r="L47" s="798"/>
      <c r="M47" s="797"/>
    </row>
    <row r="48" spans="1:13" ht="11.85" customHeight="1" x14ac:dyDescent="0.25">
      <c r="A48" s="862" t="s">
        <v>2030</v>
      </c>
      <c r="B48" s="863"/>
      <c r="C48" s="574" t="s">
        <v>1660</v>
      </c>
      <c r="D48" s="826" t="s">
        <v>1663</v>
      </c>
      <c r="E48" s="798"/>
      <c r="F48" s="798"/>
      <c r="G48" s="798"/>
      <c r="H48" s="798"/>
      <c r="I48" s="798"/>
      <c r="J48" s="798"/>
      <c r="K48" s="798"/>
      <c r="L48" s="798"/>
      <c r="M48" s="797"/>
    </row>
    <row r="49" spans="1:13" ht="11.85" customHeight="1" x14ac:dyDescent="0.25">
      <c r="A49" s="857" t="s">
        <v>2031</v>
      </c>
      <c r="B49" s="858"/>
      <c r="C49" s="575" t="s">
        <v>2032</v>
      </c>
      <c r="D49" s="821" t="s">
        <v>2033</v>
      </c>
      <c r="E49" s="802"/>
      <c r="F49" s="802"/>
      <c r="G49" s="802"/>
      <c r="H49" s="802"/>
      <c r="I49" s="802"/>
      <c r="J49" s="802"/>
      <c r="K49" s="802"/>
      <c r="L49" s="802"/>
      <c r="M49" s="801"/>
    </row>
    <row r="50" spans="1:13" ht="11.85" customHeight="1" x14ac:dyDescent="0.25">
      <c r="A50" s="854" t="s">
        <v>2034</v>
      </c>
      <c r="B50" s="855"/>
      <c r="C50" s="576" t="s">
        <v>2035</v>
      </c>
      <c r="D50" s="848" t="s">
        <v>2036</v>
      </c>
      <c r="E50" s="849"/>
      <c r="F50" s="849"/>
      <c r="G50" s="849"/>
      <c r="H50" s="849"/>
      <c r="I50" s="849"/>
      <c r="J50" s="849"/>
      <c r="K50" s="849"/>
      <c r="L50" s="849"/>
      <c r="M50" s="850"/>
    </row>
    <row r="51" spans="1:13" ht="5.85" customHeight="1" x14ac:dyDescent="0.25">
      <c r="A51" s="559"/>
      <c r="B51" s="559"/>
      <c r="C51" s="559"/>
      <c r="D51" s="559"/>
      <c r="E51" s="559"/>
      <c r="F51" s="559"/>
      <c r="G51" s="559"/>
      <c r="H51" s="559"/>
      <c r="I51" s="559"/>
      <c r="J51" s="559"/>
      <c r="K51" s="559"/>
      <c r="L51" s="559"/>
      <c r="M51" s="559"/>
    </row>
    <row r="52" spans="1:13" ht="11.1" customHeight="1" x14ac:dyDescent="0.25">
      <c r="A52" s="804" t="s">
        <v>2037</v>
      </c>
      <c r="B52" s="839"/>
      <c r="C52" s="870" t="s">
        <v>933</v>
      </c>
      <c r="D52" s="806" t="s">
        <v>1985</v>
      </c>
      <c r="E52" s="807"/>
      <c r="F52" s="807"/>
      <c r="G52" s="807"/>
      <c r="H52" s="807"/>
      <c r="I52" s="807"/>
      <c r="J52" s="807"/>
      <c r="K52" s="807"/>
      <c r="L52" s="807"/>
      <c r="M52" s="808"/>
    </row>
    <row r="53" spans="1:13" ht="17.850000000000001" customHeight="1" x14ac:dyDescent="0.25">
      <c r="A53" s="840"/>
      <c r="B53" s="841"/>
      <c r="C53" s="871"/>
      <c r="D53" s="870" t="s">
        <v>934</v>
      </c>
      <c r="E53" s="872"/>
      <c r="F53" s="870" t="s">
        <v>935</v>
      </c>
      <c r="G53" s="876" t="s">
        <v>936</v>
      </c>
      <c r="H53" s="872"/>
      <c r="I53" s="876" t="s">
        <v>2038</v>
      </c>
      <c r="J53" s="872"/>
      <c r="K53" s="870" t="s">
        <v>2039</v>
      </c>
      <c r="L53" s="877"/>
      <c r="M53" s="878"/>
    </row>
    <row r="54" spans="1:13" ht="5.85" customHeight="1" x14ac:dyDescent="0.25">
      <c r="A54" s="840"/>
      <c r="B54" s="841"/>
      <c r="C54" s="871"/>
      <c r="D54" s="873"/>
      <c r="E54" s="874"/>
      <c r="F54" s="871"/>
      <c r="G54" s="873"/>
      <c r="H54" s="874"/>
      <c r="I54" s="873"/>
      <c r="J54" s="874"/>
      <c r="K54" s="870" t="s">
        <v>1024</v>
      </c>
      <c r="L54" s="872"/>
      <c r="M54" s="870" t="s">
        <v>2040</v>
      </c>
    </row>
    <row r="55" spans="1:13" ht="5.85" customHeight="1" x14ac:dyDescent="0.25">
      <c r="A55" s="842"/>
      <c r="B55" s="843"/>
      <c r="C55" s="866"/>
      <c r="D55" s="875"/>
      <c r="E55" s="867"/>
      <c r="F55" s="866"/>
      <c r="G55" s="866" t="s">
        <v>956</v>
      </c>
      <c r="H55" s="867"/>
      <c r="I55" s="866" t="s">
        <v>957</v>
      </c>
      <c r="J55" s="867"/>
      <c r="K55" s="875"/>
      <c r="L55" s="867"/>
      <c r="M55" s="866"/>
    </row>
    <row r="56" spans="1:13" ht="11.1" customHeight="1" x14ac:dyDescent="0.25">
      <c r="A56" s="868" t="s">
        <v>2041</v>
      </c>
      <c r="B56" s="869"/>
      <c r="C56" s="573" t="s">
        <v>1718</v>
      </c>
      <c r="D56" s="830" t="s">
        <v>1720</v>
      </c>
      <c r="E56" s="811"/>
      <c r="F56" s="573" t="s">
        <v>1723</v>
      </c>
      <c r="G56" s="830" t="s">
        <v>1725</v>
      </c>
      <c r="H56" s="811"/>
      <c r="I56" s="830" t="s">
        <v>2042</v>
      </c>
      <c r="J56" s="811"/>
      <c r="K56" s="865" t="s">
        <v>2043</v>
      </c>
      <c r="L56" s="812"/>
      <c r="M56" s="577" t="s">
        <v>2043</v>
      </c>
    </row>
    <row r="57" spans="1:13" ht="11.85" customHeight="1" x14ac:dyDescent="0.25">
      <c r="A57" s="862" t="s">
        <v>1959</v>
      </c>
      <c r="B57" s="863"/>
      <c r="C57" s="574" t="s">
        <v>1729</v>
      </c>
      <c r="D57" s="826" t="s">
        <v>1731</v>
      </c>
      <c r="E57" s="797"/>
      <c r="F57" s="574" t="s">
        <v>1731</v>
      </c>
      <c r="G57" s="826" t="s">
        <v>1734</v>
      </c>
      <c r="H57" s="797"/>
      <c r="I57" s="826" t="s">
        <v>2044</v>
      </c>
      <c r="J57" s="797"/>
      <c r="K57" s="864" t="s">
        <v>825</v>
      </c>
      <c r="L57" s="798"/>
      <c r="M57" s="578" t="s">
        <v>825</v>
      </c>
    </row>
    <row r="58" spans="1:13" ht="11.85" customHeight="1" x14ac:dyDescent="0.25">
      <c r="A58" s="862" t="s">
        <v>2045</v>
      </c>
      <c r="B58" s="863"/>
      <c r="C58" s="574" t="s">
        <v>1737</v>
      </c>
      <c r="D58" s="826" t="s">
        <v>1738</v>
      </c>
      <c r="E58" s="797"/>
      <c r="F58" s="574" t="s">
        <v>1738</v>
      </c>
      <c r="G58" s="826" t="s">
        <v>1738</v>
      </c>
      <c r="H58" s="797"/>
      <c r="I58" s="826" t="s">
        <v>825</v>
      </c>
      <c r="J58" s="797"/>
      <c r="K58" s="864" t="s">
        <v>825</v>
      </c>
      <c r="L58" s="798"/>
      <c r="M58" s="578" t="s">
        <v>825</v>
      </c>
    </row>
    <row r="59" spans="1:13" ht="11.85" customHeight="1" x14ac:dyDescent="0.25">
      <c r="A59" s="862" t="s">
        <v>2046</v>
      </c>
      <c r="B59" s="863"/>
      <c r="C59" s="574" t="s">
        <v>1743</v>
      </c>
      <c r="D59" s="826" t="s">
        <v>1745</v>
      </c>
      <c r="E59" s="797"/>
      <c r="F59" s="574" t="s">
        <v>1748</v>
      </c>
      <c r="G59" s="826" t="s">
        <v>1750</v>
      </c>
      <c r="H59" s="797"/>
      <c r="I59" s="826" t="s">
        <v>2047</v>
      </c>
      <c r="J59" s="797"/>
      <c r="K59" s="864" t="s">
        <v>2043</v>
      </c>
      <c r="L59" s="798"/>
      <c r="M59" s="578" t="s">
        <v>2043</v>
      </c>
    </row>
    <row r="60" spans="1:13" ht="11.1" customHeight="1" x14ac:dyDescent="0.25">
      <c r="A60" s="862" t="s">
        <v>2048</v>
      </c>
      <c r="B60" s="863"/>
      <c r="C60" s="574" t="s">
        <v>2049</v>
      </c>
      <c r="D60" s="826" t="s">
        <v>2050</v>
      </c>
      <c r="E60" s="797"/>
      <c r="F60" s="574" t="s">
        <v>2051</v>
      </c>
      <c r="G60" s="826" t="s">
        <v>2052</v>
      </c>
      <c r="H60" s="797"/>
      <c r="I60" s="826" t="s">
        <v>2042</v>
      </c>
      <c r="J60" s="797"/>
      <c r="K60" s="864" t="s">
        <v>2043</v>
      </c>
      <c r="L60" s="798"/>
      <c r="M60" s="578" t="s">
        <v>2043</v>
      </c>
    </row>
    <row r="61" spans="1:13" ht="11.85" customHeight="1" x14ac:dyDescent="0.25">
      <c r="A61" s="862" t="s">
        <v>2053</v>
      </c>
      <c r="B61" s="863"/>
      <c r="C61" s="574" t="s">
        <v>1753</v>
      </c>
      <c r="D61" s="826" t="s">
        <v>1755</v>
      </c>
      <c r="E61" s="797"/>
      <c r="F61" s="574" t="s">
        <v>1758</v>
      </c>
      <c r="G61" s="826" t="s">
        <v>1760</v>
      </c>
      <c r="H61" s="797"/>
      <c r="I61" s="826" t="s">
        <v>2054</v>
      </c>
      <c r="J61" s="797"/>
      <c r="K61" s="864" t="s">
        <v>2055</v>
      </c>
      <c r="L61" s="798"/>
      <c r="M61" s="578" t="s">
        <v>2056</v>
      </c>
    </row>
    <row r="62" spans="1:13" ht="11.85" customHeight="1" x14ac:dyDescent="0.25">
      <c r="A62" s="862" t="s">
        <v>329</v>
      </c>
      <c r="B62" s="863"/>
      <c r="C62" s="574" t="s">
        <v>1764</v>
      </c>
      <c r="D62" s="826" t="s">
        <v>1755</v>
      </c>
      <c r="E62" s="797"/>
      <c r="F62" s="574" t="s">
        <v>1758</v>
      </c>
      <c r="G62" s="826" t="s">
        <v>1760</v>
      </c>
      <c r="H62" s="797"/>
      <c r="I62" s="826" t="s">
        <v>2054</v>
      </c>
      <c r="J62" s="797"/>
      <c r="K62" s="864" t="s">
        <v>2057</v>
      </c>
      <c r="L62" s="798"/>
      <c r="M62" s="578" t="s">
        <v>2058</v>
      </c>
    </row>
    <row r="63" spans="1:13" ht="11.85" customHeight="1" x14ac:dyDescent="0.25">
      <c r="A63" s="862" t="s">
        <v>891</v>
      </c>
      <c r="B63" s="863"/>
      <c r="C63" s="574" t="s">
        <v>1769</v>
      </c>
      <c r="D63" s="826" t="s">
        <v>825</v>
      </c>
      <c r="E63" s="797"/>
      <c r="F63" s="574" t="s">
        <v>825</v>
      </c>
      <c r="G63" s="826" t="s">
        <v>825</v>
      </c>
      <c r="H63" s="797"/>
      <c r="I63" s="826" t="s">
        <v>825</v>
      </c>
      <c r="J63" s="797"/>
      <c r="K63" s="864" t="s">
        <v>825</v>
      </c>
      <c r="L63" s="798"/>
      <c r="M63" s="578" t="s">
        <v>825</v>
      </c>
    </row>
    <row r="64" spans="1:13" ht="11.1" customHeight="1" x14ac:dyDescent="0.25">
      <c r="A64" s="862" t="s">
        <v>2059</v>
      </c>
      <c r="B64" s="863"/>
      <c r="C64" s="574" t="s">
        <v>2060</v>
      </c>
      <c r="D64" s="826" t="s">
        <v>825</v>
      </c>
      <c r="E64" s="797"/>
      <c r="F64" s="574" t="s">
        <v>825</v>
      </c>
      <c r="G64" s="826" t="s">
        <v>825</v>
      </c>
      <c r="H64" s="797"/>
      <c r="I64" s="826" t="s">
        <v>825</v>
      </c>
      <c r="J64" s="797"/>
      <c r="K64" s="864" t="s">
        <v>825</v>
      </c>
      <c r="L64" s="798"/>
      <c r="M64" s="578" t="s">
        <v>825</v>
      </c>
    </row>
    <row r="65" spans="1:13" ht="11.85" customHeight="1" x14ac:dyDescent="0.25">
      <c r="A65" s="862" t="s">
        <v>2061</v>
      </c>
      <c r="B65" s="863"/>
      <c r="C65" s="574" t="s">
        <v>825</v>
      </c>
      <c r="D65" s="826" t="s">
        <v>825</v>
      </c>
      <c r="E65" s="797"/>
      <c r="F65" s="574" t="s">
        <v>825</v>
      </c>
      <c r="G65" s="826" t="s">
        <v>825</v>
      </c>
      <c r="H65" s="797"/>
      <c r="I65" s="826" t="s">
        <v>825</v>
      </c>
      <c r="J65" s="797"/>
      <c r="K65" s="864" t="s">
        <v>825</v>
      </c>
      <c r="L65" s="798"/>
      <c r="M65" s="578" t="s">
        <v>825</v>
      </c>
    </row>
    <row r="66" spans="1:13" ht="11.85" customHeight="1" x14ac:dyDescent="0.25">
      <c r="A66" s="862" t="s">
        <v>2062</v>
      </c>
      <c r="B66" s="863"/>
      <c r="C66" s="574" t="s">
        <v>825</v>
      </c>
      <c r="D66" s="826" t="s">
        <v>825</v>
      </c>
      <c r="E66" s="797"/>
      <c r="F66" s="574" t="s">
        <v>825</v>
      </c>
      <c r="G66" s="826" t="s">
        <v>825</v>
      </c>
      <c r="H66" s="797"/>
      <c r="I66" s="826" t="s">
        <v>825</v>
      </c>
      <c r="J66" s="797"/>
      <c r="K66" s="864" t="s">
        <v>825</v>
      </c>
      <c r="L66" s="798"/>
      <c r="M66" s="578" t="s">
        <v>825</v>
      </c>
    </row>
    <row r="67" spans="1:13" ht="11.85" customHeight="1" x14ac:dyDescent="0.25">
      <c r="A67" s="862" t="s">
        <v>2063</v>
      </c>
      <c r="B67" s="863"/>
      <c r="C67" s="574" t="s">
        <v>2064</v>
      </c>
      <c r="D67" s="826" t="s">
        <v>825</v>
      </c>
      <c r="E67" s="797"/>
      <c r="F67" s="574" t="s">
        <v>825</v>
      </c>
      <c r="G67" s="826" t="s">
        <v>825</v>
      </c>
      <c r="H67" s="797"/>
      <c r="I67" s="826" t="s">
        <v>825</v>
      </c>
      <c r="J67" s="797"/>
      <c r="K67" s="864" t="s">
        <v>825</v>
      </c>
      <c r="L67" s="798"/>
      <c r="M67" s="578" t="s">
        <v>825</v>
      </c>
    </row>
    <row r="68" spans="1:13" ht="11.1" customHeight="1" x14ac:dyDescent="0.25">
      <c r="A68" s="862" t="s">
        <v>2065</v>
      </c>
      <c r="B68" s="863"/>
      <c r="C68" s="574" t="s">
        <v>2066</v>
      </c>
      <c r="D68" s="826" t="s">
        <v>825</v>
      </c>
      <c r="E68" s="797"/>
      <c r="F68" s="574" t="s">
        <v>825</v>
      </c>
      <c r="G68" s="826" t="s">
        <v>825</v>
      </c>
      <c r="H68" s="797"/>
      <c r="I68" s="826" t="s">
        <v>825</v>
      </c>
      <c r="J68" s="797"/>
      <c r="K68" s="864" t="s">
        <v>2067</v>
      </c>
      <c r="L68" s="798"/>
      <c r="M68" s="578" t="s">
        <v>2067</v>
      </c>
    </row>
    <row r="69" spans="1:13" ht="11.85" customHeight="1" x14ac:dyDescent="0.25">
      <c r="A69" s="862" t="s">
        <v>2068</v>
      </c>
      <c r="B69" s="863"/>
      <c r="C69" s="574" t="s">
        <v>2069</v>
      </c>
      <c r="D69" s="826" t="s">
        <v>1755</v>
      </c>
      <c r="E69" s="797"/>
      <c r="F69" s="574" t="s">
        <v>1758</v>
      </c>
      <c r="G69" s="826" t="s">
        <v>1760</v>
      </c>
      <c r="H69" s="797"/>
      <c r="I69" s="826" t="s">
        <v>2054</v>
      </c>
      <c r="J69" s="797"/>
      <c r="K69" s="864" t="s">
        <v>2057</v>
      </c>
      <c r="L69" s="798"/>
      <c r="M69" s="578" t="s">
        <v>2058</v>
      </c>
    </row>
    <row r="70" spans="1:13" ht="8.85" customHeight="1" x14ac:dyDescent="0.25"/>
    <row r="71" spans="1:13" ht="11.85" customHeight="1" x14ac:dyDescent="0.25">
      <c r="A71" s="803" t="s">
        <v>2070</v>
      </c>
      <c r="B71" s="803"/>
      <c r="C71" s="803"/>
      <c r="D71" s="803"/>
      <c r="E71" s="803"/>
      <c r="F71" s="803"/>
      <c r="G71" s="803"/>
      <c r="H71" s="803"/>
      <c r="I71" s="803"/>
      <c r="J71" s="803"/>
      <c r="K71" s="803"/>
      <c r="L71" s="803"/>
      <c r="M71" s="803"/>
    </row>
    <row r="72" spans="1:13" ht="11.85" customHeight="1" x14ac:dyDescent="0.25">
      <c r="A72" s="856" t="s">
        <v>833</v>
      </c>
      <c r="B72" s="856"/>
      <c r="C72" s="856"/>
      <c r="D72" s="856"/>
      <c r="L72" s="860" t="s">
        <v>2071</v>
      </c>
      <c r="M72" s="860"/>
    </row>
    <row r="73" spans="1:13" ht="11.1" customHeight="1" x14ac:dyDescent="0.25">
      <c r="A73" s="856" t="s">
        <v>824</v>
      </c>
      <c r="B73" s="856"/>
      <c r="C73" s="856"/>
      <c r="D73" s="856"/>
    </row>
    <row r="74" spans="1:13" ht="11.85" customHeight="1" x14ac:dyDescent="0.25">
      <c r="A74" s="861" t="s">
        <v>1981</v>
      </c>
      <c r="B74" s="861"/>
      <c r="C74" s="861"/>
      <c r="D74" s="861"/>
    </row>
    <row r="75" spans="1:13" ht="11.85" customHeight="1" x14ac:dyDescent="0.25">
      <c r="A75" s="856" t="s">
        <v>832</v>
      </c>
      <c r="B75" s="856"/>
      <c r="C75" s="856"/>
      <c r="D75" s="856"/>
    </row>
    <row r="76" spans="1:13" ht="11.85" customHeight="1" x14ac:dyDescent="0.25">
      <c r="A76" s="856" t="s">
        <v>920</v>
      </c>
      <c r="B76" s="856"/>
      <c r="C76" s="856"/>
      <c r="D76" s="856"/>
    </row>
    <row r="77" spans="1:13" ht="5.85" customHeight="1" x14ac:dyDescent="0.25"/>
    <row r="78" spans="1:13" ht="11.1" customHeight="1" x14ac:dyDescent="0.25">
      <c r="A78" s="857" t="s">
        <v>2072</v>
      </c>
      <c r="B78" s="858"/>
      <c r="C78" s="575" t="s">
        <v>2073</v>
      </c>
      <c r="D78" s="821" t="s">
        <v>825</v>
      </c>
      <c r="E78" s="801"/>
      <c r="F78" s="575" t="s">
        <v>825</v>
      </c>
      <c r="G78" s="821" t="s">
        <v>825</v>
      </c>
      <c r="H78" s="801"/>
      <c r="I78" s="821" t="s">
        <v>825</v>
      </c>
      <c r="J78" s="801"/>
      <c r="K78" s="859" t="s">
        <v>825</v>
      </c>
      <c r="L78" s="802"/>
      <c r="M78" s="579" t="s">
        <v>825</v>
      </c>
    </row>
    <row r="79" spans="1:13" ht="11.85" customHeight="1" x14ac:dyDescent="0.25">
      <c r="A79" s="854" t="s">
        <v>2074</v>
      </c>
      <c r="B79" s="855"/>
      <c r="C79" s="576" t="s">
        <v>2075</v>
      </c>
      <c r="D79" s="848" t="s">
        <v>2076</v>
      </c>
      <c r="E79" s="850"/>
      <c r="F79" s="576" t="s">
        <v>2077</v>
      </c>
      <c r="G79" s="848" t="s">
        <v>2078</v>
      </c>
      <c r="H79" s="850"/>
      <c r="I79" s="848" t="s">
        <v>2079</v>
      </c>
      <c r="J79" s="850"/>
      <c r="K79" s="848" t="s">
        <v>2080</v>
      </c>
      <c r="L79" s="850"/>
      <c r="M79" s="576" t="s">
        <v>2081</v>
      </c>
    </row>
    <row r="80" spans="1:13" ht="5.85" customHeight="1" x14ac:dyDescent="0.25">
      <c r="A80" s="818"/>
      <c r="B80" s="819"/>
      <c r="C80" s="819"/>
      <c r="D80" s="819"/>
      <c r="E80" s="819"/>
      <c r="F80" s="819"/>
      <c r="G80" s="819"/>
      <c r="H80" s="819"/>
      <c r="I80" s="819"/>
      <c r="J80" s="819"/>
      <c r="K80" s="819"/>
      <c r="L80" s="819"/>
      <c r="M80" s="820"/>
    </row>
    <row r="81" spans="1:13" ht="17.850000000000001" customHeight="1" x14ac:dyDescent="0.25">
      <c r="A81" s="813" t="s">
        <v>2082</v>
      </c>
      <c r="B81" s="814"/>
      <c r="C81" s="848" t="s">
        <v>2083</v>
      </c>
      <c r="D81" s="849"/>
      <c r="E81" s="849"/>
      <c r="F81" s="849"/>
      <c r="G81" s="849"/>
      <c r="H81" s="849"/>
      <c r="I81" s="849"/>
      <c r="J81" s="849"/>
      <c r="K81" s="849"/>
      <c r="L81" s="849"/>
      <c r="M81" s="850"/>
    </row>
    <row r="82" spans="1:13" ht="5.0999999999999996" customHeight="1" x14ac:dyDescent="0.25">
      <c r="A82" s="559"/>
      <c r="B82" s="559"/>
      <c r="C82" s="559"/>
      <c r="D82" s="559"/>
      <c r="E82" s="559"/>
      <c r="F82" s="559"/>
      <c r="G82" s="559"/>
      <c r="H82" s="559"/>
      <c r="I82" s="559"/>
      <c r="J82" s="559"/>
      <c r="K82" s="559"/>
      <c r="L82" s="559"/>
      <c r="M82" s="559"/>
    </row>
    <row r="83" spans="1:13" ht="11.85" customHeight="1" x14ac:dyDescent="0.25">
      <c r="A83" s="804" t="s">
        <v>2084</v>
      </c>
      <c r="B83" s="805"/>
      <c r="C83" s="806" t="s">
        <v>2085</v>
      </c>
      <c r="D83" s="807"/>
      <c r="E83" s="807"/>
      <c r="F83" s="807"/>
      <c r="G83" s="807"/>
      <c r="H83" s="807"/>
      <c r="I83" s="807"/>
      <c r="J83" s="807"/>
      <c r="K83" s="807"/>
      <c r="L83" s="807"/>
      <c r="M83" s="808"/>
    </row>
    <row r="84" spans="1:13" ht="15.6" customHeight="1" x14ac:dyDescent="0.25">
      <c r="A84" s="834" t="s">
        <v>2086</v>
      </c>
      <c r="B84" s="835"/>
      <c r="C84" s="851" t="s">
        <v>2087</v>
      </c>
      <c r="D84" s="852"/>
      <c r="E84" s="852"/>
      <c r="F84" s="852"/>
      <c r="G84" s="852"/>
      <c r="H84" s="852"/>
      <c r="I84" s="852"/>
      <c r="J84" s="852"/>
      <c r="K84" s="852"/>
      <c r="L84" s="852"/>
      <c r="M84" s="853"/>
    </row>
    <row r="85" spans="1:13" ht="6.6" customHeight="1" x14ac:dyDescent="0.25">
      <c r="A85" s="559"/>
      <c r="B85" s="559"/>
      <c r="C85" s="559"/>
      <c r="D85" s="559"/>
      <c r="E85" s="559"/>
      <c r="F85" s="559"/>
      <c r="G85" s="559"/>
      <c r="H85" s="559"/>
      <c r="I85" s="559"/>
      <c r="J85" s="559"/>
      <c r="K85" s="559"/>
      <c r="L85" s="559"/>
      <c r="M85" s="559"/>
    </row>
    <row r="86" spans="1:13" ht="5.85" customHeight="1" x14ac:dyDescent="0.25">
      <c r="A86" s="804" t="s">
        <v>2088</v>
      </c>
      <c r="B86" s="839"/>
      <c r="C86" s="806" t="s">
        <v>1985</v>
      </c>
      <c r="D86" s="807"/>
      <c r="E86" s="807"/>
      <c r="F86" s="807"/>
      <c r="G86" s="807"/>
      <c r="H86" s="807"/>
      <c r="I86" s="807"/>
      <c r="J86" s="807"/>
      <c r="K86" s="807"/>
      <c r="L86" s="807"/>
      <c r="M86" s="808"/>
    </row>
    <row r="87" spans="1:13" ht="11.85" customHeight="1" x14ac:dyDescent="0.25">
      <c r="A87" s="842"/>
      <c r="B87" s="843"/>
      <c r="C87" s="806" t="s">
        <v>2089</v>
      </c>
      <c r="D87" s="807"/>
      <c r="E87" s="807"/>
      <c r="F87" s="807"/>
      <c r="G87" s="807"/>
      <c r="H87" s="807"/>
      <c r="I87" s="807"/>
      <c r="J87" s="807"/>
      <c r="K87" s="807"/>
      <c r="L87" s="807"/>
      <c r="M87" s="808"/>
    </row>
    <row r="88" spans="1:13" ht="11.85" customHeight="1" x14ac:dyDescent="0.25">
      <c r="A88" s="809" t="s">
        <v>2090</v>
      </c>
      <c r="B88" s="810"/>
      <c r="C88" s="830" t="s">
        <v>2091</v>
      </c>
      <c r="D88" s="812"/>
      <c r="E88" s="812"/>
      <c r="F88" s="812"/>
      <c r="G88" s="812"/>
      <c r="H88" s="812"/>
      <c r="I88" s="812"/>
      <c r="J88" s="812"/>
      <c r="K88" s="812"/>
      <c r="L88" s="812"/>
      <c r="M88" s="811"/>
    </row>
    <row r="89" spans="1:13" ht="11.1" customHeight="1" x14ac:dyDescent="0.25">
      <c r="A89" s="799" t="s">
        <v>2092</v>
      </c>
      <c r="B89" s="800"/>
      <c r="C89" s="821" t="s">
        <v>1738</v>
      </c>
      <c r="D89" s="802"/>
      <c r="E89" s="802"/>
      <c r="F89" s="802"/>
      <c r="G89" s="802"/>
      <c r="H89" s="802"/>
      <c r="I89" s="802"/>
      <c r="J89" s="802"/>
      <c r="K89" s="802"/>
      <c r="L89" s="802"/>
      <c r="M89" s="801"/>
    </row>
    <row r="90" spans="1:13" ht="5.85" customHeight="1" x14ac:dyDescent="0.25">
      <c r="A90" s="818"/>
      <c r="B90" s="819"/>
      <c r="C90" s="819"/>
      <c r="D90" s="819"/>
      <c r="E90" s="819"/>
      <c r="F90" s="819"/>
      <c r="G90" s="819"/>
      <c r="H90" s="819"/>
      <c r="I90" s="819"/>
      <c r="J90" s="819"/>
      <c r="K90" s="819"/>
      <c r="L90" s="819"/>
      <c r="M90" s="820"/>
    </row>
    <row r="91" spans="1:13" ht="17.850000000000001" customHeight="1" x14ac:dyDescent="0.25">
      <c r="A91" s="813" t="s">
        <v>2093</v>
      </c>
      <c r="B91" s="814"/>
      <c r="C91" s="848" t="s">
        <v>2094</v>
      </c>
      <c r="D91" s="849"/>
      <c r="E91" s="849"/>
      <c r="F91" s="849"/>
      <c r="G91" s="849"/>
      <c r="H91" s="849"/>
      <c r="I91" s="849"/>
      <c r="J91" s="849"/>
      <c r="K91" s="849"/>
      <c r="L91" s="849"/>
      <c r="M91" s="850"/>
    </row>
    <row r="92" spans="1:13" ht="5.85" customHeight="1" x14ac:dyDescent="0.25">
      <c r="A92" s="818"/>
      <c r="B92" s="819"/>
      <c r="C92" s="819"/>
      <c r="D92" s="819"/>
      <c r="E92" s="819"/>
      <c r="F92" s="819"/>
      <c r="G92" s="819"/>
      <c r="H92" s="819"/>
      <c r="I92" s="819"/>
      <c r="J92" s="819"/>
      <c r="K92" s="819"/>
      <c r="L92" s="819"/>
      <c r="M92" s="820"/>
    </row>
    <row r="93" spans="1:13" ht="11.1" customHeight="1" x14ac:dyDescent="0.25">
      <c r="A93" s="804" t="s">
        <v>2095</v>
      </c>
      <c r="B93" s="805"/>
      <c r="C93" s="806" t="s">
        <v>2085</v>
      </c>
      <c r="D93" s="807"/>
      <c r="E93" s="807"/>
      <c r="F93" s="807"/>
      <c r="G93" s="807"/>
      <c r="H93" s="807"/>
      <c r="I93" s="807"/>
      <c r="J93" s="807"/>
      <c r="K93" s="807"/>
      <c r="L93" s="807"/>
      <c r="M93" s="808"/>
    </row>
    <row r="94" spans="1:13" ht="15.6" customHeight="1" x14ac:dyDescent="0.25">
      <c r="A94" s="834" t="s">
        <v>2086</v>
      </c>
      <c r="B94" s="835"/>
      <c r="C94" s="836" t="s">
        <v>2096</v>
      </c>
      <c r="D94" s="837"/>
      <c r="E94" s="837"/>
      <c r="F94" s="837"/>
      <c r="G94" s="837"/>
      <c r="H94" s="837"/>
      <c r="I94" s="837"/>
      <c r="J94" s="837"/>
      <c r="K94" s="837"/>
      <c r="L94" s="837"/>
      <c r="M94" s="838"/>
    </row>
    <row r="95" spans="1:13" ht="8.1" customHeight="1" x14ac:dyDescent="0.25">
      <c r="A95" s="818"/>
      <c r="B95" s="819"/>
      <c r="C95" s="819"/>
      <c r="D95" s="819"/>
      <c r="E95" s="819"/>
      <c r="F95" s="819"/>
      <c r="G95" s="819"/>
      <c r="H95" s="819"/>
      <c r="I95" s="819"/>
      <c r="J95" s="819"/>
      <c r="K95" s="819"/>
      <c r="L95" s="819"/>
      <c r="M95" s="820"/>
    </row>
    <row r="96" spans="1:13" ht="11.85" customHeight="1" x14ac:dyDescent="0.25">
      <c r="A96" s="804" t="s">
        <v>2097</v>
      </c>
      <c r="B96" s="825"/>
      <c r="C96" s="825"/>
      <c r="D96" s="825"/>
      <c r="E96" s="825"/>
      <c r="F96" s="825"/>
      <c r="G96" s="825"/>
      <c r="H96" s="825"/>
      <c r="I96" s="825"/>
      <c r="J96" s="825"/>
      <c r="K96" s="825"/>
      <c r="L96" s="825"/>
      <c r="M96" s="805"/>
    </row>
    <row r="97" spans="1:13" ht="11.1" customHeight="1" x14ac:dyDescent="0.25">
      <c r="A97" s="804" t="s">
        <v>2098</v>
      </c>
      <c r="B97" s="839"/>
      <c r="C97" s="804" t="s">
        <v>2099</v>
      </c>
      <c r="D97" s="825"/>
      <c r="E97" s="825"/>
      <c r="F97" s="825"/>
      <c r="G97" s="825"/>
      <c r="H97" s="825"/>
      <c r="I97" s="825"/>
      <c r="J97" s="825"/>
      <c r="K97" s="825"/>
      <c r="L97" s="825"/>
      <c r="M97" s="805"/>
    </row>
    <row r="98" spans="1:13" ht="11.85" customHeight="1" x14ac:dyDescent="0.25">
      <c r="A98" s="840"/>
      <c r="B98" s="841"/>
      <c r="C98" s="844" t="s">
        <v>2100</v>
      </c>
      <c r="D98" s="845"/>
      <c r="E98" s="845"/>
      <c r="F98" s="845"/>
      <c r="G98" s="839"/>
      <c r="H98" s="844" t="s">
        <v>2101</v>
      </c>
      <c r="I98" s="845"/>
      <c r="J98" s="845"/>
      <c r="K98" s="845"/>
      <c r="L98" s="845"/>
      <c r="M98" s="839"/>
    </row>
    <row r="99" spans="1:13" ht="11.85" customHeight="1" x14ac:dyDescent="0.25">
      <c r="A99" s="842"/>
      <c r="B99" s="843"/>
      <c r="C99" s="846" t="s">
        <v>956</v>
      </c>
      <c r="D99" s="847"/>
      <c r="E99" s="847"/>
      <c r="F99" s="847"/>
      <c r="G99" s="843"/>
      <c r="H99" s="846" t="s">
        <v>957</v>
      </c>
      <c r="I99" s="847"/>
      <c r="J99" s="847"/>
      <c r="K99" s="847"/>
      <c r="L99" s="847"/>
      <c r="M99" s="843"/>
    </row>
    <row r="100" spans="1:13" ht="11.85" customHeight="1" x14ac:dyDescent="0.25">
      <c r="A100" s="809" t="s">
        <v>2102</v>
      </c>
      <c r="B100" s="810"/>
      <c r="C100" s="830" t="s">
        <v>2103</v>
      </c>
      <c r="D100" s="812"/>
      <c r="E100" s="812"/>
      <c r="F100" s="812"/>
      <c r="G100" s="811"/>
      <c r="H100" s="831" t="s">
        <v>2104</v>
      </c>
      <c r="I100" s="832"/>
      <c r="J100" s="832"/>
      <c r="K100" s="832"/>
      <c r="L100" s="832"/>
      <c r="M100" s="833"/>
    </row>
    <row r="101" spans="1:13" ht="11.1" customHeight="1" x14ac:dyDescent="0.25">
      <c r="A101" s="795" t="s">
        <v>2105</v>
      </c>
      <c r="B101" s="796"/>
      <c r="C101" s="826" t="s">
        <v>2106</v>
      </c>
      <c r="D101" s="798"/>
      <c r="E101" s="798"/>
      <c r="F101" s="798"/>
      <c r="G101" s="797"/>
      <c r="H101" s="827" t="s">
        <v>2107</v>
      </c>
      <c r="I101" s="828"/>
      <c r="J101" s="828"/>
      <c r="K101" s="828"/>
      <c r="L101" s="828"/>
      <c r="M101" s="829"/>
    </row>
    <row r="102" spans="1:13" ht="11.85" customHeight="1" x14ac:dyDescent="0.25">
      <c r="A102" s="795" t="s">
        <v>2108</v>
      </c>
      <c r="B102" s="796"/>
      <c r="C102" s="826" t="s">
        <v>825</v>
      </c>
      <c r="D102" s="798"/>
      <c r="E102" s="798"/>
      <c r="F102" s="798"/>
      <c r="G102" s="797"/>
      <c r="H102" s="827" t="s">
        <v>825</v>
      </c>
      <c r="I102" s="828"/>
      <c r="J102" s="828"/>
      <c r="K102" s="828"/>
      <c r="L102" s="828"/>
      <c r="M102" s="829"/>
    </row>
    <row r="103" spans="1:13" ht="11.85" customHeight="1" x14ac:dyDescent="0.25">
      <c r="A103" s="795" t="s">
        <v>2109</v>
      </c>
      <c r="B103" s="796"/>
      <c r="C103" s="826" t="s">
        <v>2110</v>
      </c>
      <c r="D103" s="798"/>
      <c r="E103" s="798"/>
      <c r="F103" s="798"/>
      <c r="G103" s="797"/>
      <c r="H103" s="827" t="s">
        <v>2111</v>
      </c>
      <c r="I103" s="828"/>
      <c r="J103" s="828"/>
      <c r="K103" s="828"/>
      <c r="L103" s="828"/>
      <c r="M103" s="829"/>
    </row>
    <row r="104" spans="1:13" ht="11.85" customHeight="1" x14ac:dyDescent="0.25">
      <c r="A104" s="795" t="s">
        <v>2112</v>
      </c>
      <c r="B104" s="796"/>
      <c r="C104" s="826" t="s">
        <v>2113</v>
      </c>
      <c r="D104" s="798"/>
      <c r="E104" s="798"/>
      <c r="F104" s="798"/>
      <c r="G104" s="797"/>
      <c r="H104" s="827" t="s">
        <v>2114</v>
      </c>
      <c r="I104" s="828"/>
      <c r="J104" s="828"/>
      <c r="K104" s="828"/>
      <c r="L104" s="828"/>
      <c r="M104" s="829"/>
    </row>
    <row r="105" spans="1:13" ht="11.1" customHeight="1" x14ac:dyDescent="0.25">
      <c r="A105" s="795" t="s">
        <v>2115</v>
      </c>
      <c r="B105" s="796"/>
      <c r="C105" s="826" t="s">
        <v>2106</v>
      </c>
      <c r="D105" s="798"/>
      <c r="E105" s="798"/>
      <c r="F105" s="798"/>
      <c r="G105" s="797"/>
      <c r="H105" s="827" t="s">
        <v>2107</v>
      </c>
      <c r="I105" s="828"/>
      <c r="J105" s="828"/>
      <c r="K105" s="828"/>
      <c r="L105" s="828"/>
      <c r="M105" s="829"/>
    </row>
    <row r="106" spans="1:13" ht="11.85" customHeight="1" x14ac:dyDescent="0.25">
      <c r="A106" s="799" t="s">
        <v>2116</v>
      </c>
      <c r="B106" s="800"/>
      <c r="C106" s="821" t="s">
        <v>2117</v>
      </c>
      <c r="D106" s="802"/>
      <c r="E106" s="802"/>
      <c r="F106" s="802"/>
      <c r="G106" s="801"/>
      <c r="H106" s="822" t="s">
        <v>2118</v>
      </c>
      <c r="I106" s="823"/>
      <c r="J106" s="823"/>
      <c r="K106" s="823"/>
      <c r="L106" s="823"/>
      <c r="M106" s="824"/>
    </row>
    <row r="107" spans="1:13" ht="15.6" customHeight="1" x14ac:dyDescent="0.25">
      <c r="A107" s="813" t="s">
        <v>2119</v>
      </c>
      <c r="B107" s="814"/>
      <c r="C107" s="815" t="s">
        <v>2120</v>
      </c>
      <c r="D107" s="816"/>
      <c r="E107" s="816"/>
      <c r="F107" s="816"/>
      <c r="G107" s="816"/>
      <c r="H107" s="816"/>
      <c r="I107" s="816"/>
      <c r="J107" s="816"/>
      <c r="K107" s="816"/>
      <c r="L107" s="816"/>
      <c r="M107" s="817"/>
    </row>
    <row r="108" spans="1:13" ht="5.0999999999999996" customHeight="1" x14ac:dyDescent="0.25">
      <c r="A108" s="559"/>
      <c r="B108" s="559"/>
      <c r="C108" s="559"/>
      <c r="D108" s="559"/>
      <c r="E108" s="559"/>
      <c r="F108" s="559"/>
      <c r="G108" s="559"/>
      <c r="H108" s="559"/>
      <c r="I108" s="559"/>
      <c r="J108" s="559"/>
      <c r="K108" s="559"/>
      <c r="L108" s="559"/>
      <c r="M108" s="559"/>
    </row>
    <row r="109" spans="1:13" ht="17.850000000000001" customHeight="1" x14ac:dyDescent="0.25">
      <c r="A109" s="804" t="s">
        <v>2121</v>
      </c>
      <c r="B109" s="805"/>
      <c r="C109" s="804" t="s">
        <v>1985</v>
      </c>
      <c r="D109" s="825"/>
      <c r="E109" s="825"/>
      <c r="F109" s="825"/>
      <c r="G109" s="825"/>
      <c r="H109" s="825"/>
      <c r="I109" s="825"/>
      <c r="J109" s="825"/>
      <c r="K109" s="825"/>
      <c r="L109" s="825"/>
      <c r="M109" s="805"/>
    </row>
    <row r="110" spans="1:13" ht="11.85" customHeight="1" x14ac:dyDescent="0.25">
      <c r="A110" s="809" t="s">
        <v>2122</v>
      </c>
      <c r="B110" s="810"/>
      <c r="C110" s="580"/>
      <c r="D110" s="564"/>
      <c r="E110" s="564"/>
      <c r="F110" s="564"/>
      <c r="G110" s="564"/>
      <c r="H110" s="811" t="s">
        <v>2123</v>
      </c>
      <c r="I110" s="812"/>
      <c r="J110" s="812"/>
      <c r="K110" s="812"/>
      <c r="L110" s="812"/>
      <c r="M110" s="811"/>
    </row>
    <row r="111" spans="1:13" ht="14.85" customHeight="1" x14ac:dyDescent="0.25">
      <c r="A111" s="795" t="s">
        <v>2124</v>
      </c>
      <c r="B111" s="796"/>
      <c r="C111" s="551"/>
      <c r="H111" s="797" t="s">
        <v>825</v>
      </c>
      <c r="I111" s="798"/>
      <c r="J111" s="798"/>
      <c r="K111" s="798"/>
      <c r="L111" s="798"/>
      <c r="M111" s="797"/>
    </row>
    <row r="112" spans="1:13" ht="11.85" customHeight="1" x14ac:dyDescent="0.25">
      <c r="A112" s="795" t="s">
        <v>2125</v>
      </c>
      <c r="B112" s="796"/>
      <c r="C112" s="551"/>
      <c r="H112" s="797" t="s">
        <v>825</v>
      </c>
      <c r="I112" s="798"/>
      <c r="J112" s="798"/>
      <c r="K112" s="798"/>
      <c r="L112" s="798"/>
      <c r="M112" s="797"/>
    </row>
    <row r="113" spans="1:13" ht="11.85" customHeight="1" x14ac:dyDescent="0.25">
      <c r="A113" s="795" t="s">
        <v>2126</v>
      </c>
      <c r="B113" s="796"/>
      <c r="C113" s="551"/>
      <c r="H113" s="797" t="s">
        <v>825</v>
      </c>
      <c r="I113" s="798"/>
      <c r="J113" s="798"/>
      <c r="K113" s="798"/>
      <c r="L113" s="798"/>
      <c r="M113" s="797"/>
    </row>
    <row r="114" spans="1:13" ht="11.85" customHeight="1" x14ac:dyDescent="0.25">
      <c r="A114" s="795" t="s">
        <v>2127</v>
      </c>
      <c r="B114" s="796"/>
      <c r="C114" s="551"/>
      <c r="H114" s="797" t="s">
        <v>825</v>
      </c>
      <c r="I114" s="798"/>
      <c r="J114" s="798"/>
      <c r="K114" s="798"/>
      <c r="L114" s="798"/>
      <c r="M114" s="797"/>
    </row>
    <row r="115" spans="1:13" ht="11.1" customHeight="1" x14ac:dyDescent="0.25">
      <c r="A115" s="795" t="s">
        <v>2128</v>
      </c>
      <c r="B115" s="796"/>
      <c r="C115" s="551"/>
      <c r="H115" s="797" t="s">
        <v>825</v>
      </c>
      <c r="I115" s="798"/>
      <c r="J115" s="798"/>
      <c r="K115" s="798"/>
      <c r="L115" s="798"/>
      <c r="M115" s="797"/>
    </row>
    <row r="116" spans="1:13" ht="11.85" customHeight="1" x14ac:dyDescent="0.25">
      <c r="A116" s="799" t="s">
        <v>2129</v>
      </c>
      <c r="B116" s="800"/>
      <c r="C116" s="581"/>
      <c r="D116" s="550"/>
      <c r="E116" s="550"/>
      <c r="F116" s="550"/>
      <c r="G116" s="550"/>
      <c r="H116" s="801" t="s">
        <v>825</v>
      </c>
      <c r="I116" s="802"/>
      <c r="J116" s="802"/>
      <c r="K116" s="802"/>
      <c r="L116" s="802"/>
      <c r="M116" s="801"/>
    </row>
    <row r="117" spans="1:13" ht="15.6" customHeight="1" x14ac:dyDescent="0.25">
      <c r="A117" s="813" t="s">
        <v>2130</v>
      </c>
      <c r="B117" s="814"/>
      <c r="C117" s="815" t="s">
        <v>2131</v>
      </c>
      <c r="D117" s="816"/>
      <c r="E117" s="816"/>
      <c r="F117" s="816"/>
      <c r="G117" s="816"/>
      <c r="H117" s="816"/>
      <c r="I117" s="816"/>
      <c r="J117" s="816"/>
      <c r="K117" s="816"/>
      <c r="L117" s="816"/>
      <c r="M117" s="817"/>
    </row>
    <row r="118" spans="1:13" ht="11.1" customHeight="1" x14ac:dyDescent="0.25">
      <c r="A118" s="818"/>
      <c r="B118" s="819"/>
      <c r="C118" s="819"/>
      <c r="D118" s="819"/>
      <c r="E118" s="819"/>
      <c r="F118" s="819"/>
      <c r="G118" s="819"/>
      <c r="H118" s="819"/>
      <c r="I118" s="819"/>
      <c r="J118" s="819"/>
      <c r="K118" s="819"/>
      <c r="L118" s="819"/>
      <c r="M118" s="820"/>
    </row>
    <row r="119" spans="1:13" ht="15.6" customHeight="1" x14ac:dyDescent="0.25">
      <c r="A119" s="813" t="s">
        <v>2132</v>
      </c>
      <c r="B119" s="814"/>
      <c r="C119" s="815" t="s">
        <v>2133</v>
      </c>
      <c r="D119" s="816"/>
      <c r="E119" s="816"/>
      <c r="F119" s="816"/>
      <c r="G119" s="816"/>
      <c r="H119" s="816"/>
      <c r="I119" s="816"/>
      <c r="J119" s="816"/>
      <c r="K119" s="816"/>
      <c r="L119" s="816"/>
      <c r="M119" s="817"/>
    </row>
    <row r="120" spans="1:13" ht="5.85" customHeight="1" x14ac:dyDescent="0.25">
      <c r="A120" s="559"/>
      <c r="B120" s="559"/>
      <c r="C120" s="559"/>
      <c r="D120" s="559"/>
      <c r="E120" s="559"/>
      <c r="F120" s="559"/>
      <c r="G120" s="559"/>
      <c r="H120" s="559"/>
      <c r="I120" s="559"/>
      <c r="J120" s="559"/>
      <c r="K120" s="559"/>
      <c r="L120" s="559"/>
      <c r="M120" s="559"/>
    </row>
    <row r="121" spans="1:13" ht="17.100000000000001" customHeight="1" x14ac:dyDescent="0.25">
      <c r="A121" s="804" t="s">
        <v>2134</v>
      </c>
      <c r="B121" s="805"/>
      <c r="C121" s="806" t="s">
        <v>1915</v>
      </c>
      <c r="D121" s="807"/>
      <c r="E121" s="807"/>
      <c r="F121" s="807"/>
      <c r="G121" s="807"/>
      <c r="H121" s="807"/>
      <c r="I121" s="807"/>
      <c r="J121" s="807"/>
      <c r="K121" s="807"/>
      <c r="L121" s="807"/>
      <c r="M121" s="808"/>
    </row>
    <row r="122" spans="1:13" ht="11.85" customHeight="1" x14ac:dyDescent="0.25">
      <c r="A122" s="809" t="s">
        <v>2135</v>
      </c>
      <c r="B122" s="810"/>
      <c r="C122" s="580"/>
      <c r="D122" s="564"/>
      <c r="E122" s="564"/>
      <c r="F122" s="564"/>
      <c r="G122" s="564"/>
      <c r="H122" s="811" t="s">
        <v>1692</v>
      </c>
      <c r="I122" s="812"/>
      <c r="J122" s="812"/>
      <c r="K122" s="812"/>
      <c r="L122" s="812"/>
      <c r="M122" s="811"/>
    </row>
    <row r="123" spans="1:13" ht="11.85" customHeight="1" x14ac:dyDescent="0.25">
      <c r="A123" s="795" t="s">
        <v>2136</v>
      </c>
      <c r="B123" s="796"/>
      <c r="C123" s="551"/>
      <c r="H123" s="797" t="s">
        <v>825</v>
      </c>
      <c r="I123" s="798"/>
      <c r="J123" s="798"/>
      <c r="K123" s="798"/>
      <c r="L123" s="798"/>
      <c r="M123" s="797"/>
    </row>
    <row r="124" spans="1:13" ht="14.85" customHeight="1" x14ac:dyDescent="0.25">
      <c r="A124" s="795" t="s">
        <v>2137</v>
      </c>
      <c r="B124" s="796"/>
      <c r="C124" s="551"/>
      <c r="H124" s="797" t="s">
        <v>1692</v>
      </c>
      <c r="I124" s="798"/>
      <c r="J124" s="798"/>
      <c r="K124" s="798"/>
      <c r="L124" s="798"/>
      <c r="M124" s="797"/>
    </row>
    <row r="125" spans="1:13" ht="11.85" customHeight="1" x14ac:dyDescent="0.25">
      <c r="A125" s="799" t="s">
        <v>1916</v>
      </c>
      <c r="B125" s="800"/>
      <c r="C125" s="581"/>
      <c r="D125" s="550"/>
      <c r="E125" s="550"/>
      <c r="F125" s="550"/>
      <c r="G125" s="550"/>
      <c r="H125" s="801" t="s">
        <v>1799</v>
      </c>
      <c r="I125" s="802"/>
      <c r="J125" s="802"/>
      <c r="K125" s="802"/>
      <c r="L125" s="802"/>
      <c r="M125" s="801"/>
    </row>
    <row r="126" spans="1:13" ht="11.85" customHeight="1" x14ac:dyDescent="0.25">
      <c r="A126" s="564"/>
      <c r="B126" s="564"/>
      <c r="C126" s="564"/>
      <c r="D126" s="564"/>
      <c r="E126" s="564"/>
      <c r="F126" s="564"/>
      <c r="G126" s="564"/>
      <c r="H126" s="564"/>
      <c r="I126" s="564"/>
      <c r="J126" s="564"/>
      <c r="K126" s="564"/>
      <c r="L126" s="564"/>
      <c r="M126" s="564"/>
    </row>
    <row r="127" spans="1:13" ht="5.85" customHeight="1" x14ac:dyDescent="0.25"/>
    <row r="128" spans="1:13" ht="11.1" customHeight="1" x14ac:dyDescent="0.25"/>
    <row r="129" spans="1:13" ht="17.850000000000001" customHeight="1" x14ac:dyDescent="0.25"/>
    <row r="130" spans="1:13" ht="11.85" customHeight="1" x14ac:dyDescent="0.25"/>
    <row r="131" spans="1:13" ht="17.100000000000001" customHeight="1" x14ac:dyDescent="0.25"/>
    <row r="132" spans="1:13" ht="45.95" customHeight="1" x14ac:dyDescent="0.25"/>
    <row r="133" spans="1:13" ht="45.95" customHeight="1" x14ac:dyDescent="0.25"/>
    <row r="134" spans="1:13" ht="11.85" customHeight="1" x14ac:dyDescent="0.25">
      <c r="A134" s="803" t="s">
        <v>2070</v>
      </c>
      <c r="B134" s="803"/>
      <c r="C134" s="803"/>
      <c r="D134" s="803"/>
      <c r="E134" s="803"/>
      <c r="F134" s="803"/>
      <c r="G134" s="803"/>
      <c r="H134" s="803"/>
      <c r="I134" s="803"/>
      <c r="J134" s="803"/>
      <c r="K134" s="803"/>
      <c r="L134" s="803"/>
      <c r="M134" s="803"/>
    </row>
  </sheetData>
  <mergeCells count="275">
    <mergeCell ref="A1:D1"/>
    <mergeCell ref="L1:M1"/>
    <mergeCell ref="A2:D2"/>
    <mergeCell ref="A3:D3"/>
    <mergeCell ref="A4:D4"/>
    <mergeCell ref="A5:D5"/>
    <mergeCell ref="A12:B12"/>
    <mergeCell ref="D12:M12"/>
    <mergeCell ref="A13:B13"/>
    <mergeCell ref="D13:M13"/>
    <mergeCell ref="A14:B14"/>
    <mergeCell ref="D14:M14"/>
    <mergeCell ref="J7:M7"/>
    <mergeCell ref="A8:M8"/>
    <mergeCell ref="A9:B11"/>
    <mergeCell ref="C9:C11"/>
    <mergeCell ref="D9:M9"/>
    <mergeCell ref="D10:M10"/>
    <mergeCell ref="D11:M11"/>
    <mergeCell ref="A18:B18"/>
    <mergeCell ref="D18:M18"/>
    <mergeCell ref="A19:B19"/>
    <mergeCell ref="D19:M19"/>
    <mergeCell ref="A20:B20"/>
    <mergeCell ref="D20:M20"/>
    <mergeCell ref="A15:B15"/>
    <mergeCell ref="D15:M15"/>
    <mergeCell ref="A16:B16"/>
    <mergeCell ref="D16:M16"/>
    <mergeCell ref="A17:B17"/>
    <mergeCell ref="D17:M17"/>
    <mergeCell ref="A24:B24"/>
    <mergeCell ref="D24:M24"/>
    <mergeCell ref="A25:B25"/>
    <mergeCell ref="D25:M25"/>
    <mergeCell ref="A26:B26"/>
    <mergeCell ref="D26:M26"/>
    <mergeCell ref="A21:B21"/>
    <mergeCell ref="D21:M21"/>
    <mergeCell ref="A22:B22"/>
    <mergeCell ref="D22:M22"/>
    <mergeCell ref="A23:B23"/>
    <mergeCell ref="D23:M23"/>
    <mergeCell ref="A30:B30"/>
    <mergeCell ref="D30:M30"/>
    <mergeCell ref="A31:B31"/>
    <mergeCell ref="D31:M31"/>
    <mergeCell ref="A32:B32"/>
    <mergeCell ref="D32:M32"/>
    <mergeCell ref="A27:B27"/>
    <mergeCell ref="D27:M27"/>
    <mergeCell ref="A28:B28"/>
    <mergeCell ref="D28:M28"/>
    <mergeCell ref="A29:B29"/>
    <mergeCell ref="D29:M29"/>
    <mergeCell ref="A36:B36"/>
    <mergeCell ref="D36:M36"/>
    <mergeCell ref="A37:B37"/>
    <mergeCell ref="D37:M37"/>
    <mergeCell ref="A38:B38"/>
    <mergeCell ref="D38:M38"/>
    <mergeCell ref="A33:B33"/>
    <mergeCell ref="D33:M33"/>
    <mergeCell ref="A34:B34"/>
    <mergeCell ref="D34:M34"/>
    <mergeCell ref="A35:B35"/>
    <mergeCell ref="D35:M35"/>
    <mergeCell ref="A42:B42"/>
    <mergeCell ref="D42:M42"/>
    <mergeCell ref="A43:B43"/>
    <mergeCell ref="D43:M43"/>
    <mergeCell ref="A44:B44"/>
    <mergeCell ref="D44:M44"/>
    <mergeCell ref="A39:B39"/>
    <mergeCell ref="D39:M39"/>
    <mergeCell ref="A40:B40"/>
    <mergeCell ref="D40:M40"/>
    <mergeCell ref="A41:B41"/>
    <mergeCell ref="D41:M41"/>
    <mergeCell ref="A48:B48"/>
    <mergeCell ref="D48:M48"/>
    <mergeCell ref="A49:B49"/>
    <mergeCell ref="D49:M49"/>
    <mergeCell ref="A50:B50"/>
    <mergeCell ref="D50:M50"/>
    <mergeCell ref="A45:B45"/>
    <mergeCell ref="D45:M45"/>
    <mergeCell ref="A46:B46"/>
    <mergeCell ref="D46:M46"/>
    <mergeCell ref="A47:B47"/>
    <mergeCell ref="D47:M47"/>
    <mergeCell ref="K56:L56"/>
    <mergeCell ref="A57:B57"/>
    <mergeCell ref="D57:E57"/>
    <mergeCell ref="G57:H57"/>
    <mergeCell ref="I57:J57"/>
    <mergeCell ref="K57:L57"/>
    <mergeCell ref="G55:H55"/>
    <mergeCell ref="I55:J55"/>
    <mergeCell ref="A56:B56"/>
    <mergeCell ref="D56:E56"/>
    <mergeCell ref="G56:H56"/>
    <mergeCell ref="I56:J56"/>
    <mergeCell ref="A52:B55"/>
    <mergeCell ref="C52:C55"/>
    <mergeCell ref="D52:M52"/>
    <mergeCell ref="D53:E55"/>
    <mergeCell ref="F53:F55"/>
    <mergeCell ref="G53:H54"/>
    <mergeCell ref="I53:J54"/>
    <mergeCell ref="K53:M53"/>
    <mergeCell ref="K54:L55"/>
    <mergeCell ref="M54:M55"/>
    <mergeCell ref="A58:B58"/>
    <mergeCell ref="D58:E58"/>
    <mergeCell ref="G58:H58"/>
    <mergeCell ref="I58:J58"/>
    <mergeCell ref="K58:L58"/>
    <mergeCell ref="A59:B59"/>
    <mergeCell ref="D59:E59"/>
    <mergeCell ref="G59:H59"/>
    <mergeCell ref="I59:J59"/>
    <mergeCell ref="K59:L59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A64:B64"/>
    <mergeCell ref="D64:E64"/>
    <mergeCell ref="G64:H64"/>
    <mergeCell ref="I64:J64"/>
    <mergeCell ref="K64:L64"/>
    <mergeCell ref="A65:B65"/>
    <mergeCell ref="D65:E65"/>
    <mergeCell ref="G65:H65"/>
    <mergeCell ref="I65:J65"/>
    <mergeCell ref="K65:L65"/>
    <mergeCell ref="A66:B66"/>
    <mergeCell ref="D66:E66"/>
    <mergeCell ref="G66:H66"/>
    <mergeCell ref="I66:J66"/>
    <mergeCell ref="K66:L66"/>
    <mergeCell ref="A67:B67"/>
    <mergeCell ref="D67:E67"/>
    <mergeCell ref="G67:H67"/>
    <mergeCell ref="I67:J67"/>
    <mergeCell ref="K67:L67"/>
    <mergeCell ref="A68:B68"/>
    <mergeCell ref="D68:E68"/>
    <mergeCell ref="G68:H68"/>
    <mergeCell ref="I68:J68"/>
    <mergeCell ref="K68:L68"/>
    <mergeCell ref="A69:B69"/>
    <mergeCell ref="D69:E69"/>
    <mergeCell ref="G69:H69"/>
    <mergeCell ref="I69:J69"/>
    <mergeCell ref="K69:L69"/>
    <mergeCell ref="A76:D76"/>
    <mergeCell ref="A78:B78"/>
    <mergeCell ref="D78:E78"/>
    <mergeCell ref="G78:H78"/>
    <mergeCell ref="I78:J78"/>
    <mergeCell ref="K78:L78"/>
    <mergeCell ref="A71:M71"/>
    <mergeCell ref="A72:D72"/>
    <mergeCell ref="L72:M72"/>
    <mergeCell ref="A73:D73"/>
    <mergeCell ref="A74:D74"/>
    <mergeCell ref="A75:D75"/>
    <mergeCell ref="A81:B81"/>
    <mergeCell ref="C81:M81"/>
    <mergeCell ref="A83:B83"/>
    <mergeCell ref="C83:M83"/>
    <mergeCell ref="A84:B84"/>
    <mergeCell ref="C84:M84"/>
    <mergeCell ref="A79:B79"/>
    <mergeCell ref="D79:E79"/>
    <mergeCell ref="G79:H79"/>
    <mergeCell ref="I79:J79"/>
    <mergeCell ref="K79:L79"/>
    <mergeCell ref="A80:M80"/>
    <mergeCell ref="A90:M90"/>
    <mergeCell ref="A91:B91"/>
    <mergeCell ref="C91:M91"/>
    <mergeCell ref="A92:M92"/>
    <mergeCell ref="A93:B93"/>
    <mergeCell ref="C93:M93"/>
    <mergeCell ref="A86:B87"/>
    <mergeCell ref="C86:M86"/>
    <mergeCell ref="C87:M87"/>
    <mergeCell ref="A88:B88"/>
    <mergeCell ref="C88:M88"/>
    <mergeCell ref="A89:B89"/>
    <mergeCell ref="C89:M89"/>
    <mergeCell ref="A100:B100"/>
    <mergeCell ref="C100:G100"/>
    <mergeCell ref="H100:M100"/>
    <mergeCell ref="A101:B101"/>
    <mergeCell ref="C101:G101"/>
    <mergeCell ref="H101:M101"/>
    <mergeCell ref="A94:B94"/>
    <mergeCell ref="C94:M94"/>
    <mergeCell ref="A95:M95"/>
    <mergeCell ref="A96:M96"/>
    <mergeCell ref="A97:B99"/>
    <mergeCell ref="C97:M97"/>
    <mergeCell ref="C98:G98"/>
    <mergeCell ref="H98:M98"/>
    <mergeCell ref="C99:G99"/>
    <mergeCell ref="H99:M99"/>
    <mergeCell ref="A104:B104"/>
    <mergeCell ref="C104:G104"/>
    <mergeCell ref="H104:M104"/>
    <mergeCell ref="A105:B105"/>
    <mergeCell ref="C105:G105"/>
    <mergeCell ref="H105:M105"/>
    <mergeCell ref="A102:B102"/>
    <mergeCell ref="C102:G102"/>
    <mergeCell ref="H102:M102"/>
    <mergeCell ref="A103:B103"/>
    <mergeCell ref="C103:G103"/>
    <mergeCell ref="H103:M103"/>
    <mergeCell ref="A110:B110"/>
    <mergeCell ref="H110:M110"/>
    <mergeCell ref="A111:B111"/>
    <mergeCell ref="H111:M111"/>
    <mergeCell ref="A112:B112"/>
    <mergeCell ref="H112:M112"/>
    <mergeCell ref="A106:B106"/>
    <mergeCell ref="C106:G106"/>
    <mergeCell ref="H106:M106"/>
    <mergeCell ref="A107:B107"/>
    <mergeCell ref="C107:M107"/>
    <mergeCell ref="A109:B109"/>
    <mergeCell ref="C109:M109"/>
    <mergeCell ref="A116:B116"/>
    <mergeCell ref="H116:M116"/>
    <mergeCell ref="A117:B117"/>
    <mergeCell ref="C117:M117"/>
    <mergeCell ref="A118:M118"/>
    <mergeCell ref="A119:B119"/>
    <mergeCell ref="C119:M119"/>
    <mergeCell ref="A113:B113"/>
    <mergeCell ref="H113:M113"/>
    <mergeCell ref="A114:B114"/>
    <mergeCell ref="H114:M114"/>
    <mergeCell ref="A115:B115"/>
    <mergeCell ref="H115:M115"/>
    <mergeCell ref="A124:B124"/>
    <mergeCell ref="H124:M124"/>
    <mergeCell ref="A125:B125"/>
    <mergeCell ref="H125:M125"/>
    <mergeCell ref="A134:M134"/>
    <mergeCell ref="A121:B121"/>
    <mergeCell ref="C121:M121"/>
    <mergeCell ref="A122:B122"/>
    <mergeCell ref="H122:M122"/>
    <mergeCell ref="A123:B123"/>
    <mergeCell ref="H123:M123"/>
  </mergeCell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40"/>
  <sheetViews>
    <sheetView workbookViewId="0">
      <selection sqref="A1:XFD1048576"/>
    </sheetView>
  </sheetViews>
  <sheetFormatPr defaultRowHeight="15" x14ac:dyDescent="0.25"/>
  <cols>
    <col min="1" max="1" width="1" customWidth="1"/>
    <col min="2" max="2" width="11" customWidth="1"/>
    <col min="3" max="3" width="1" customWidth="1"/>
    <col min="4" max="4" width="19.28515625" customWidth="1"/>
    <col min="5" max="5" width="7" customWidth="1"/>
    <col min="6" max="6" width="13.140625" customWidth="1"/>
    <col min="7" max="7" width="5.140625" customWidth="1"/>
    <col min="8" max="8" width="20.140625" customWidth="1"/>
    <col min="9" max="9" width="6.140625" customWidth="1"/>
    <col min="10" max="10" width="4" customWidth="1"/>
    <col min="11" max="11" width="5" customWidth="1"/>
    <col min="12" max="12" width="3.140625" customWidth="1"/>
  </cols>
  <sheetData>
    <row r="1" spans="1:12" ht="11.85" customHeight="1" x14ac:dyDescent="0.25">
      <c r="J1" s="915" t="s">
        <v>2138</v>
      </c>
      <c r="K1" s="915"/>
      <c r="L1" s="915"/>
    </row>
    <row r="2" spans="1:12" ht="5.85" customHeight="1" x14ac:dyDescent="0.25"/>
    <row r="3" spans="1:12" ht="11.1" customHeight="1" x14ac:dyDescent="0.25">
      <c r="B3" s="916"/>
      <c r="D3" s="916" t="s">
        <v>2139</v>
      </c>
      <c r="E3" s="916"/>
      <c r="F3" s="916"/>
    </row>
    <row r="4" spans="1:12" ht="11.85" customHeight="1" x14ac:dyDescent="0.25">
      <c r="B4" s="916"/>
      <c r="D4" s="916" t="s">
        <v>1840</v>
      </c>
      <c r="E4" s="916"/>
      <c r="F4" s="916"/>
      <c r="G4" s="916"/>
      <c r="H4" s="916"/>
      <c r="I4" s="916"/>
      <c r="J4" s="916"/>
      <c r="K4" s="916"/>
    </row>
    <row r="5" spans="1:12" ht="11.85" customHeight="1" x14ac:dyDescent="0.25">
      <c r="B5" s="916"/>
      <c r="D5" s="917" t="s">
        <v>2140</v>
      </c>
      <c r="E5" s="917"/>
      <c r="F5" s="917"/>
      <c r="G5" s="917"/>
      <c r="H5" s="917"/>
      <c r="I5" s="917"/>
      <c r="J5" s="917"/>
      <c r="K5" s="917"/>
    </row>
    <row r="6" spans="1:12" ht="11.85" customHeight="1" x14ac:dyDescent="0.25">
      <c r="B6" s="916"/>
      <c r="D6" s="916" t="s">
        <v>1053</v>
      </c>
      <c r="E6" s="916"/>
      <c r="F6" s="916"/>
      <c r="G6" s="916"/>
      <c r="H6" s="916"/>
      <c r="I6" s="916"/>
      <c r="J6" s="916"/>
      <c r="K6" s="916"/>
    </row>
    <row r="7" spans="1:12" ht="10.35" customHeight="1" x14ac:dyDescent="0.25">
      <c r="B7" s="916"/>
      <c r="D7" s="916" t="s">
        <v>2141</v>
      </c>
      <c r="E7" s="916"/>
      <c r="F7" s="916"/>
      <c r="G7" s="916"/>
      <c r="H7" s="916"/>
      <c r="I7" s="916"/>
      <c r="J7" s="916"/>
      <c r="K7" s="916"/>
    </row>
    <row r="8" spans="1:12" ht="0.75" customHeight="1" x14ac:dyDescent="0.25">
      <c r="B8" s="916"/>
    </row>
    <row r="9" spans="1:12" ht="11.85" customHeight="1" x14ac:dyDescent="0.25"/>
    <row r="10" spans="1:12" ht="5.85" customHeight="1" x14ac:dyDescent="0.25"/>
    <row r="11" spans="1:12" ht="11.85" customHeight="1" x14ac:dyDescent="0.25">
      <c r="A11" s="913" t="s">
        <v>2142</v>
      </c>
      <c r="B11" s="913"/>
      <c r="C11" s="913"/>
      <c r="D11" s="913"/>
      <c r="E11" s="550"/>
      <c r="F11" s="550"/>
      <c r="G11" s="550"/>
      <c r="H11" s="550"/>
      <c r="I11" s="550"/>
      <c r="J11" s="550"/>
      <c r="K11" s="914" t="s">
        <v>922</v>
      </c>
      <c r="L11" s="914"/>
    </row>
    <row r="12" spans="1:12" ht="11.1" customHeight="1" x14ac:dyDescent="0.25">
      <c r="A12" s="893" t="s">
        <v>925</v>
      </c>
      <c r="B12" s="894"/>
      <c r="C12" s="894"/>
      <c r="D12" s="894"/>
      <c r="E12" s="895"/>
      <c r="F12" s="902" t="s">
        <v>2143</v>
      </c>
      <c r="G12" s="903"/>
      <c r="H12" s="582" t="s">
        <v>1464</v>
      </c>
      <c r="I12" s="902" t="s">
        <v>2144</v>
      </c>
      <c r="J12" s="904"/>
      <c r="K12" s="904"/>
      <c r="L12" s="903"/>
    </row>
    <row r="13" spans="1:12" ht="11.85" customHeight="1" x14ac:dyDescent="0.25">
      <c r="A13" s="899"/>
      <c r="B13" s="900"/>
      <c r="C13" s="900"/>
      <c r="D13" s="900"/>
      <c r="E13" s="901"/>
      <c r="F13" s="910" t="s">
        <v>956</v>
      </c>
      <c r="G13" s="911"/>
      <c r="H13" s="583" t="s">
        <v>957</v>
      </c>
      <c r="I13" s="910" t="s">
        <v>2145</v>
      </c>
      <c r="J13" s="912"/>
      <c r="K13" s="912"/>
      <c r="L13" s="911"/>
    </row>
    <row r="14" spans="1:12" ht="11.85" customHeight="1" x14ac:dyDescent="0.25">
      <c r="A14" s="887" t="s">
        <v>2146</v>
      </c>
      <c r="B14" s="888"/>
      <c r="C14" s="888"/>
      <c r="D14" s="888"/>
      <c r="E14" s="889"/>
      <c r="F14" s="890" t="s">
        <v>825</v>
      </c>
      <c r="G14" s="891"/>
      <c r="H14" s="584" t="s">
        <v>825</v>
      </c>
      <c r="I14" s="890" t="s">
        <v>825</v>
      </c>
      <c r="J14" s="892"/>
      <c r="K14" s="892"/>
      <c r="L14" s="891"/>
    </row>
    <row r="15" spans="1:12" ht="11.85" customHeight="1" x14ac:dyDescent="0.25">
      <c r="A15" s="559"/>
      <c r="B15" s="559"/>
      <c r="C15" s="559"/>
      <c r="D15" s="559"/>
      <c r="E15" s="559"/>
      <c r="F15" s="559"/>
      <c r="G15" s="559"/>
      <c r="H15" s="559"/>
      <c r="I15" s="559"/>
      <c r="J15" s="559"/>
      <c r="K15" s="559"/>
      <c r="L15" s="559"/>
    </row>
    <row r="16" spans="1:12" ht="11.1" customHeight="1" x14ac:dyDescent="0.25">
      <c r="A16" s="893" t="s">
        <v>931</v>
      </c>
      <c r="B16" s="894"/>
      <c r="C16" s="894"/>
      <c r="D16" s="894"/>
      <c r="E16" s="895"/>
      <c r="F16" s="902" t="s">
        <v>2147</v>
      </c>
      <c r="G16" s="903"/>
      <c r="H16" s="582" t="s">
        <v>931</v>
      </c>
      <c r="I16" s="902" t="s">
        <v>2148</v>
      </c>
      <c r="J16" s="904"/>
      <c r="K16" s="904"/>
      <c r="L16" s="903"/>
    </row>
    <row r="17" spans="1:12" ht="11.85" customHeight="1" x14ac:dyDescent="0.25">
      <c r="A17" s="896"/>
      <c r="B17" s="897"/>
      <c r="C17" s="897"/>
      <c r="D17" s="897"/>
      <c r="E17" s="898"/>
      <c r="F17" s="905"/>
      <c r="G17" s="906"/>
      <c r="H17" s="585" t="s">
        <v>2149</v>
      </c>
      <c r="I17" s="907"/>
      <c r="J17" s="908"/>
      <c r="K17" s="908"/>
      <c r="L17" s="909"/>
    </row>
    <row r="18" spans="1:12" ht="11.85" customHeight="1" x14ac:dyDescent="0.25">
      <c r="A18" s="899"/>
      <c r="B18" s="900"/>
      <c r="C18" s="900"/>
      <c r="D18" s="900"/>
      <c r="E18" s="901"/>
      <c r="F18" s="910" t="s">
        <v>1030</v>
      </c>
      <c r="G18" s="911"/>
      <c r="H18" s="583" t="s">
        <v>2150</v>
      </c>
      <c r="I18" s="910" t="s">
        <v>2151</v>
      </c>
      <c r="J18" s="912"/>
      <c r="K18" s="912"/>
      <c r="L18" s="911"/>
    </row>
    <row r="19" spans="1:12" ht="11.85" customHeight="1" x14ac:dyDescent="0.25">
      <c r="A19" s="887" t="s">
        <v>1751</v>
      </c>
      <c r="B19" s="888"/>
      <c r="C19" s="888"/>
      <c r="D19" s="888"/>
      <c r="E19" s="889"/>
      <c r="F19" s="890" t="s">
        <v>2152</v>
      </c>
      <c r="G19" s="891"/>
      <c r="H19" s="584" t="s">
        <v>1755</v>
      </c>
      <c r="I19" s="890" t="s">
        <v>2153</v>
      </c>
      <c r="J19" s="892"/>
      <c r="K19" s="892"/>
      <c r="L19" s="891"/>
    </row>
    <row r="20" spans="1:12" ht="11.1" customHeight="1" x14ac:dyDescent="0.25">
      <c r="A20" s="887" t="s">
        <v>329</v>
      </c>
      <c r="B20" s="888"/>
      <c r="C20" s="888"/>
      <c r="D20" s="888"/>
      <c r="E20" s="889"/>
      <c r="F20" s="890" t="s">
        <v>1764</v>
      </c>
      <c r="G20" s="891"/>
      <c r="H20" s="584" t="s">
        <v>1755</v>
      </c>
      <c r="I20" s="890" t="s">
        <v>1765</v>
      </c>
      <c r="J20" s="892"/>
      <c r="K20" s="892"/>
      <c r="L20" s="891"/>
    </row>
    <row r="21" spans="1:12" ht="11.85" customHeight="1" x14ac:dyDescent="0.25">
      <c r="A21" s="887" t="s">
        <v>891</v>
      </c>
      <c r="B21" s="888"/>
      <c r="C21" s="888"/>
      <c r="D21" s="888"/>
      <c r="E21" s="889"/>
      <c r="F21" s="890" t="s">
        <v>1769</v>
      </c>
      <c r="G21" s="891"/>
      <c r="H21" s="584" t="s">
        <v>825</v>
      </c>
      <c r="I21" s="890" t="s">
        <v>1769</v>
      </c>
      <c r="J21" s="892"/>
      <c r="K21" s="892"/>
      <c r="L21" s="891"/>
    </row>
    <row r="22" spans="1:12" ht="11.85" customHeight="1" x14ac:dyDescent="0.25">
      <c r="A22" s="887" t="s">
        <v>333</v>
      </c>
      <c r="B22" s="888"/>
      <c r="C22" s="888"/>
      <c r="D22" s="888"/>
      <c r="E22" s="889"/>
      <c r="F22" s="890">
        <v>865.38</v>
      </c>
      <c r="G22" s="891"/>
      <c r="H22" s="584" t="s">
        <v>825</v>
      </c>
      <c r="I22" s="890">
        <v>865.38</v>
      </c>
      <c r="J22" s="892"/>
      <c r="K22" s="892"/>
      <c r="L22" s="891"/>
    </row>
    <row r="23" spans="1:12" ht="11.85" customHeight="1" x14ac:dyDescent="0.25">
      <c r="A23" s="887" t="s">
        <v>2154</v>
      </c>
      <c r="B23" s="888"/>
      <c r="C23" s="888"/>
      <c r="D23" s="888"/>
      <c r="E23" s="889"/>
      <c r="F23" s="890" t="s">
        <v>825</v>
      </c>
      <c r="G23" s="891"/>
      <c r="H23" s="584" t="s">
        <v>825</v>
      </c>
      <c r="I23" s="890" t="s">
        <v>825</v>
      </c>
      <c r="J23" s="892"/>
      <c r="K23" s="892"/>
      <c r="L23" s="891"/>
    </row>
    <row r="24" spans="1:12" ht="11.1" customHeight="1" x14ac:dyDescent="0.25">
      <c r="A24" s="887" t="s">
        <v>2155</v>
      </c>
      <c r="B24" s="888"/>
      <c r="C24" s="888"/>
      <c r="D24" s="888"/>
      <c r="E24" s="889"/>
      <c r="F24" s="890" t="s">
        <v>825</v>
      </c>
      <c r="G24" s="891"/>
      <c r="H24" s="584" t="s">
        <v>825</v>
      </c>
      <c r="I24" s="890" t="s">
        <v>825</v>
      </c>
      <c r="J24" s="892"/>
      <c r="K24" s="892"/>
      <c r="L24" s="891"/>
    </row>
    <row r="25" spans="1:12" ht="11.85" customHeight="1" x14ac:dyDescent="0.25">
      <c r="A25" s="887" t="s">
        <v>2156</v>
      </c>
      <c r="B25" s="888"/>
      <c r="C25" s="888"/>
      <c r="D25" s="888"/>
      <c r="E25" s="889"/>
      <c r="F25" s="890" t="s">
        <v>2152</v>
      </c>
      <c r="G25" s="891"/>
      <c r="H25" s="584" t="s">
        <v>1755</v>
      </c>
      <c r="I25" s="890" t="s">
        <v>2153</v>
      </c>
      <c r="J25" s="892"/>
      <c r="K25" s="892"/>
      <c r="L25" s="891"/>
    </row>
    <row r="26" spans="1:12" ht="11.85" customHeight="1" x14ac:dyDescent="0.25">
      <c r="A26" s="559"/>
      <c r="B26" s="559"/>
      <c r="C26" s="559"/>
      <c r="D26" s="559"/>
      <c r="E26" s="559"/>
      <c r="F26" s="559"/>
      <c r="G26" s="559"/>
      <c r="H26" s="559"/>
      <c r="I26" s="559"/>
      <c r="J26" s="559"/>
      <c r="K26" s="559"/>
      <c r="L26" s="559"/>
    </row>
    <row r="27" spans="1:12" ht="11.85" customHeight="1" x14ac:dyDescent="0.25">
      <c r="A27" s="887" t="s">
        <v>2157</v>
      </c>
      <c r="B27" s="888"/>
      <c r="C27" s="888"/>
      <c r="D27" s="888"/>
      <c r="E27" s="889"/>
      <c r="F27" s="890" t="s">
        <v>2152</v>
      </c>
      <c r="G27" s="891"/>
      <c r="H27" s="584" t="s">
        <v>1755</v>
      </c>
      <c r="I27" s="890" t="s">
        <v>2153</v>
      </c>
      <c r="J27" s="892"/>
      <c r="K27" s="892"/>
      <c r="L27" s="891"/>
    </row>
    <row r="28" spans="1:12" ht="22.9" customHeight="1" x14ac:dyDescent="0.25">
      <c r="A28" s="886" t="s">
        <v>2158</v>
      </c>
      <c r="B28" s="886"/>
      <c r="C28" s="886"/>
      <c r="D28" s="886"/>
      <c r="E28" s="886"/>
      <c r="F28" s="886"/>
      <c r="G28" s="886"/>
      <c r="H28" s="886"/>
      <c r="I28" s="886"/>
      <c r="J28" s="886"/>
      <c r="K28" s="886"/>
      <c r="L28" s="886"/>
    </row>
    <row r="29" spans="1:12" ht="11.85" customHeight="1" x14ac:dyDescent="0.25"/>
    <row r="30" spans="1:12" ht="11.85" customHeight="1" x14ac:dyDescent="0.25"/>
    <row r="31" spans="1:12" ht="5.85" customHeight="1" x14ac:dyDescent="0.25"/>
    <row r="32" spans="1:12" ht="11.1" customHeight="1" x14ac:dyDescent="0.25"/>
    <row r="33" spans="1:12" ht="11.85" customHeight="1" x14ac:dyDescent="0.25"/>
    <row r="34" spans="1:12" ht="74.099999999999994" customHeight="1" x14ac:dyDescent="0.25"/>
    <row r="35" spans="1:12" ht="74.099999999999994" customHeight="1" x14ac:dyDescent="0.25"/>
    <row r="36" spans="1:12" ht="74.099999999999994" customHeight="1" x14ac:dyDescent="0.25"/>
    <row r="37" spans="1:12" ht="74.099999999999994" customHeight="1" x14ac:dyDescent="0.25"/>
    <row r="38" spans="1:12" ht="66.599999999999994" customHeight="1" x14ac:dyDescent="0.25"/>
    <row r="39" spans="1:12" ht="65.849999999999994" customHeight="1" x14ac:dyDescent="0.25"/>
    <row r="40" spans="1:12" ht="11.85" customHeight="1" x14ac:dyDescent="0.25">
      <c r="A40" s="803" t="s">
        <v>2159</v>
      </c>
      <c r="B40" s="803"/>
      <c r="C40" s="803"/>
      <c r="D40" s="803"/>
      <c r="E40" s="803"/>
      <c r="F40" s="803"/>
      <c r="G40" s="803"/>
      <c r="H40" s="803"/>
      <c r="I40" s="803"/>
      <c r="J40" s="803"/>
      <c r="K40" s="803"/>
      <c r="L40" s="803"/>
    </row>
  </sheetData>
  <mergeCells count="50">
    <mergeCell ref="J1:L1"/>
    <mergeCell ref="B3:B8"/>
    <mergeCell ref="D3:F3"/>
    <mergeCell ref="D4:K4"/>
    <mergeCell ref="D5:K5"/>
    <mergeCell ref="D6:K6"/>
    <mergeCell ref="D7:K7"/>
    <mergeCell ref="A11:D11"/>
    <mergeCell ref="K11:L11"/>
    <mergeCell ref="A12:E13"/>
    <mergeCell ref="F12:G12"/>
    <mergeCell ref="I12:L12"/>
    <mergeCell ref="F13:G13"/>
    <mergeCell ref="I13:L13"/>
    <mergeCell ref="A14:E14"/>
    <mergeCell ref="F14:G14"/>
    <mergeCell ref="I14:L14"/>
    <mergeCell ref="A16:E18"/>
    <mergeCell ref="F16:G16"/>
    <mergeCell ref="I16:L16"/>
    <mergeCell ref="F17:G17"/>
    <mergeCell ref="I17:L17"/>
    <mergeCell ref="F18:G18"/>
    <mergeCell ref="I18:L18"/>
    <mergeCell ref="A19:E19"/>
    <mergeCell ref="F19:G19"/>
    <mergeCell ref="I19:L19"/>
    <mergeCell ref="A20:E20"/>
    <mergeCell ref="F20:G20"/>
    <mergeCell ref="I20:L20"/>
    <mergeCell ref="A21:E21"/>
    <mergeCell ref="F21:G21"/>
    <mergeCell ref="I21:L21"/>
    <mergeCell ref="A22:E22"/>
    <mergeCell ref="F22:G22"/>
    <mergeCell ref="I22:L22"/>
    <mergeCell ref="A23:E23"/>
    <mergeCell ref="F23:G23"/>
    <mergeCell ref="I23:L23"/>
    <mergeCell ref="A24:E24"/>
    <mergeCell ref="F24:G24"/>
    <mergeCell ref="I24:L24"/>
    <mergeCell ref="A28:L28"/>
    <mergeCell ref="A40:L40"/>
    <mergeCell ref="A25:E25"/>
    <mergeCell ref="F25:G25"/>
    <mergeCell ref="I25:L25"/>
    <mergeCell ref="A27:E27"/>
    <mergeCell ref="F27:G27"/>
    <mergeCell ref="I27:L27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05"/>
  <sheetViews>
    <sheetView topLeftCell="A158" workbookViewId="0">
      <selection activeCell="A178" sqref="A178:H178"/>
    </sheetView>
  </sheetViews>
  <sheetFormatPr defaultRowHeight="15" x14ac:dyDescent="0.25"/>
  <cols>
    <col min="1" max="1" width="5" customWidth="1"/>
    <col min="2" max="2" width="11.140625" customWidth="1"/>
    <col min="3" max="3" width="10.5703125" customWidth="1"/>
    <col min="4" max="4" width="8" customWidth="1"/>
    <col min="5" max="5" width="6" customWidth="1"/>
    <col min="6" max="6" width="5.140625" customWidth="1"/>
    <col min="7" max="7" width="5" customWidth="1"/>
    <col min="8" max="8" width="5.140625" customWidth="1"/>
    <col min="9" max="9" width="0.85546875" customWidth="1"/>
    <col min="10" max="10" width="1" customWidth="1"/>
    <col min="11" max="11" width="5.140625" customWidth="1"/>
    <col min="12" max="12" width="1.85546875" customWidth="1"/>
    <col min="13" max="13" width="1" customWidth="1"/>
    <col min="14" max="14" width="5.140625" customWidth="1"/>
    <col min="15" max="15" width="1" customWidth="1"/>
    <col min="16" max="16" width="0.85546875" customWidth="1"/>
    <col min="17" max="17" width="8.140625" customWidth="1"/>
    <col min="18" max="18" width="2" customWidth="1"/>
    <col min="19" max="19" width="1" customWidth="1"/>
    <col min="20" max="20" width="2" customWidth="1"/>
    <col min="21" max="21" width="7" customWidth="1"/>
    <col min="22" max="22" width="2" customWidth="1"/>
    <col min="23" max="23" width="1" customWidth="1"/>
    <col min="24" max="24" width="4" customWidth="1"/>
    <col min="25" max="25" width="1" customWidth="1"/>
    <col min="26" max="26" width="2" customWidth="1"/>
    <col min="27" max="27" width="3" customWidth="1"/>
    <col min="28" max="29" width="1" customWidth="1"/>
    <col min="30" max="30" width="5" customWidth="1"/>
    <col min="31" max="31" width="2" customWidth="1"/>
    <col min="32" max="32" width="4.140625" customWidth="1"/>
    <col min="33" max="33" width="1" customWidth="1"/>
    <col min="34" max="34" width="3" customWidth="1"/>
    <col min="35" max="35" width="1" customWidth="1"/>
    <col min="36" max="36" width="11.140625" customWidth="1"/>
    <col min="37" max="37" width="0.5703125" customWidth="1"/>
  </cols>
  <sheetData>
    <row r="1" spans="1:37" ht="11.85" customHeight="1" x14ac:dyDescent="0.25">
      <c r="A1" s="856" t="s">
        <v>833</v>
      </c>
      <c r="B1" s="856"/>
      <c r="C1" s="856"/>
      <c r="D1" s="856"/>
      <c r="E1" s="856"/>
      <c r="F1" s="856"/>
      <c r="G1" s="856"/>
      <c r="H1" s="856"/>
      <c r="AJ1" s="586" t="s">
        <v>1839</v>
      </c>
    </row>
    <row r="2" spans="1:37" ht="11.1" customHeight="1" x14ac:dyDescent="0.25">
      <c r="A2" s="856" t="s">
        <v>824</v>
      </c>
      <c r="B2" s="856"/>
      <c r="C2" s="856"/>
      <c r="D2" s="856"/>
      <c r="E2" s="856"/>
      <c r="F2" s="856"/>
      <c r="G2" s="856"/>
      <c r="H2" s="856"/>
    </row>
    <row r="3" spans="1:37" ht="11.85" customHeight="1" x14ac:dyDescent="0.25">
      <c r="A3" s="861" t="s">
        <v>2160</v>
      </c>
      <c r="B3" s="861"/>
      <c r="C3" s="861"/>
      <c r="D3" s="861"/>
      <c r="E3" s="861"/>
      <c r="F3" s="861"/>
      <c r="G3" s="861"/>
      <c r="H3" s="861"/>
    </row>
    <row r="4" spans="1:37" ht="11.85" customHeight="1" x14ac:dyDescent="0.25">
      <c r="A4" s="856" t="s">
        <v>832</v>
      </c>
      <c r="B4" s="856"/>
      <c r="C4" s="856"/>
      <c r="D4" s="856"/>
      <c r="E4" s="856"/>
      <c r="F4" s="856"/>
      <c r="G4" s="856"/>
      <c r="H4" s="856"/>
    </row>
    <row r="5" spans="1:37" ht="11.85" customHeight="1" x14ac:dyDescent="0.25">
      <c r="A5" s="856" t="s">
        <v>2161</v>
      </c>
      <c r="B5" s="856"/>
      <c r="C5" s="856"/>
      <c r="D5" s="856"/>
      <c r="E5" s="856"/>
      <c r="F5" s="856"/>
      <c r="G5" s="856"/>
      <c r="H5" s="856"/>
    </row>
    <row r="6" spans="1:37" ht="5.85" customHeight="1" x14ac:dyDescent="0.25"/>
    <row r="7" spans="1:37" ht="11.1" customHeight="1" x14ac:dyDescent="0.25">
      <c r="A7" s="973" t="s">
        <v>2162</v>
      </c>
      <c r="B7" s="973"/>
      <c r="C7" s="973"/>
      <c r="D7" s="973"/>
      <c r="E7" s="973"/>
      <c r="F7" s="973"/>
      <c r="G7" s="973"/>
      <c r="H7" s="973"/>
      <c r="I7" s="550"/>
      <c r="J7" s="550"/>
      <c r="K7" s="550"/>
      <c r="L7" s="550"/>
      <c r="M7" s="550"/>
      <c r="N7" s="550"/>
      <c r="O7" s="550"/>
      <c r="P7" s="550"/>
      <c r="Q7" s="550"/>
      <c r="R7" s="550"/>
      <c r="S7" s="550"/>
      <c r="T7" s="550"/>
      <c r="U7" s="550"/>
      <c r="V7" s="550"/>
      <c r="W7" s="550"/>
      <c r="X7" s="550"/>
      <c r="Y7" s="550"/>
      <c r="Z7" s="550"/>
      <c r="AA7" s="550"/>
      <c r="AB7" s="550"/>
      <c r="AC7" s="550"/>
      <c r="AD7" s="550"/>
      <c r="AE7" s="550"/>
      <c r="AF7" s="550"/>
      <c r="AG7" s="550"/>
      <c r="AH7" s="550"/>
      <c r="AI7" s="550"/>
      <c r="AJ7" s="550"/>
      <c r="AK7" s="550"/>
    </row>
    <row r="8" spans="1:37" ht="11.85" customHeight="1" x14ac:dyDescent="0.25">
      <c r="A8" s="992" t="s">
        <v>2163</v>
      </c>
      <c r="B8" s="993"/>
      <c r="C8" s="993"/>
      <c r="D8" s="993"/>
      <c r="E8" s="993"/>
      <c r="F8" s="993"/>
      <c r="G8" s="993"/>
      <c r="H8" s="993"/>
      <c r="I8" s="993"/>
      <c r="J8" s="994"/>
      <c r="K8" s="965" t="s">
        <v>1462</v>
      </c>
      <c r="L8" s="966"/>
      <c r="M8" s="966"/>
      <c r="N8" s="966"/>
      <c r="O8" s="966"/>
      <c r="P8" s="966"/>
      <c r="Q8" s="967"/>
      <c r="R8" s="965" t="s">
        <v>1463</v>
      </c>
      <c r="S8" s="966"/>
      <c r="T8" s="966"/>
      <c r="U8" s="966"/>
      <c r="V8" s="966"/>
      <c r="W8" s="966"/>
      <c r="X8" s="966"/>
      <c r="Y8" s="967"/>
      <c r="Z8" s="804" t="s">
        <v>1464</v>
      </c>
      <c r="AA8" s="825"/>
      <c r="AB8" s="825"/>
      <c r="AC8" s="825"/>
      <c r="AD8" s="825"/>
      <c r="AE8" s="825"/>
      <c r="AF8" s="825"/>
      <c r="AG8" s="825"/>
      <c r="AH8" s="825"/>
      <c r="AI8" s="825"/>
      <c r="AJ8" s="825"/>
      <c r="AK8" s="805"/>
    </row>
    <row r="9" spans="1:37" ht="17.850000000000001" customHeight="1" x14ac:dyDescent="0.25">
      <c r="A9" s="995"/>
      <c r="B9" s="996"/>
      <c r="C9" s="996"/>
      <c r="D9" s="996"/>
      <c r="E9" s="996"/>
      <c r="F9" s="996"/>
      <c r="G9" s="996"/>
      <c r="H9" s="996"/>
      <c r="I9" s="996"/>
      <c r="J9" s="997"/>
      <c r="K9" s="968"/>
      <c r="L9" s="969"/>
      <c r="M9" s="969"/>
      <c r="N9" s="969"/>
      <c r="O9" s="969"/>
      <c r="P9" s="969"/>
      <c r="Q9" s="970"/>
      <c r="R9" s="968"/>
      <c r="S9" s="969"/>
      <c r="T9" s="969"/>
      <c r="U9" s="969"/>
      <c r="V9" s="969"/>
      <c r="W9" s="969"/>
      <c r="X9" s="969"/>
      <c r="Y9" s="970"/>
      <c r="Z9" s="965" t="s">
        <v>2164</v>
      </c>
      <c r="AA9" s="971"/>
      <c r="AB9" s="971"/>
      <c r="AC9" s="971"/>
      <c r="AD9" s="971"/>
      <c r="AE9" s="971"/>
      <c r="AF9" s="972"/>
      <c r="AG9" s="965" t="s">
        <v>2165</v>
      </c>
      <c r="AH9" s="971"/>
      <c r="AI9" s="971"/>
      <c r="AJ9" s="971"/>
      <c r="AK9" s="972"/>
    </row>
    <row r="10" spans="1:37" ht="11.1" customHeight="1" x14ac:dyDescent="0.25">
      <c r="A10" s="1025" t="s">
        <v>2166</v>
      </c>
      <c r="B10" s="1026"/>
      <c r="C10" s="1026"/>
      <c r="D10" s="1026"/>
      <c r="E10" s="1026"/>
      <c r="F10" s="1026"/>
      <c r="G10" s="1026"/>
      <c r="H10" s="1026"/>
      <c r="I10" s="1026"/>
      <c r="J10" s="1027"/>
      <c r="K10" s="962" t="s">
        <v>1491</v>
      </c>
      <c r="L10" s="964"/>
      <c r="M10" s="964"/>
      <c r="N10" s="964"/>
      <c r="O10" s="964"/>
      <c r="P10" s="964"/>
      <c r="Q10" s="963"/>
      <c r="R10" s="962" t="s">
        <v>1491</v>
      </c>
      <c r="S10" s="964"/>
      <c r="T10" s="964"/>
      <c r="U10" s="964"/>
      <c r="V10" s="964"/>
      <c r="W10" s="964"/>
      <c r="X10" s="964"/>
      <c r="Y10" s="963"/>
      <c r="Z10" s="962" t="s">
        <v>1494</v>
      </c>
      <c r="AA10" s="964"/>
      <c r="AB10" s="964"/>
      <c r="AC10" s="964"/>
      <c r="AD10" s="964"/>
      <c r="AE10" s="964"/>
      <c r="AF10" s="963"/>
      <c r="AG10" s="962" t="s">
        <v>1495</v>
      </c>
      <c r="AH10" s="964"/>
      <c r="AI10" s="964"/>
      <c r="AJ10" s="964"/>
      <c r="AK10" s="963"/>
    </row>
    <row r="11" spans="1:37" ht="11.85" customHeight="1" x14ac:dyDescent="0.25">
      <c r="A11" s="1022" t="s">
        <v>2167</v>
      </c>
      <c r="B11" s="1023"/>
      <c r="C11" s="1023"/>
      <c r="D11" s="1023"/>
      <c r="E11" s="1023"/>
      <c r="F11" s="1023"/>
      <c r="G11" s="1023"/>
      <c r="H11" s="1023"/>
      <c r="I11" s="1023"/>
      <c r="J11" s="1024"/>
      <c r="K11" s="953" t="s">
        <v>838</v>
      </c>
      <c r="L11" s="955"/>
      <c r="M11" s="955"/>
      <c r="N11" s="955"/>
      <c r="O11" s="955"/>
      <c r="P11" s="955"/>
      <c r="Q11" s="954"/>
      <c r="R11" s="953" t="s">
        <v>838</v>
      </c>
      <c r="S11" s="955"/>
      <c r="T11" s="955"/>
      <c r="U11" s="955"/>
      <c r="V11" s="955"/>
      <c r="W11" s="955"/>
      <c r="X11" s="955"/>
      <c r="Y11" s="954"/>
      <c r="Z11" s="953" t="s">
        <v>1987</v>
      </c>
      <c r="AA11" s="955"/>
      <c r="AB11" s="955"/>
      <c r="AC11" s="955"/>
      <c r="AD11" s="955"/>
      <c r="AE11" s="955"/>
      <c r="AF11" s="954"/>
      <c r="AG11" s="953" t="s">
        <v>2168</v>
      </c>
      <c r="AH11" s="955"/>
      <c r="AI11" s="955"/>
      <c r="AJ11" s="955"/>
      <c r="AK11" s="954"/>
    </row>
    <row r="12" spans="1:37" ht="11.85" customHeight="1" x14ac:dyDescent="0.25">
      <c r="A12" s="983" t="s">
        <v>208</v>
      </c>
      <c r="B12" s="984"/>
      <c r="C12" s="984"/>
      <c r="D12" s="984"/>
      <c r="E12" s="984"/>
      <c r="F12" s="984"/>
      <c r="G12" s="984"/>
      <c r="H12" s="984"/>
      <c r="I12" s="984"/>
      <c r="J12" s="985"/>
      <c r="K12" s="953" t="s">
        <v>2169</v>
      </c>
      <c r="L12" s="955"/>
      <c r="M12" s="955"/>
      <c r="N12" s="955"/>
      <c r="O12" s="955"/>
      <c r="P12" s="955"/>
      <c r="Q12" s="954"/>
      <c r="R12" s="953" t="s">
        <v>2169</v>
      </c>
      <c r="S12" s="955"/>
      <c r="T12" s="955"/>
      <c r="U12" s="955"/>
      <c r="V12" s="955"/>
      <c r="W12" s="955"/>
      <c r="X12" s="955"/>
      <c r="Y12" s="954"/>
      <c r="Z12" s="953" t="s">
        <v>2170</v>
      </c>
      <c r="AA12" s="955"/>
      <c r="AB12" s="955"/>
      <c r="AC12" s="955"/>
      <c r="AD12" s="955"/>
      <c r="AE12" s="955"/>
      <c r="AF12" s="954"/>
      <c r="AG12" s="953" t="s">
        <v>2171</v>
      </c>
      <c r="AH12" s="955"/>
      <c r="AI12" s="955"/>
      <c r="AJ12" s="955"/>
      <c r="AK12" s="954"/>
    </row>
    <row r="13" spans="1:37" ht="11.85" customHeight="1" x14ac:dyDescent="0.25">
      <c r="A13" s="983" t="s">
        <v>2172</v>
      </c>
      <c r="B13" s="984"/>
      <c r="C13" s="984"/>
      <c r="D13" s="984"/>
      <c r="E13" s="984"/>
      <c r="F13" s="984"/>
      <c r="G13" s="984"/>
      <c r="H13" s="984"/>
      <c r="I13" s="984"/>
      <c r="J13" s="985"/>
      <c r="K13" s="953" t="s">
        <v>2173</v>
      </c>
      <c r="L13" s="955"/>
      <c r="M13" s="955"/>
      <c r="N13" s="955"/>
      <c r="O13" s="955"/>
      <c r="P13" s="955"/>
      <c r="Q13" s="954"/>
      <c r="R13" s="953" t="s">
        <v>2173</v>
      </c>
      <c r="S13" s="955"/>
      <c r="T13" s="955"/>
      <c r="U13" s="955"/>
      <c r="V13" s="955"/>
      <c r="W13" s="955"/>
      <c r="X13" s="955"/>
      <c r="Y13" s="954"/>
      <c r="Z13" s="953" t="s">
        <v>2174</v>
      </c>
      <c r="AA13" s="955"/>
      <c r="AB13" s="955"/>
      <c r="AC13" s="955"/>
      <c r="AD13" s="955"/>
      <c r="AE13" s="955"/>
      <c r="AF13" s="954"/>
      <c r="AG13" s="953" t="s">
        <v>2175</v>
      </c>
      <c r="AH13" s="955"/>
      <c r="AI13" s="955"/>
      <c r="AJ13" s="955"/>
      <c r="AK13" s="954"/>
    </row>
    <row r="14" spans="1:37" ht="11.1" customHeight="1" x14ac:dyDescent="0.25">
      <c r="A14" s="1022" t="s">
        <v>2176</v>
      </c>
      <c r="B14" s="1023"/>
      <c r="C14" s="1023"/>
      <c r="D14" s="1023"/>
      <c r="E14" s="1023"/>
      <c r="F14" s="1023"/>
      <c r="G14" s="1023"/>
      <c r="H14" s="1023"/>
      <c r="I14" s="1023"/>
      <c r="J14" s="1024"/>
      <c r="K14" s="953" t="s">
        <v>841</v>
      </c>
      <c r="L14" s="955"/>
      <c r="M14" s="955"/>
      <c r="N14" s="955"/>
      <c r="O14" s="955"/>
      <c r="P14" s="955"/>
      <c r="Q14" s="954"/>
      <c r="R14" s="953" t="s">
        <v>841</v>
      </c>
      <c r="S14" s="955"/>
      <c r="T14" s="955"/>
      <c r="U14" s="955"/>
      <c r="V14" s="955"/>
      <c r="W14" s="955"/>
      <c r="X14" s="955"/>
      <c r="Y14" s="954"/>
      <c r="Z14" s="953" t="s">
        <v>1989</v>
      </c>
      <c r="AA14" s="955"/>
      <c r="AB14" s="955"/>
      <c r="AC14" s="955"/>
      <c r="AD14" s="955"/>
      <c r="AE14" s="955"/>
      <c r="AF14" s="954"/>
      <c r="AG14" s="953" t="s">
        <v>2177</v>
      </c>
      <c r="AH14" s="955"/>
      <c r="AI14" s="955"/>
      <c r="AJ14" s="955"/>
      <c r="AK14" s="954"/>
    </row>
    <row r="15" spans="1:37" ht="11.85" customHeight="1" x14ac:dyDescent="0.25">
      <c r="A15" s="983" t="s">
        <v>210</v>
      </c>
      <c r="B15" s="984"/>
      <c r="C15" s="984"/>
      <c r="D15" s="984"/>
      <c r="E15" s="984"/>
      <c r="F15" s="984"/>
      <c r="G15" s="984"/>
      <c r="H15" s="984"/>
      <c r="I15" s="984"/>
      <c r="J15" s="985"/>
      <c r="K15" s="953" t="s">
        <v>2178</v>
      </c>
      <c r="L15" s="955"/>
      <c r="M15" s="955"/>
      <c r="N15" s="955"/>
      <c r="O15" s="955"/>
      <c r="P15" s="955"/>
      <c r="Q15" s="954"/>
      <c r="R15" s="953" t="s">
        <v>2178</v>
      </c>
      <c r="S15" s="955"/>
      <c r="T15" s="955"/>
      <c r="U15" s="955"/>
      <c r="V15" s="955"/>
      <c r="W15" s="955"/>
      <c r="X15" s="955"/>
      <c r="Y15" s="954"/>
      <c r="Z15" s="953" t="s">
        <v>1989</v>
      </c>
      <c r="AA15" s="955"/>
      <c r="AB15" s="955"/>
      <c r="AC15" s="955"/>
      <c r="AD15" s="955"/>
      <c r="AE15" s="955"/>
      <c r="AF15" s="954"/>
      <c r="AG15" s="953" t="s">
        <v>2179</v>
      </c>
      <c r="AH15" s="955"/>
      <c r="AI15" s="955"/>
      <c r="AJ15" s="955"/>
      <c r="AK15" s="954"/>
    </row>
    <row r="16" spans="1:37" ht="11.85" customHeight="1" x14ac:dyDescent="0.25">
      <c r="A16" s="983" t="s">
        <v>2180</v>
      </c>
      <c r="B16" s="984"/>
      <c r="C16" s="984"/>
      <c r="D16" s="984"/>
      <c r="E16" s="984"/>
      <c r="F16" s="984"/>
      <c r="G16" s="984"/>
      <c r="H16" s="984"/>
      <c r="I16" s="984"/>
      <c r="J16" s="985"/>
      <c r="K16" s="953" t="s">
        <v>2181</v>
      </c>
      <c r="L16" s="955"/>
      <c r="M16" s="955"/>
      <c r="N16" s="955"/>
      <c r="O16" s="955"/>
      <c r="P16" s="955"/>
      <c r="Q16" s="954"/>
      <c r="R16" s="953" t="s">
        <v>2181</v>
      </c>
      <c r="S16" s="955"/>
      <c r="T16" s="955"/>
      <c r="U16" s="955"/>
      <c r="V16" s="955"/>
      <c r="W16" s="955"/>
      <c r="X16" s="955"/>
      <c r="Y16" s="954"/>
      <c r="Z16" s="953" t="s">
        <v>825</v>
      </c>
      <c r="AA16" s="955"/>
      <c r="AB16" s="955"/>
      <c r="AC16" s="955"/>
      <c r="AD16" s="955"/>
      <c r="AE16" s="955"/>
      <c r="AF16" s="954"/>
      <c r="AG16" s="953" t="s">
        <v>825</v>
      </c>
      <c r="AH16" s="955"/>
      <c r="AI16" s="955"/>
      <c r="AJ16" s="955"/>
      <c r="AK16" s="954"/>
    </row>
    <row r="17" spans="1:37" ht="11.85" customHeight="1" x14ac:dyDescent="0.25">
      <c r="A17" s="1022" t="s">
        <v>2182</v>
      </c>
      <c r="B17" s="1023"/>
      <c r="C17" s="1023"/>
      <c r="D17" s="1023"/>
      <c r="E17" s="1023"/>
      <c r="F17" s="1023"/>
      <c r="G17" s="1023"/>
      <c r="H17" s="1023"/>
      <c r="I17" s="1023"/>
      <c r="J17" s="1024"/>
      <c r="K17" s="953" t="s">
        <v>840</v>
      </c>
      <c r="L17" s="955"/>
      <c r="M17" s="955"/>
      <c r="N17" s="955"/>
      <c r="O17" s="955"/>
      <c r="P17" s="955"/>
      <c r="Q17" s="954"/>
      <c r="R17" s="953" t="s">
        <v>840</v>
      </c>
      <c r="S17" s="955"/>
      <c r="T17" s="955"/>
      <c r="U17" s="955"/>
      <c r="V17" s="955"/>
      <c r="W17" s="955"/>
      <c r="X17" s="955"/>
      <c r="Y17" s="954"/>
      <c r="Z17" s="953" t="s">
        <v>1988</v>
      </c>
      <c r="AA17" s="955"/>
      <c r="AB17" s="955"/>
      <c r="AC17" s="955"/>
      <c r="AD17" s="955"/>
      <c r="AE17" s="955"/>
      <c r="AF17" s="954"/>
      <c r="AG17" s="953" t="s">
        <v>2183</v>
      </c>
      <c r="AH17" s="955"/>
      <c r="AI17" s="955"/>
      <c r="AJ17" s="955"/>
      <c r="AK17" s="954"/>
    </row>
    <row r="18" spans="1:37" ht="11.1" customHeight="1" x14ac:dyDescent="0.25">
      <c r="A18" s="983" t="s">
        <v>839</v>
      </c>
      <c r="B18" s="984"/>
      <c r="C18" s="984"/>
      <c r="D18" s="984"/>
      <c r="E18" s="984"/>
      <c r="F18" s="984"/>
      <c r="G18" s="984"/>
      <c r="H18" s="984"/>
      <c r="I18" s="984"/>
      <c r="J18" s="985"/>
      <c r="K18" s="953" t="s">
        <v>2184</v>
      </c>
      <c r="L18" s="955"/>
      <c r="M18" s="955"/>
      <c r="N18" s="955"/>
      <c r="O18" s="955"/>
      <c r="P18" s="955"/>
      <c r="Q18" s="954"/>
      <c r="R18" s="953" t="s">
        <v>2184</v>
      </c>
      <c r="S18" s="955"/>
      <c r="T18" s="955"/>
      <c r="U18" s="955"/>
      <c r="V18" s="955"/>
      <c r="W18" s="955"/>
      <c r="X18" s="955"/>
      <c r="Y18" s="954"/>
      <c r="Z18" s="953" t="s">
        <v>2185</v>
      </c>
      <c r="AA18" s="955"/>
      <c r="AB18" s="955"/>
      <c r="AC18" s="955"/>
      <c r="AD18" s="955"/>
      <c r="AE18" s="955"/>
      <c r="AF18" s="954"/>
      <c r="AG18" s="953" t="s">
        <v>2186</v>
      </c>
      <c r="AH18" s="955"/>
      <c r="AI18" s="955"/>
      <c r="AJ18" s="955"/>
      <c r="AK18" s="954"/>
    </row>
    <row r="19" spans="1:37" ht="11.85" customHeight="1" x14ac:dyDescent="0.25">
      <c r="A19" s="983" t="s">
        <v>2187</v>
      </c>
      <c r="B19" s="984"/>
      <c r="C19" s="984"/>
      <c r="D19" s="984"/>
      <c r="E19" s="984"/>
      <c r="F19" s="984"/>
      <c r="G19" s="984"/>
      <c r="H19" s="984"/>
      <c r="I19" s="984"/>
      <c r="J19" s="985"/>
      <c r="K19" s="953" t="s">
        <v>2188</v>
      </c>
      <c r="L19" s="955"/>
      <c r="M19" s="955"/>
      <c r="N19" s="955"/>
      <c r="O19" s="955"/>
      <c r="P19" s="955"/>
      <c r="Q19" s="954"/>
      <c r="R19" s="953" t="s">
        <v>2188</v>
      </c>
      <c r="S19" s="955"/>
      <c r="T19" s="955"/>
      <c r="U19" s="955"/>
      <c r="V19" s="955"/>
      <c r="W19" s="955"/>
      <c r="X19" s="955"/>
      <c r="Y19" s="954"/>
      <c r="Z19" s="953" t="s">
        <v>2189</v>
      </c>
      <c r="AA19" s="955"/>
      <c r="AB19" s="955"/>
      <c r="AC19" s="955"/>
      <c r="AD19" s="955"/>
      <c r="AE19" s="955"/>
      <c r="AF19" s="954"/>
      <c r="AG19" s="953" t="s">
        <v>2190</v>
      </c>
      <c r="AH19" s="955"/>
      <c r="AI19" s="955"/>
      <c r="AJ19" s="955"/>
      <c r="AK19" s="954"/>
    </row>
    <row r="20" spans="1:37" ht="11.85" customHeight="1" x14ac:dyDescent="0.25">
      <c r="A20" s="1022" t="s">
        <v>2191</v>
      </c>
      <c r="B20" s="1023"/>
      <c r="C20" s="1023"/>
      <c r="D20" s="1023"/>
      <c r="E20" s="1023"/>
      <c r="F20" s="1023"/>
      <c r="G20" s="1023"/>
      <c r="H20" s="1023"/>
      <c r="I20" s="1023"/>
      <c r="J20" s="1024"/>
      <c r="K20" s="953" t="s">
        <v>842</v>
      </c>
      <c r="L20" s="955"/>
      <c r="M20" s="955"/>
      <c r="N20" s="955"/>
      <c r="O20" s="955"/>
      <c r="P20" s="955"/>
      <c r="Q20" s="954"/>
      <c r="R20" s="953" t="s">
        <v>842</v>
      </c>
      <c r="S20" s="955"/>
      <c r="T20" s="955"/>
      <c r="U20" s="955"/>
      <c r="V20" s="955"/>
      <c r="W20" s="955"/>
      <c r="X20" s="955"/>
      <c r="Y20" s="954"/>
      <c r="Z20" s="953" t="s">
        <v>1990</v>
      </c>
      <c r="AA20" s="955"/>
      <c r="AB20" s="955"/>
      <c r="AC20" s="955"/>
      <c r="AD20" s="955"/>
      <c r="AE20" s="955"/>
      <c r="AF20" s="954"/>
      <c r="AG20" s="953" t="s">
        <v>2192</v>
      </c>
      <c r="AH20" s="955"/>
      <c r="AI20" s="955"/>
      <c r="AJ20" s="955"/>
      <c r="AK20" s="954"/>
    </row>
    <row r="21" spans="1:37" ht="11.85" customHeight="1" x14ac:dyDescent="0.25">
      <c r="A21" s="1022" t="s">
        <v>2193</v>
      </c>
      <c r="B21" s="1023"/>
      <c r="C21" s="1023"/>
      <c r="D21" s="1023"/>
      <c r="E21" s="1023"/>
      <c r="F21" s="1023"/>
      <c r="G21" s="1023"/>
      <c r="H21" s="1023"/>
      <c r="I21" s="1023"/>
      <c r="J21" s="1024"/>
      <c r="K21" s="953" t="s">
        <v>2194</v>
      </c>
      <c r="L21" s="955"/>
      <c r="M21" s="955"/>
      <c r="N21" s="955"/>
      <c r="O21" s="955"/>
      <c r="P21" s="955"/>
      <c r="Q21" s="954"/>
      <c r="R21" s="953" t="s">
        <v>2194</v>
      </c>
      <c r="S21" s="955"/>
      <c r="T21" s="955"/>
      <c r="U21" s="955"/>
      <c r="V21" s="955"/>
      <c r="W21" s="955"/>
      <c r="X21" s="955"/>
      <c r="Y21" s="954"/>
      <c r="Z21" s="953" t="s">
        <v>2195</v>
      </c>
      <c r="AA21" s="955"/>
      <c r="AB21" s="955"/>
      <c r="AC21" s="955"/>
      <c r="AD21" s="955"/>
      <c r="AE21" s="955"/>
      <c r="AF21" s="954"/>
      <c r="AG21" s="953" t="s">
        <v>2196</v>
      </c>
      <c r="AH21" s="955"/>
      <c r="AI21" s="955"/>
      <c r="AJ21" s="955"/>
      <c r="AK21" s="954"/>
    </row>
    <row r="22" spans="1:37" ht="11.1" customHeight="1" x14ac:dyDescent="0.25">
      <c r="A22" s="983" t="s">
        <v>2197</v>
      </c>
      <c r="B22" s="984"/>
      <c r="C22" s="984"/>
      <c r="D22" s="984"/>
      <c r="E22" s="984"/>
      <c r="F22" s="984"/>
      <c r="G22" s="984"/>
      <c r="H22" s="984"/>
      <c r="I22" s="984"/>
      <c r="J22" s="985"/>
      <c r="K22" s="953" t="s">
        <v>2198</v>
      </c>
      <c r="L22" s="955"/>
      <c r="M22" s="955"/>
      <c r="N22" s="955"/>
      <c r="O22" s="955"/>
      <c r="P22" s="955"/>
      <c r="Q22" s="954"/>
      <c r="R22" s="953" t="s">
        <v>2198</v>
      </c>
      <c r="S22" s="955"/>
      <c r="T22" s="955"/>
      <c r="U22" s="955"/>
      <c r="V22" s="955"/>
      <c r="W22" s="955"/>
      <c r="X22" s="955"/>
      <c r="Y22" s="954"/>
      <c r="Z22" s="953" t="s">
        <v>2199</v>
      </c>
      <c r="AA22" s="955"/>
      <c r="AB22" s="955"/>
      <c r="AC22" s="955"/>
      <c r="AD22" s="955"/>
      <c r="AE22" s="955"/>
      <c r="AF22" s="954"/>
      <c r="AG22" s="953" t="s">
        <v>2200</v>
      </c>
      <c r="AH22" s="955"/>
      <c r="AI22" s="955"/>
      <c r="AJ22" s="955"/>
      <c r="AK22" s="954"/>
    </row>
    <row r="23" spans="1:37" ht="11.85" customHeight="1" x14ac:dyDescent="0.25">
      <c r="A23" s="983" t="s">
        <v>2201</v>
      </c>
      <c r="B23" s="984"/>
      <c r="C23" s="984"/>
      <c r="D23" s="984"/>
      <c r="E23" s="984"/>
      <c r="F23" s="984"/>
      <c r="G23" s="984"/>
      <c r="H23" s="984"/>
      <c r="I23" s="984"/>
      <c r="J23" s="985"/>
      <c r="K23" s="953" t="s">
        <v>862</v>
      </c>
      <c r="L23" s="955"/>
      <c r="M23" s="955"/>
      <c r="N23" s="955"/>
      <c r="O23" s="955"/>
      <c r="P23" s="955"/>
      <c r="Q23" s="954"/>
      <c r="R23" s="953" t="s">
        <v>862</v>
      </c>
      <c r="S23" s="955"/>
      <c r="T23" s="955"/>
      <c r="U23" s="955"/>
      <c r="V23" s="955"/>
      <c r="W23" s="955"/>
      <c r="X23" s="955"/>
      <c r="Y23" s="954"/>
      <c r="Z23" s="953" t="s">
        <v>2202</v>
      </c>
      <c r="AA23" s="955"/>
      <c r="AB23" s="955"/>
      <c r="AC23" s="955"/>
      <c r="AD23" s="955"/>
      <c r="AE23" s="955"/>
      <c r="AF23" s="954"/>
      <c r="AG23" s="953" t="s">
        <v>2203</v>
      </c>
      <c r="AH23" s="955"/>
      <c r="AI23" s="955"/>
      <c r="AJ23" s="955"/>
      <c r="AK23" s="954"/>
    </row>
    <row r="24" spans="1:37" ht="11.85" customHeight="1" x14ac:dyDescent="0.25">
      <c r="A24" s="983" t="s">
        <v>2204</v>
      </c>
      <c r="B24" s="984"/>
      <c r="C24" s="984"/>
      <c r="D24" s="984"/>
      <c r="E24" s="984"/>
      <c r="F24" s="984"/>
      <c r="G24" s="984"/>
      <c r="H24" s="984"/>
      <c r="I24" s="984"/>
      <c r="J24" s="985"/>
      <c r="K24" s="953" t="s">
        <v>860</v>
      </c>
      <c r="L24" s="955"/>
      <c r="M24" s="955"/>
      <c r="N24" s="955"/>
      <c r="O24" s="955"/>
      <c r="P24" s="955"/>
      <c r="Q24" s="954"/>
      <c r="R24" s="953" t="s">
        <v>860</v>
      </c>
      <c r="S24" s="955"/>
      <c r="T24" s="955"/>
      <c r="U24" s="955"/>
      <c r="V24" s="955"/>
      <c r="W24" s="955"/>
      <c r="X24" s="955"/>
      <c r="Y24" s="954"/>
      <c r="Z24" s="953" t="s">
        <v>2205</v>
      </c>
      <c r="AA24" s="955"/>
      <c r="AB24" s="955"/>
      <c r="AC24" s="955"/>
      <c r="AD24" s="955"/>
      <c r="AE24" s="955"/>
      <c r="AF24" s="954"/>
      <c r="AG24" s="953" t="s">
        <v>2206</v>
      </c>
      <c r="AH24" s="955"/>
      <c r="AI24" s="955"/>
      <c r="AJ24" s="955"/>
      <c r="AK24" s="954"/>
    </row>
    <row r="25" spans="1:37" ht="11.85" customHeight="1" x14ac:dyDescent="0.25">
      <c r="A25" s="983" t="s">
        <v>2207</v>
      </c>
      <c r="B25" s="984"/>
      <c r="C25" s="984"/>
      <c r="D25" s="984"/>
      <c r="E25" s="984"/>
      <c r="F25" s="984"/>
      <c r="G25" s="984"/>
      <c r="H25" s="984"/>
      <c r="I25" s="984"/>
      <c r="J25" s="985"/>
      <c r="K25" s="953" t="s">
        <v>858</v>
      </c>
      <c r="L25" s="955"/>
      <c r="M25" s="955"/>
      <c r="N25" s="955"/>
      <c r="O25" s="955"/>
      <c r="P25" s="955"/>
      <c r="Q25" s="954"/>
      <c r="R25" s="953" t="s">
        <v>858</v>
      </c>
      <c r="S25" s="955"/>
      <c r="T25" s="955"/>
      <c r="U25" s="955"/>
      <c r="V25" s="955"/>
      <c r="W25" s="955"/>
      <c r="X25" s="955"/>
      <c r="Y25" s="954"/>
      <c r="Z25" s="953" t="s">
        <v>2208</v>
      </c>
      <c r="AA25" s="955"/>
      <c r="AB25" s="955"/>
      <c r="AC25" s="955"/>
      <c r="AD25" s="955"/>
      <c r="AE25" s="955"/>
      <c r="AF25" s="954"/>
      <c r="AG25" s="953" t="s">
        <v>2209</v>
      </c>
      <c r="AH25" s="955"/>
      <c r="AI25" s="955"/>
      <c r="AJ25" s="955"/>
      <c r="AK25" s="954"/>
    </row>
    <row r="26" spans="1:37" ht="11.1" customHeight="1" x14ac:dyDescent="0.25">
      <c r="A26" s="983" t="s">
        <v>2210</v>
      </c>
      <c r="B26" s="984"/>
      <c r="C26" s="984"/>
      <c r="D26" s="984"/>
      <c r="E26" s="984"/>
      <c r="F26" s="984"/>
      <c r="G26" s="984"/>
      <c r="H26" s="984"/>
      <c r="I26" s="984"/>
      <c r="J26" s="985"/>
      <c r="K26" s="953" t="s">
        <v>866</v>
      </c>
      <c r="L26" s="955"/>
      <c r="M26" s="955"/>
      <c r="N26" s="955"/>
      <c r="O26" s="955"/>
      <c r="P26" s="955"/>
      <c r="Q26" s="954"/>
      <c r="R26" s="953" t="s">
        <v>866</v>
      </c>
      <c r="S26" s="955"/>
      <c r="T26" s="955"/>
      <c r="U26" s="955"/>
      <c r="V26" s="955"/>
      <c r="W26" s="955"/>
      <c r="X26" s="955"/>
      <c r="Y26" s="954"/>
      <c r="Z26" s="953" t="s">
        <v>2211</v>
      </c>
      <c r="AA26" s="955"/>
      <c r="AB26" s="955"/>
      <c r="AC26" s="955"/>
      <c r="AD26" s="955"/>
      <c r="AE26" s="955"/>
      <c r="AF26" s="954"/>
      <c r="AG26" s="953" t="s">
        <v>2212</v>
      </c>
      <c r="AH26" s="955"/>
      <c r="AI26" s="955"/>
      <c r="AJ26" s="955"/>
      <c r="AK26" s="954"/>
    </row>
    <row r="27" spans="1:37" ht="11.85" customHeight="1" x14ac:dyDescent="0.25">
      <c r="A27" s="983" t="s">
        <v>2213</v>
      </c>
      <c r="B27" s="984"/>
      <c r="C27" s="984"/>
      <c r="D27" s="984"/>
      <c r="E27" s="984"/>
      <c r="F27" s="984"/>
      <c r="G27" s="984"/>
      <c r="H27" s="984"/>
      <c r="I27" s="984"/>
      <c r="J27" s="985"/>
      <c r="K27" s="953" t="s">
        <v>864</v>
      </c>
      <c r="L27" s="955"/>
      <c r="M27" s="955"/>
      <c r="N27" s="955"/>
      <c r="O27" s="955"/>
      <c r="P27" s="955"/>
      <c r="Q27" s="954"/>
      <c r="R27" s="953" t="s">
        <v>864</v>
      </c>
      <c r="S27" s="955"/>
      <c r="T27" s="955"/>
      <c r="U27" s="955"/>
      <c r="V27" s="955"/>
      <c r="W27" s="955"/>
      <c r="X27" s="955"/>
      <c r="Y27" s="954"/>
      <c r="Z27" s="953" t="s">
        <v>825</v>
      </c>
      <c r="AA27" s="955"/>
      <c r="AB27" s="955"/>
      <c r="AC27" s="955"/>
      <c r="AD27" s="955"/>
      <c r="AE27" s="955"/>
      <c r="AF27" s="954"/>
      <c r="AG27" s="953" t="s">
        <v>825</v>
      </c>
      <c r="AH27" s="955"/>
      <c r="AI27" s="955"/>
      <c r="AJ27" s="955"/>
      <c r="AK27" s="954"/>
    </row>
    <row r="28" spans="1:37" ht="11.85" customHeight="1" x14ac:dyDescent="0.25">
      <c r="A28" s="983" t="s">
        <v>2214</v>
      </c>
      <c r="B28" s="984"/>
      <c r="C28" s="984"/>
      <c r="D28" s="984"/>
      <c r="E28" s="984"/>
      <c r="F28" s="984"/>
      <c r="G28" s="984"/>
      <c r="H28" s="984"/>
      <c r="I28" s="984"/>
      <c r="J28" s="985"/>
      <c r="K28" s="953" t="s">
        <v>864</v>
      </c>
      <c r="L28" s="955"/>
      <c r="M28" s="955"/>
      <c r="N28" s="955"/>
      <c r="O28" s="955"/>
      <c r="P28" s="955"/>
      <c r="Q28" s="954"/>
      <c r="R28" s="953" t="s">
        <v>864</v>
      </c>
      <c r="S28" s="955"/>
      <c r="T28" s="955"/>
      <c r="U28" s="955"/>
      <c r="V28" s="955"/>
      <c r="W28" s="955"/>
      <c r="X28" s="955"/>
      <c r="Y28" s="954"/>
      <c r="Z28" s="953" t="s">
        <v>825</v>
      </c>
      <c r="AA28" s="955"/>
      <c r="AB28" s="955"/>
      <c r="AC28" s="955"/>
      <c r="AD28" s="955"/>
      <c r="AE28" s="955"/>
      <c r="AF28" s="954"/>
      <c r="AG28" s="953" t="s">
        <v>825</v>
      </c>
      <c r="AH28" s="955"/>
      <c r="AI28" s="955"/>
      <c r="AJ28" s="955"/>
      <c r="AK28" s="954"/>
    </row>
    <row r="29" spans="1:37" ht="11.85" customHeight="1" x14ac:dyDescent="0.25">
      <c r="A29" s="986" t="s">
        <v>2215</v>
      </c>
      <c r="B29" s="987"/>
      <c r="C29" s="987"/>
      <c r="D29" s="987"/>
      <c r="E29" s="987"/>
      <c r="F29" s="987"/>
      <c r="G29" s="987"/>
      <c r="H29" s="987"/>
      <c r="I29" s="987"/>
      <c r="J29" s="988"/>
      <c r="K29" s="944" t="s">
        <v>825</v>
      </c>
      <c r="L29" s="946"/>
      <c r="M29" s="946"/>
      <c r="N29" s="946"/>
      <c r="O29" s="946"/>
      <c r="P29" s="946"/>
      <c r="Q29" s="945"/>
      <c r="R29" s="944" t="s">
        <v>825</v>
      </c>
      <c r="S29" s="946"/>
      <c r="T29" s="946"/>
      <c r="U29" s="946"/>
      <c r="V29" s="946"/>
      <c r="W29" s="946"/>
      <c r="X29" s="946"/>
      <c r="Y29" s="945"/>
      <c r="Z29" s="944" t="s">
        <v>825</v>
      </c>
      <c r="AA29" s="946"/>
      <c r="AB29" s="946"/>
      <c r="AC29" s="946"/>
      <c r="AD29" s="946"/>
      <c r="AE29" s="946"/>
      <c r="AF29" s="945"/>
      <c r="AG29" s="944" t="s">
        <v>825</v>
      </c>
      <c r="AH29" s="946"/>
      <c r="AI29" s="946"/>
      <c r="AJ29" s="946"/>
      <c r="AK29" s="945"/>
    </row>
    <row r="30" spans="1:37" ht="11.1" customHeight="1" x14ac:dyDescent="0.25">
      <c r="A30" s="1016" t="s">
        <v>2216</v>
      </c>
      <c r="B30" s="1017"/>
      <c r="C30" s="1017"/>
      <c r="D30" s="1017"/>
      <c r="E30" s="1017"/>
      <c r="F30" s="1017"/>
      <c r="G30" s="1017"/>
      <c r="H30" s="1017"/>
      <c r="I30" s="1017"/>
      <c r="J30" s="1018"/>
      <c r="K30" s="1019" t="s">
        <v>2217</v>
      </c>
      <c r="L30" s="1020"/>
      <c r="M30" s="1020"/>
      <c r="N30" s="1020"/>
      <c r="O30" s="1020"/>
      <c r="P30" s="1020"/>
      <c r="Q30" s="1021"/>
      <c r="R30" s="1019" t="s">
        <v>2217</v>
      </c>
      <c r="S30" s="1020"/>
      <c r="T30" s="1020"/>
      <c r="U30" s="1020"/>
      <c r="V30" s="1020"/>
      <c r="W30" s="1020"/>
      <c r="X30" s="1020"/>
      <c r="Y30" s="1021"/>
      <c r="Z30" s="1019" t="s">
        <v>2218</v>
      </c>
      <c r="AA30" s="1020"/>
      <c r="AB30" s="1020"/>
      <c r="AC30" s="1020"/>
      <c r="AD30" s="1020"/>
      <c r="AE30" s="1020"/>
      <c r="AF30" s="1021"/>
      <c r="AG30" s="1019" t="s">
        <v>2219</v>
      </c>
      <c r="AH30" s="1020"/>
      <c r="AI30" s="1020"/>
      <c r="AJ30" s="1020"/>
      <c r="AK30" s="1021"/>
    </row>
    <row r="31" spans="1:37" ht="11.85" customHeight="1" x14ac:dyDescent="0.25">
      <c r="A31" s="819"/>
      <c r="B31" s="819"/>
      <c r="C31" s="819"/>
      <c r="D31" s="819"/>
      <c r="E31" s="819"/>
      <c r="F31" s="819"/>
      <c r="G31" s="819"/>
      <c r="H31" s="819"/>
      <c r="I31" s="819"/>
      <c r="J31" s="819"/>
      <c r="K31" s="819"/>
      <c r="L31" s="819"/>
      <c r="M31" s="819"/>
      <c r="N31" s="819"/>
      <c r="O31" s="819"/>
      <c r="P31" s="819"/>
      <c r="Q31" s="819"/>
      <c r="R31" s="819"/>
      <c r="S31" s="819"/>
      <c r="T31" s="819"/>
      <c r="U31" s="819"/>
      <c r="V31" s="819"/>
      <c r="W31" s="819"/>
      <c r="X31" s="819"/>
      <c r="Y31" s="819"/>
      <c r="Z31" s="819"/>
      <c r="AA31" s="819"/>
      <c r="AB31" s="819"/>
      <c r="AC31" s="819"/>
      <c r="AD31" s="819"/>
      <c r="AE31" s="819"/>
      <c r="AF31" s="819"/>
      <c r="AG31" s="819"/>
      <c r="AH31" s="819"/>
      <c r="AI31" s="819"/>
      <c r="AJ31" s="819"/>
      <c r="AK31" s="819"/>
    </row>
    <row r="32" spans="1:37" ht="11.85" customHeight="1" x14ac:dyDescent="0.25">
      <c r="A32" s="974" t="s">
        <v>2220</v>
      </c>
      <c r="B32" s="975"/>
      <c r="C32" s="975"/>
      <c r="D32" s="975"/>
      <c r="E32" s="976"/>
      <c r="F32" s="965" t="s">
        <v>2221</v>
      </c>
      <c r="G32" s="967"/>
      <c r="H32" s="965" t="s">
        <v>1888</v>
      </c>
      <c r="I32" s="966"/>
      <c r="J32" s="966"/>
      <c r="K32" s="967"/>
      <c r="L32" s="804" t="s">
        <v>1696</v>
      </c>
      <c r="M32" s="825"/>
      <c r="N32" s="825"/>
      <c r="O32" s="825"/>
      <c r="P32" s="825"/>
      <c r="Q32" s="825"/>
      <c r="R32" s="805"/>
      <c r="S32" s="804" t="s">
        <v>1698</v>
      </c>
      <c r="T32" s="825"/>
      <c r="U32" s="825"/>
      <c r="V32" s="825"/>
      <c r="W32" s="825"/>
      <c r="X32" s="825"/>
      <c r="Y32" s="825"/>
      <c r="Z32" s="805"/>
      <c r="AA32" s="804" t="s">
        <v>2222</v>
      </c>
      <c r="AB32" s="825"/>
      <c r="AC32" s="825"/>
      <c r="AD32" s="825"/>
      <c r="AE32" s="825"/>
      <c r="AF32" s="825"/>
      <c r="AG32" s="825"/>
      <c r="AH32" s="805"/>
      <c r="AI32" s="965" t="s">
        <v>2223</v>
      </c>
      <c r="AJ32" s="966"/>
      <c r="AK32" s="967"/>
    </row>
    <row r="33" spans="1:37" ht="17.850000000000001" customHeight="1" x14ac:dyDescent="0.25">
      <c r="A33" s="977"/>
      <c r="B33" s="978"/>
      <c r="C33" s="978"/>
      <c r="D33" s="978"/>
      <c r="E33" s="979"/>
      <c r="F33" s="968"/>
      <c r="G33" s="970"/>
      <c r="H33" s="968"/>
      <c r="I33" s="969"/>
      <c r="J33" s="969"/>
      <c r="K33" s="970"/>
      <c r="L33" s="965" t="s">
        <v>2224</v>
      </c>
      <c r="M33" s="971"/>
      <c r="N33" s="971"/>
      <c r="O33" s="971"/>
      <c r="P33" s="972"/>
      <c r="Q33" s="965" t="s">
        <v>2225</v>
      </c>
      <c r="R33" s="972"/>
      <c r="S33" s="965" t="s">
        <v>2226</v>
      </c>
      <c r="T33" s="971"/>
      <c r="U33" s="972"/>
      <c r="V33" s="965" t="s">
        <v>2227</v>
      </c>
      <c r="W33" s="971"/>
      <c r="X33" s="971"/>
      <c r="Y33" s="971"/>
      <c r="Z33" s="972"/>
      <c r="AA33" s="965" t="s">
        <v>2228</v>
      </c>
      <c r="AB33" s="971"/>
      <c r="AC33" s="971"/>
      <c r="AD33" s="972"/>
      <c r="AE33" s="965" t="s">
        <v>2229</v>
      </c>
      <c r="AF33" s="971"/>
      <c r="AG33" s="971"/>
      <c r="AH33" s="972"/>
      <c r="AI33" s="968"/>
      <c r="AJ33" s="969"/>
      <c r="AK33" s="970"/>
    </row>
    <row r="34" spans="1:37" ht="11.1" customHeight="1" x14ac:dyDescent="0.25">
      <c r="A34" s="989" t="s">
        <v>2230</v>
      </c>
      <c r="B34" s="990"/>
      <c r="C34" s="990"/>
      <c r="D34" s="990"/>
      <c r="E34" s="991"/>
      <c r="F34" s="962" t="s">
        <v>2231</v>
      </c>
      <c r="G34" s="963"/>
      <c r="H34" s="962" t="s">
        <v>2232</v>
      </c>
      <c r="I34" s="964"/>
      <c r="J34" s="964"/>
      <c r="K34" s="963"/>
      <c r="L34" s="962" t="s">
        <v>2233</v>
      </c>
      <c r="M34" s="964"/>
      <c r="N34" s="964"/>
      <c r="O34" s="964"/>
      <c r="P34" s="963"/>
      <c r="Q34" s="962" t="s">
        <v>2234</v>
      </c>
      <c r="R34" s="963"/>
      <c r="S34" s="962" t="s">
        <v>2233</v>
      </c>
      <c r="T34" s="964"/>
      <c r="U34" s="963"/>
      <c r="V34" s="962" t="s">
        <v>2234</v>
      </c>
      <c r="W34" s="964"/>
      <c r="X34" s="964"/>
      <c r="Y34" s="964"/>
      <c r="Z34" s="963"/>
      <c r="AA34" s="962" t="s">
        <v>2235</v>
      </c>
      <c r="AB34" s="964"/>
      <c r="AC34" s="964"/>
      <c r="AD34" s="963"/>
      <c r="AE34" s="962" t="s">
        <v>2236</v>
      </c>
      <c r="AF34" s="964"/>
      <c r="AG34" s="964"/>
      <c r="AH34" s="963"/>
      <c r="AI34" s="962" t="s">
        <v>825</v>
      </c>
      <c r="AJ34" s="964"/>
      <c r="AK34" s="963"/>
    </row>
    <row r="35" spans="1:37" ht="11.85" customHeight="1" x14ac:dyDescent="0.25">
      <c r="A35" s="983" t="s">
        <v>2237</v>
      </c>
      <c r="B35" s="984"/>
      <c r="C35" s="984"/>
      <c r="D35" s="984"/>
      <c r="E35" s="985"/>
      <c r="F35" s="953" t="s">
        <v>2231</v>
      </c>
      <c r="G35" s="954"/>
      <c r="H35" s="953" t="s">
        <v>2232</v>
      </c>
      <c r="I35" s="955"/>
      <c r="J35" s="955"/>
      <c r="K35" s="954"/>
      <c r="L35" s="953" t="s">
        <v>2233</v>
      </c>
      <c r="M35" s="955"/>
      <c r="N35" s="955"/>
      <c r="O35" s="955"/>
      <c r="P35" s="954"/>
      <c r="Q35" s="953" t="s">
        <v>2234</v>
      </c>
      <c r="R35" s="954"/>
      <c r="S35" s="953" t="s">
        <v>2233</v>
      </c>
      <c r="T35" s="955"/>
      <c r="U35" s="954"/>
      <c r="V35" s="953" t="s">
        <v>2234</v>
      </c>
      <c r="W35" s="955"/>
      <c r="X35" s="955"/>
      <c r="Y35" s="955"/>
      <c r="Z35" s="954"/>
      <c r="AA35" s="953" t="s">
        <v>2235</v>
      </c>
      <c r="AB35" s="955"/>
      <c r="AC35" s="955"/>
      <c r="AD35" s="954"/>
      <c r="AE35" s="953" t="s">
        <v>2236</v>
      </c>
      <c r="AF35" s="955"/>
      <c r="AG35" s="955"/>
      <c r="AH35" s="954"/>
      <c r="AI35" s="953" t="s">
        <v>825</v>
      </c>
      <c r="AJ35" s="955"/>
      <c r="AK35" s="954"/>
    </row>
    <row r="36" spans="1:37" ht="11.85" customHeight="1" x14ac:dyDescent="0.25">
      <c r="A36" s="983" t="s">
        <v>2238</v>
      </c>
      <c r="B36" s="984"/>
      <c r="C36" s="984"/>
      <c r="D36" s="984"/>
      <c r="E36" s="985"/>
      <c r="F36" s="953" t="s">
        <v>825</v>
      </c>
      <c r="G36" s="954"/>
      <c r="H36" s="953" t="s">
        <v>825</v>
      </c>
      <c r="I36" s="955"/>
      <c r="J36" s="955"/>
      <c r="K36" s="954"/>
      <c r="L36" s="953" t="s">
        <v>825</v>
      </c>
      <c r="M36" s="955"/>
      <c r="N36" s="955"/>
      <c r="O36" s="955"/>
      <c r="P36" s="954"/>
      <c r="Q36" s="953" t="s">
        <v>825</v>
      </c>
      <c r="R36" s="954"/>
      <c r="S36" s="953" t="s">
        <v>825</v>
      </c>
      <c r="T36" s="955"/>
      <c r="U36" s="954"/>
      <c r="V36" s="953" t="s">
        <v>825</v>
      </c>
      <c r="W36" s="955"/>
      <c r="X36" s="955"/>
      <c r="Y36" s="955"/>
      <c r="Z36" s="954"/>
      <c r="AA36" s="953" t="s">
        <v>825</v>
      </c>
      <c r="AB36" s="955"/>
      <c r="AC36" s="955"/>
      <c r="AD36" s="954"/>
      <c r="AE36" s="953" t="s">
        <v>825</v>
      </c>
      <c r="AF36" s="955"/>
      <c r="AG36" s="955"/>
      <c r="AH36" s="954"/>
      <c r="AI36" s="953" t="s">
        <v>825</v>
      </c>
      <c r="AJ36" s="955"/>
      <c r="AK36" s="954"/>
    </row>
    <row r="37" spans="1:37" ht="11.85" customHeight="1" x14ac:dyDescent="0.25">
      <c r="A37" s="983" t="s">
        <v>2239</v>
      </c>
      <c r="B37" s="984"/>
      <c r="C37" s="984"/>
      <c r="D37" s="984"/>
      <c r="E37" s="985"/>
      <c r="F37" s="953" t="s">
        <v>2240</v>
      </c>
      <c r="G37" s="954"/>
      <c r="H37" s="953" t="s">
        <v>2241</v>
      </c>
      <c r="I37" s="955"/>
      <c r="J37" s="955"/>
      <c r="K37" s="954"/>
      <c r="L37" s="953" t="s">
        <v>2242</v>
      </c>
      <c r="M37" s="955"/>
      <c r="N37" s="955"/>
      <c r="O37" s="955"/>
      <c r="P37" s="954"/>
      <c r="Q37" s="953" t="s">
        <v>2243</v>
      </c>
      <c r="R37" s="954"/>
      <c r="S37" s="953" t="s">
        <v>2244</v>
      </c>
      <c r="T37" s="955"/>
      <c r="U37" s="954"/>
      <c r="V37" s="953" t="s">
        <v>2245</v>
      </c>
      <c r="W37" s="955"/>
      <c r="X37" s="955"/>
      <c r="Y37" s="955"/>
      <c r="Z37" s="954"/>
      <c r="AA37" s="953" t="s">
        <v>2246</v>
      </c>
      <c r="AB37" s="955"/>
      <c r="AC37" s="955"/>
      <c r="AD37" s="954"/>
      <c r="AE37" s="953" t="s">
        <v>2247</v>
      </c>
      <c r="AF37" s="955"/>
      <c r="AG37" s="955"/>
      <c r="AH37" s="954"/>
      <c r="AI37" s="953" t="s">
        <v>2248</v>
      </c>
      <c r="AJ37" s="955"/>
      <c r="AK37" s="954"/>
    </row>
    <row r="38" spans="1:37" ht="11.1" customHeight="1" x14ac:dyDescent="0.25">
      <c r="A38" s="983" t="s">
        <v>2237</v>
      </c>
      <c r="B38" s="984"/>
      <c r="C38" s="984"/>
      <c r="D38" s="984"/>
      <c r="E38" s="985"/>
      <c r="F38" s="953" t="s">
        <v>2249</v>
      </c>
      <c r="G38" s="954"/>
      <c r="H38" s="953" t="s">
        <v>2250</v>
      </c>
      <c r="I38" s="955"/>
      <c r="J38" s="955"/>
      <c r="K38" s="954"/>
      <c r="L38" s="953" t="s">
        <v>2251</v>
      </c>
      <c r="M38" s="955"/>
      <c r="N38" s="955"/>
      <c r="O38" s="955"/>
      <c r="P38" s="954"/>
      <c r="Q38" s="953" t="s">
        <v>2252</v>
      </c>
      <c r="R38" s="954"/>
      <c r="S38" s="953" t="s">
        <v>2251</v>
      </c>
      <c r="T38" s="955"/>
      <c r="U38" s="954"/>
      <c r="V38" s="953" t="s">
        <v>2252</v>
      </c>
      <c r="W38" s="955"/>
      <c r="X38" s="955"/>
      <c r="Y38" s="955"/>
      <c r="Z38" s="954"/>
      <c r="AA38" s="953" t="s">
        <v>2253</v>
      </c>
      <c r="AB38" s="955"/>
      <c r="AC38" s="955"/>
      <c r="AD38" s="954"/>
      <c r="AE38" s="953" t="s">
        <v>2254</v>
      </c>
      <c r="AF38" s="955"/>
      <c r="AG38" s="955"/>
      <c r="AH38" s="954"/>
      <c r="AI38" s="953" t="s">
        <v>825</v>
      </c>
      <c r="AJ38" s="955"/>
      <c r="AK38" s="954"/>
    </row>
    <row r="39" spans="1:37" ht="11.85" customHeight="1" x14ac:dyDescent="0.25">
      <c r="A39" s="983" t="s">
        <v>2238</v>
      </c>
      <c r="B39" s="984"/>
      <c r="C39" s="984"/>
      <c r="D39" s="984"/>
      <c r="E39" s="985"/>
      <c r="F39" s="953" t="s">
        <v>1588</v>
      </c>
      <c r="G39" s="954"/>
      <c r="H39" s="953" t="s">
        <v>2255</v>
      </c>
      <c r="I39" s="955"/>
      <c r="J39" s="955"/>
      <c r="K39" s="954"/>
      <c r="L39" s="953" t="s">
        <v>2256</v>
      </c>
      <c r="M39" s="955"/>
      <c r="N39" s="955"/>
      <c r="O39" s="955"/>
      <c r="P39" s="954"/>
      <c r="Q39" s="953" t="s">
        <v>2257</v>
      </c>
      <c r="R39" s="954"/>
      <c r="S39" s="953" t="s">
        <v>2258</v>
      </c>
      <c r="T39" s="955"/>
      <c r="U39" s="954"/>
      <c r="V39" s="953" t="s">
        <v>2259</v>
      </c>
      <c r="W39" s="955"/>
      <c r="X39" s="955"/>
      <c r="Y39" s="955"/>
      <c r="Z39" s="954"/>
      <c r="AA39" s="953" t="s">
        <v>2258</v>
      </c>
      <c r="AB39" s="955"/>
      <c r="AC39" s="955"/>
      <c r="AD39" s="954"/>
      <c r="AE39" s="953" t="s">
        <v>2259</v>
      </c>
      <c r="AF39" s="955"/>
      <c r="AG39" s="955"/>
      <c r="AH39" s="954"/>
      <c r="AI39" s="953" t="s">
        <v>2248</v>
      </c>
      <c r="AJ39" s="955"/>
      <c r="AK39" s="954"/>
    </row>
    <row r="40" spans="1:37" ht="11.85" customHeight="1" x14ac:dyDescent="0.25">
      <c r="A40" s="983" t="s">
        <v>2260</v>
      </c>
      <c r="B40" s="984"/>
      <c r="C40" s="984"/>
      <c r="D40" s="984"/>
      <c r="E40" s="985"/>
      <c r="F40" s="953" t="s">
        <v>2261</v>
      </c>
      <c r="G40" s="954"/>
      <c r="H40" s="953" t="s">
        <v>2262</v>
      </c>
      <c r="I40" s="955"/>
      <c r="J40" s="955"/>
      <c r="K40" s="954"/>
      <c r="L40" s="953" t="s">
        <v>2263</v>
      </c>
      <c r="M40" s="955"/>
      <c r="N40" s="955"/>
      <c r="O40" s="955"/>
      <c r="P40" s="954"/>
      <c r="Q40" s="953" t="s">
        <v>2264</v>
      </c>
      <c r="R40" s="954"/>
      <c r="S40" s="953" t="s">
        <v>2263</v>
      </c>
      <c r="T40" s="955"/>
      <c r="U40" s="954"/>
      <c r="V40" s="953" t="s">
        <v>2264</v>
      </c>
      <c r="W40" s="955"/>
      <c r="X40" s="955"/>
      <c r="Y40" s="955"/>
      <c r="Z40" s="954"/>
      <c r="AA40" s="953" t="s">
        <v>2265</v>
      </c>
      <c r="AB40" s="955"/>
      <c r="AC40" s="955"/>
      <c r="AD40" s="954"/>
      <c r="AE40" s="953" t="s">
        <v>2266</v>
      </c>
      <c r="AF40" s="955"/>
      <c r="AG40" s="955"/>
      <c r="AH40" s="954"/>
      <c r="AI40" s="953" t="s">
        <v>825</v>
      </c>
      <c r="AJ40" s="955"/>
      <c r="AK40" s="954"/>
    </row>
    <row r="41" spans="1:37" ht="11.85" customHeight="1" x14ac:dyDescent="0.25">
      <c r="A41" s="983" t="s">
        <v>2237</v>
      </c>
      <c r="B41" s="984"/>
      <c r="C41" s="984"/>
      <c r="D41" s="984"/>
      <c r="E41" s="985"/>
      <c r="F41" s="953" t="s">
        <v>2261</v>
      </c>
      <c r="G41" s="954"/>
      <c r="H41" s="953" t="s">
        <v>2262</v>
      </c>
      <c r="I41" s="955"/>
      <c r="J41" s="955"/>
      <c r="K41" s="954"/>
      <c r="L41" s="953" t="s">
        <v>2263</v>
      </c>
      <c r="M41" s="955"/>
      <c r="N41" s="955"/>
      <c r="O41" s="955"/>
      <c r="P41" s="954"/>
      <c r="Q41" s="953" t="s">
        <v>2264</v>
      </c>
      <c r="R41" s="954"/>
      <c r="S41" s="953" t="s">
        <v>2263</v>
      </c>
      <c r="T41" s="955"/>
      <c r="U41" s="954"/>
      <c r="V41" s="953" t="s">
        <v>2264</v>
      </c>
      <c r="W41" s="955"/>
      <c r="X41" s="955"/>
      <c r="Y41" s="955"/>
      <c r="Z41" s="954"/>
      <c r="AA41" s="953" t="s">
        <v>2265</v>
      </c>
      <c r="AB41" s="955"/>
      <c r="AC41" s="955"/>
      <c r="AD41" s="954"/>
      <c r="AE41" s="953" t="s">
        <v>2266</v>
      </c>
      <c r="AF41" s="955"/>
      <c r="AG41" s="955"/>
      <c r="AH41" s="954"/>
      <c r="AI41" s="953" t="s">
        <v>825</v>
      </c>
      <c r="AJ41" s="955"/>
      <c r="AK41" s="954"/>
    </row>
    <row r="42" spans="1:37" ht="11.1" customHeight="1" x14ac:dyDescent="0.25">
      <c r="A42" s="983" t="s">
        <v>2238</v>
      </c>
      <c r="B42" s="984"/>
      <c r="C42" s="984"/>
      <c r="D42" s="984"/>
      <c r="E42" s="985"/>
      <c r="F42" s="953" t="s">
        <v>825</v>
      </c>
      <c r="G42" s="954"/>
      <c r="H42" s="953" t="s">
        <v>825</v>
      </c>
      <c r="I42" s="955"/>
      <c r="J42" s="955"/>
      <c r="K42" s="954"/>
      <c r="L42" s="953" t="s">
        <v>825</v>
      </c>
      <c r="M42" s="955"/>
      <c r="N42" s="955"/>
      <c r="O42" s="955"/>
      <c r="P42" s="954"/>
      <c r="Q42" s="953" t="s">
        <v>825</v>
      </c>
      <c r="R42" s="954"/>
      <c r="S42" s="953" t="s">
        <v>825</v>
      </c>
      <c r="T42" s="955"/>
      <c r="U42" s="954"/>
      <c r="V42" s="953" t="s">
        <v>825</v>
      </c>
      <c r="W42" s="955"/>
      <c r="X42" s="955"/>
      <c r="Y42" s="955"/>
      <c r="Z42" s="954"/>
      <c r="AA42" s="953" t="s">
        <v>825</v>
      </c>
      <c r="AB42" s="955"/>
      <c r="AC42" s="955"/>
      <c r="AD42" s="954"/>
      <c r="AE42" s="953" t="s">
        <v>825</v>
      </c>
      <c r="AF42" s="955"/>
      <c r="AG42" s="955"/>
      <c r="AH42" s="954"/>
      <c r="AI42" s="953" t="s">
        <v>825</v>
      </c>
      <c r="AJ42" s="955"/>
      <c r="AK42" s="954"/>
    </row>
    <row r="43" spans="1:37" ht="11.85" customHeight="1" x14ac:dyDescent="0.25">
      <c r="A43" s="983" t="s">
        <v>2267</v>
      </c>
      <c r="B43" s="984"/>
      <c r="C43" s="984"/>
      <c r="D43" s="984"/>
      <c r="E43" s="985"/>
      <c r="F43" s="953" t="s">
        <v>2268</v>
      </c>
      <c r="G43" s="954"/>
      <c r="H43" s="953" t="s">
        <v>2269</v>
      </c>
      <c r="I43" s="955"/>
      <c r="J43" s="955"/>
      <c r="K43" s="954"/>
      <c r="L43" s="953" t="s">
        <v>1654</v>
      </c>
      <c r="M43" s="955"/>
      <c r="N43" s="955"/>
      <c r="O43" s="955"/>
      <c r="P43" s="954"/>
      <c r="Q43" s="953" t="s">
        <v>2270</v>
      </c>
      <c r="R43" s="954"/>
      <c r="S43" s="953" t="s">
        <v>1654</v>
      </c>
      <c r="T43" s="955"/>
      <c r="U43" s="954"/>
      <c r="V43" s="953" t="s">
        <v>2270</v>
      </c>
      <c r="W43" s="955"/>
      <c r="X43" s="955"/>
      <c r="Y43" s="955"/>
      <c r="Z43" s="954"/>
      <c r="AA43" s="953" t="s">
        <v>1654</v>
      </c>
      <c r="AB43" s="955"/>
      <c r="AC43" s="955"/>
      <c r="AD43" s="954"/>
      <c r="AE43" s="953" t="s">
        <v>2270</v>
      </c>
      <c r="AF43" s="955"/>
      <c r="AG43" s="955"/>
      <c r="AH43" s="954"/>
      <c r="AI43" s="953" t="s">
        <v>825</v>
      </c>
      <c r="AJ43" s="955"/>
      <c r="AK43" s="954"/>
    </row>
    <row r="44" spans="1:37" ht="11.85" customHeight="1" x14ac:dyDescent="0.25">
      <c r="A44" s="983" t="s">
        <v>2237</v>
      </c>
      <c r="B44" s="984"/>
      <c r="C44" s="984"/>
      <c r="D44" s="984"/>
      <c r="E44" s="985"/>
      <c r="F44" s="953" t="s">
        <v>2271</v>
      </c>
      <c r="G44" s="954"/>
      <c r="H44" s="953" t="s">
        <v>2272</v>
      </c>
      <c r="I44" s="955"/>
      <c r="J44" s="955"/>
      <c r="K44" s="954"/>
      <c r="L44" s="953" t="s">
        <v>1654</v>
      </c>
      <c r="M44" s="955"/>
      <c r="N44" s="955"/>
      <c r="O44" s="955"/>
      <c r="P44" s="954"/>
      <c r="Q44" s="953" t="s">
        <v>2270</v>
      </c>
      <c r="R44" s="954"/>
      <c r="S44" s="953" t="s">
        <v>1654</v>
      </c>
      <c r="T44" s="955"/>
      <c r="U44" s="954"/>
      <c r="V44" s="953" t="s">
        <v>2270</v>
      </c>
      <c r="W44" s="955"/>
      <c r="X44" s="955"/>
      <c r="Y44" s="955"/>
      <c r="Z44" s="954"/>
      <c r="AA44" s="953" t="s">
        <v>1654</v>
      </c>
      <c r="AB44" s="955"/>
      <c r="AC44" s="955"/>
      <c r="AD44" s="954"/>
      <c r="AE44" s="953" t="s">
        <v>2270</v>
      </c>
      <c r="AF44" s="955"/>
      <c r="AG44" s="955"/>
      <c r="AH44" s="954"/>
      <c r="AI44" s="953" t="s">
        <v>825</v>
      </c>
      <c r="AJ44" s="955"/>
      <c r="AK44" s="954"/>
    </row>
    <row r="45" spans="1:37" ht="11.85" customHeight="1" x14ac:dyDescent="0.25">
      <c r="A45" s="983" t="s">
        <v>2238</v>
      </c>
      <c r="B45" s="984"/>
      <c r="C45" s="984"/>
      <c r="D45" s="984"/>
      <c r="E45" s="985"/>
      <c r="F45" s="953" t="s">
        <v>2273</v>
      </c>
      <c r="G45" s="954"/>
      <c r="H45" s="953" t="s">
        <v>2273</v>
      </c>
      <c r="I45" s="955"/>
      <c r="J45" s="955"/>
      <c r="K45" s="954"/>
      <c r="L45" s="953" t="s">
        <v>825</v>
      </c>
      <c r="M45" s="955"/>
      <c r="N45" s="955"/>
      <c r="O45" s="955"/>
      <c r="P45" s="954"/>
      <c r="Q45" s="953" t="s">
        <v>825</v>
      </c>
      <c r="R45" s="954"/>
      <c r="S45" s="953" t="s">
        <v>825</v>
      </c>
      <c r="T45" s="955"/>
      <c r="U45" s="954"/>
      <c r="V45" s="953" t="s">
        <v>825</v>
      </c>
      <c r="W45" s="955"/>
      <c r="X45" s="955"/>
      <c r="Y45" s="955"/>
      <c r="Z45" s="954"/>
      <c r="AA45" s="953" t="s">
        <v>825</v>
      </c>
      <c r="AB45" s="955"/>
      <c r="AC45" s="955"/>
      <c r="AD45" s="954"/>
      <c r="AE45" s="953" t="s">
        <v>825</v>
      </c>
      <c r="AF45" s="955"/>
      <c r="AG45" s="955"/>
      <c r="AH45" s="954"/>
      <c r="AI45" s="953" t="s">
        <v>825</v>
      </c>
      <c r="AJ45" s="955"/>
      <c r="AK45" s="954"/>
    </row>
    <row r="46" spans="1:37" ht="5.0999999999999996" customHeight="1" x14ac:dyDescent="0.25"/>
    <row r="47" spans="1:37" ht="11.85" customHeight="1" x14ac:dyDescent="0.25">
      <c r="A47" s="803" t="s">
        <v>2274</v>
      </c>
      <c r="B47" s="803"/>
      <c r="C47" s="803"/>
      <c r="D47" s="803"/>
      <c r="E47" s="803"/>
      <c r="F47" s="803"/>
      <c r="G47" s="803"/>
      <c r="H47" s="803"/>
      <c r="I47" s="803"/>
      <c r="J47" s="803"/>
      <c r="K47" s="803"/>
      <c r="L47" s="803"/>
      <c r="M47" s="803"/>
      <c r="N47" s="803"/>
      <c r="O47" s="803"/>
      <c r="P47" s="803"/>
      <c r="Q47" s="803"/>
      <c r="R47" s="803"/>
      <c r="S47" s="803"/>
      <c r="T47" s="803"/>
      <c r="U47" s="803"/>
      <c r="V47" s="803"/>
      <c r="W47" s="803"/>
      <c r="X47" s="803"/>
      <c r="Y47" s="803"/>
      <c r="Z47" s="803"/>
      <c r="AA47" s="803"/>
      <c r="AB47" s="803"/>
      <c r="AC47" s="803"/>
      <c r="AD47" s="803"/>
      <c r="AE47" s="803"/>
      <c r="AF47" s="803"/>
      <c r="AG47" s="803"/>
      <c r="AH47" s="803"/>
      <c r="AI47" s="803"/>
      <c r="AJ47" s="803"/>
    </row>
    <row r="48" spans="1:37" ht="5.85" customHeight="1" x14ac:dyDescent="0.25"/>
    <row r="49" spans="1:37" ht="11.85" customHeight="1" x14ac:dyDescent="0.25">
      <c r="A49" s="856" t="s">
        <v>833</v>
      </c>
      <c r="B49" s="856"/>
      <c r="C49" s="856"/>
      <c r="D49" s="856"/>
      <c r="E49" s="856"/>
      <c r="F49" s="856"/>
      <c r="G49" s="856"/>
      <c r="H49" s="856"/>
      <c r="AJ49" s="586" t="s">
        <v>1913</v>
      </c>
    </row>
    <row r="50" spans="1:37" ht="11.1" customHeight="1" x14ac:dyDescent="0.25">
      <c r="A50" s="856" t="s">
        <v>824</v>
      </c>
      <c r="B50" s="856"/>
      <c r="C50" s="856"/>
      <c r="D50" s="856"/>
      <c r="E50" s="856"/>
      <c r="F50" s="856"/>
      <c r="G50" s="856"/>
      <c r="H50" s="856"/>
    </row>
    <row r="51" spans="1:37" ht="11.85" customHeight="1" x14ac:dyDescent="0.25">
      <c r="A51" s="861" t="s">
        <v>2160</v>
      </c>
      <c r="B51" s="861"/>
      <c r="C51" s="861"/>
      <c r="D51" s="861"/>
      <c r="E51" s="861"/>
      <c r="F51" s="861"/>
      <c r="G51" s="861"/>
      <c r="H51" s="861"/>
    </row>
    <row r="52" spans="1:37" ht="11.85" customHeight="1" x14ac:dyDescent="0.25">
      <c r="A52" s="856" t="s">
        <v>832</v>
      </c>
      <c r="B52" s="856"/>
      <c r="C52" s="856"/>
      <c r="D52" s="856"/>
      <c r="E52" s="856"/>
      <c r="F52" s="856"/>
      <c r="G52" s="856"/>
      <c r="H52" s="856"/>
    </row>
    <row r="53" spans="1:37" ht="11.85" customHeight="1" x14ac:dyDescent="0.25">
      <c r="A53" s="856" t="s">
        <v>2161</v>
      </c>
      <c r="B53" s="856"/>
      <c r="C53" s="856"/>
      <c r="D53" s="856"/>
      <c r="E53" s="856"/>
      <c r="F53" s="856"/>
      <c r="G53" s="856"/>
      <c r="H53" s="856"/>
    </row>
    <row r="54" spans="1:37" ht="5.85" customHeight="1" x14ac:dyDescent="0.25"/>
    <row r="55" spans="1:37" ht="11.1" customHeight="1" x14ac:dyDescent="0.25">
      <c r="A55" s="973" t="s">
        <v>2162</v>
      </c>
      <c r="B55" s="973"/>
      <c r="C55" s="973"/>
      <c r="D55" s="973"/>
      <c r="E55" s="973"/>
      <c r="F55" s="973"/>
      <c r="G55" s="973"/>
      <c r="H55" s="973"/>
      <c r="I55" s="550"/>
      <c r="J55" s="550"/>
      <c r="K55" s="550"/>
      <c r="L55" s="550"/>
      <c r="M55" s="550"/>
      <c r="N55" s="550"/>
      <c r="O55" s="550"/>
      <c r="P55" s="550"/>
      <c r="Q55" s="550"/>
      <c r="R55" s="550"/>
      <c r="S55" s="550"/>
      <c r="T55" s="550"/>
      <c r="U55" s="550"/>
      <c r="V55" s="550"/>
      <c r="W55" s="550"/>
      <c r="X55" s="550"/>
      <c r="Y55" s="550"/>
      <c r="Z55" s="550"/>
      <c r="AA55" s="550"/>
      <c r="AB55" s="550"/>
      <c r="AC55" s="550"/>
      <c r="AD55" s="550"/>
      <c r="AE55" s="550"/>
      <c r="AF55" s="550"/>
      <c r="AG55" s="550"/>
      <c r="AH55" s="550"/>
      <c r="AI55" s="550"/>
      <c r="AJ55" s="550"/>
      <c r="AK55" s="550"/>
    </row>
    <row r="56" spans="1:37" ht="11.85" customHeight="1" x14ac:dyDescent="0.25">
      <c r="A56" s="974" t="s">
        <v>2220</v>
      </c>
      <c r="B56" s="975"/>
      <c r="C56" s="975"/>
      <c r="D56" s="975"/>
      <c r="E56" s="976"/>
      <c r="F56" s="965" t="s">
        <v>2221</v>
      </c>
      <c r="G56" s="967"/>
      <c r="H56" s="965" t="s">
        <v>1888</v>
      </c>
      <c r="I56" s="966"/>
      <c r="J56" s="966"/>
      <c r="K56" s="967"/>
      <c r="L56" s="804" t="s">
        <v>1696</v>
      </c>
      <c r="M56" s="825"/>
      <c r="N56" s="825"/>
      <c r="O56" s="825"/>
      <c r="P56" s="825"/>
      <c r="Q56" s="825"/>
      <c r="R56" s="805"/>
      <c r="S56" s="804" t="s">
        <v>1698</v>
      </c>
      <c r="T56" s="825"/>
      <c r="U56" s="825"/>
      <c r="V56" s="825"/>
      <c r="W56" s="825"/>
      <c r="X56" s="825"/>
      <c r="Y56" s="825"/>
      <c r="Z56" s="805"/>
      <c r="AA56" s="804" t="s">
        <v>2222</v>
      </c>
      <c r="AB56" s="825"/>
      <c r="AC56" s="825"/>
      <c r="AD56" s="825"/>
      <c r="AE56" s="825"/>
      <c r="AF56" s="825"/>
      <c r="AG56" s="825"/>
      <c r="AH56" s="805"/>
      <c r="AI56" s="965" t="s">
        <v>2223</v>
      </c>
      <c r="AJ56" s="966"/>
      <c r="AK56" s="967"/>
    </row>
    <row r="57" spans="1:37" ht="17.850000000000001" customHeight="1" x14ac:dyDescent="0.25">
      <c r="A57" s="977"/>
      <c r="B57" s="978"/>
      <c r="C57" s="978"/>
      <c r="D57" s="978"/>
      <c r="E57" s="979"/>
      <c r="F57" s="968"/>
      <c r="G57" s="970"/>
      <c r="H57" s="968"/>
      <c r="I57" s="969"/>
      <c r="J57" s="969"/>
      <c r="K57" s="970"/>
      <c r="L57" s="965" t="s">
        <v>2224</v>
      </c>
      <c r="M57" s="971"/>
      <c r="N57" s="971"/>
      <c r="O57" s="971"/>
      <c r="P57" s="972"/>
      <c r="Q57" s="965" t="s">
        <v>2225</v>
      </c>
      <c r="R57" s="972"/>
      <c r="S57" s="965" t="s">
        <v>2226</v>
      </c>
      <c r="T57" s="971"/>
      <c r="U57" s="972"/>
      <c r="V57" s="965" t="s">
        <v>2227</v>
      </c>
      <c r="W57" s="971"/>
      <c r="X57" s="971"/>
      <c r="Y57" s="971"/>
      <c r="Z57" s="972"/>
      <c r="AA57" s="965" t="s">
        <v>2228</v>
      </c>
      <c r="AB57" s="971"/>
      <c r="AC57" s="971"/>
      <c r="AD57" s="972"/>
      <c r="AE57" s="965" t="s">
        <v>2229</v>
      </c>
      <c r="AF57" s="971"/>
      <c r="AG57" s="971"/>
      <c r="AH57" s="972"/>
      <c r="AI57" s="968"/>
      <c r="AJ57" s="969"/>
      <c r="AK57" s="970"/>
    </row>
    <row r="58" spans="1:37" ht="11.1" customHeight="1" x14ac:dyDescent="0.25">
      <c r="A58" s="989" t="s">
        <v>2275</v>
      </c>
      <c r="B58" s="990"/>
      <c r="C58" s="990"/>
      <c r="D58" s="990"/>
      <c r="E58" s="991"/>
      <c r="F58" s="962" t="s">
        <v>2276</v>
      </c>
      <c r="G58" s="963"/>
      <c r="H58" s="962" t="s">
        <v>2277</v>
      </c>
      <c r="I58" s="964"/>
      <c r="J58" s="964"/>
      <c r="K58" s="963"/>
      <c r="L58" s="962" t="s">
        <v>2278</v>
      </c>
      <c r="M58" s="964"/>
      <c r="N58" s="964"/>
      <c r="O58" s="964"/>
      <c r="P58" s="963"/>
      <c r="Q58" s="962" t="s">
        <v>2279</v>
      </c>
      <c r="R58" s="963"/>
      <c r="S58" s="962" t="s">
        <v>2278</v>
      </c>
      <c r="T58" s="964"/>
      <c r="U58" s="963"/>
      <c r="V58" s="962" t="s">
        <v>2279</v>
      </c>
      <c r="W58" s="964"/>
      <c r="X58" s="964"/>
      <c r="Y58" s="964"/>
      <c r="Z58" s="963"/>
      <c r="AA58" s="962" t="s">
        <v>2280</v>
      </c>
      <c r="AB58" s="964"/>
      <c r="AC58" s="964"/>
      <c r="AD58" s="963"/>
      <c r="AE58" s="962" t="s">
        <v>2281</v>
      </c>
      <c r="AF58" s="964"/>
      <c r="AG58" s="964"/>
      <c r="AH58" s="963"/>
      <c r="AI58" s="962" t="s">
        <v>825</v>
      </c>
      <c r="AJ58" s="964"/>
      <c r="AK58" s="963"/>
    </row>
    <row r="59" spans="1:37" ht="11.85" customHeight="1" x14ac:dyDescent="0.25">
      <c r="A59" s="983" t="s">
        <v>2237</v>
      </c>
      <c r="B59" s="984"/>
      <c r="C59" s="984"/>
      <c r="D59" s="984"/>
      <c r="E59" s="985"/>
      <c r="F59" s="953" t="s">
        <v>2276</v>
      </c>
      <c r="G59" s="954"/>
      <c r="H59" s="953" t="s">
        <v>2277</v>
      </c>
      <c r="I59" s="955"/>
      <c r="J59" s="955"/>
      <c r="K59" s="954"/>
      <c r="L59" s="953" t="s">
        <v>2278</v>
      </c>
      <c r="M59" s="955"/>
      <c r="N59" s="955"/>
      <c r="O59" s="955"/>
      <c r="P59" s="954"/>
      <c r="Q59" s="953" t="s">
        <v>2279</v>
      </c>
      <c r="R59" s="954"/>
      <c r="S59" s="953" t="s">
        <v>2278</v>
      </c>
      <c r="T59" s="955"/>
      <c r="U59" s="954"/>
      <c r="V59" s="953" t="s">
        <v>2279</v>
      </c>
      <c r="W59" s="955"/>
      <c r="X59" s="955"/>
      <c r="Y59" s="955"/>
      <c r="Z59" s="954"/>
      <c r="AA59" s="953" t="s">
        <v>2280</v>
      </c>
      <c r="AB59" s="955"/>
      <c r="AC59" s="955"/>
      <c r="AD59" s="954"/>
      <c r="AE59" s="953" t="s">
        <v>2281</v>
      </c>
      <c r="AF59" s="955"/>
      <c r="AG59" s="955"/>
      <c r="AH59" s="954"/>
      <c r="AI59" s="953" t="s">
        <v>825</v>
      </c>
      <c r="AJ59" s="955"/>
      <c r="AK59" s="954"/>
    </row>
    <row r="60" spans="1:37" ht="11.85" customHeight="1" x14ac:dyDescent="0.25">
      <c r="A60" s="983" t="s">
        <v>2238</v>
      </c>
      <c r="B60" s="984"/>
      <c r="C60" s="984"/>
      <c r="D60" s="984"/>
      <c r="E60" s="985"/>
      <c r="F60" s="953" t="s">
        <v>825</v>
      </c>
      <c r="G60" s="954"/>
      <c r="H60" s="953" t="s">
        <v>825</v>
      </c>
      <c r="I60" s="955"/>
      <c r="J60" s="955"/>
      <c r="K60" s="954"/>
      <c r="L60" s="953" t="s">
        <v>825</v>
      </c>
      <c r="M60" s="955"/>
      <c r="N60" s="955"/>
      <c r="O60" s="955"/>
      <c r="P60" s="954"/>
      <c r="Q60" s="953" t="s">
        <v>825</v>
      </c>
      <c r="R60" s="954"/>
      <c r="S60" s="953" t="s">
        <v>825</v>
      </c>
      <c r="T60" s="955"/>
      <c r="U60" s="954"/>
      <c r="V60" s="953" t="s">
        <v>825</v>
      </c>
      <c r="W60" s="955"/>
      <c r="X60" s="955"/>
      <c r="Y60" s="955"/>
      <c r="Z60" s="954"/>
      <c r="AA60" s="953" t="s">
        <v>825</v>
      </c>
      <c r="AB60" s="955"/>
      <c r="AC60" s="955"/>
      <c r="AD60" s="954"/>
      <c r="AE60" s="953" t="s">
        <v>825</v>
      </c>
      <c r="AF60" s="955"/>
      <c r="AG60" s="955"/>
      <c r="AH60" s="954"/>
      <c r="AI60" s="953" t="s">
        <v>825</v>
      </c>
      <c r="AJ60" s="955"/>
      <c r="AK60" s="954"/>
    </row>
    <row r="61" spans="1:37" ht="11.85" customHeight="1" x14ac:dyDescent="0.25">
      <c r="A61" s="983" t="s">
        <v>2282</v>
      </c>
      <c r="B61" s="984"/>
      <c r="C61" s="984"/>
      <c r="D61" s="984"/>
      <c r="E61" s="985"/>
      <c r="F61" s="953" t="s">
        <v>825</v>
      </c>
      <c r="G61" s="954"/>
      <c r="H61" s="953" t="s">
        <v>825</v>
      </c>
      <c r="I61" s="955"/>
      <c r="J61" s="955"/>
      <c r="K61" s="954"/>
      <c r="L61" s="953" t="s">
        <v>825</v>
      </c>
      <c r="M61" s="955"/>
      <c r="N61" s="955"/>
      <c r="O61" s="955"/>
      <c r="P61" s="954"/>
      <c r="Q61" s="953" t="s">
        <v>825</v>
      </c>
      <c r="R61" s="954"/>
      <c r="S61" s="953" t="s">
        <v>825</v>
      </c>
      <c r="T61" s="955"/>
      <c r="U61" s="954"/>
      <c r="V61" s="953" t="s">
        <v>825</v>
      </c>
      <c r="W61" s="955"/>
      <c r="X61" s="955"/>
      <c r="Y61" s="955"/>
      <c r="Z61" s="954"/>
      <c r="AA61" s="953" t="s">
        <v>825</v>
      </c>
      <c r="AB61" s="955"/>
      <c r="AC61" s="955"/>
      <c r="AD61" s="954"/>
      <c r="AE61" s="953" t="s">
        <v>825</v>
      </c>
      <c r="AF61" s="955"/>
      <c r="AG61" s="955"/>
      <c r="AH61" s="954"/>
      <c r="AI61" s="953" t="s">
        <v>825</v>
      </c>
      <c r="AJ61" s="955"/>
      <c r="AK61" s="954"/>
    </row>
    <row r="62" spans="1:37" ht="11.1" customHeight="1" x14ac:dyDescent="0.25">
      <c r="A62" s="983" t="s">
        <v>2237</v>
      </c>
      <c r="B62" s="984"/>
      <c r="C62" s="984"/>
      <c r="D62" s="984"/>
      <c r="E62" s="985"/>
      <c r="F62" s="953" t="s">
        <v>825</v>
      </c>
      <c r="G62" s="954"/>
      <c r="H62" s="953" t="s">
        <v>825</v>
      </c>
      <c r="I62" s="955"/>
      <c r="J62" s="955"/>
      <c r="K62" s="954"/>
      <c r="L62" s="953" t="s">
        <v>825</v>
      </c>
      <c r="M62" s="955"/>
      <c r="N62" s="955"/>
      <c r="O62" s="955"/>
      <c r="P62" s="954"/>
      <c r="Q62" s="953" t="s">
        <v>825</v>
      </c>
      <c r="R62" s="954"/>
      <c r="S62" s="953" t="s">
        <v>825</v>
      </c>
      <c r="T62" s="955"/>
      <c r="U62" s="954"/>
      <c r="V62" s="953" t="s">
        <v>825</v>
      </c>
      <c r="W62" s="955"/>
      <c r="X62" s="955"/>
      <c r="Y62" s="955"/>
      <c r="Z62" s="954"/>
      <c r="AA62" s="953" t="s">
        <v>825</v>
      </c>
      <c r="AB62" s="955"/>
      <c r="AC62" s="955"/>
      <c r="AD62" s="954"/>
      <c r="AE62" s="953" t="s">
        <v>825</v>
      </c>
      <c r="AF62" s="955"/>
      <c r="AG62" s="955"/>
      <c r="AH62" s="954"/>
      <c r="AI62" s="953" t="s">
        <v>825</v>
      </c>
      <c r="AJ62" s="955"/>
      <c r="AK62" s="954"/>
    </row>
    <row r="63" spans="1:37" ht="11.85" customHeight="1" x14ac:dyDescent="0.25">
      <c r="A63" s="983" t="s">
        <v>2238</v>
      </c>
      <c r="B63" s="984"/>
      <c r="C63" s="984"/>
      <c r="D63" s="984"/>
      <c r="E63" s="985"/>
      <c r="F63" s="953" t="s">
        <v>825</v>
      </c>
      <c r="G63" s="954"/>
      <c r="H63" s="953" t="s">
        <v>825</v>
      </c>
      <c r="I63" s="955"/>
      <c r="J63" s="955"/>
      <c r="K63" s="954"/>
      <c r="L63" s="953" t="s">
        <v>825</v>
      </c>
      <c r="M63" s="955"/>
      <c r="N63" s="955"/>
      <c r="O63" s="955"/>
      <c r="P63" s="954"/>
      <c r="Q63" s="953" t="s">
        <v>825</v>
      </c>
      <c r="R63" s="954"/>
      <c r="S63" s="953" t="s">
        <v>825</v>
      </c>
      <c r="T63" s="955"/>
      <c r="U63" s="954"/>
      <c r="V63" s="953" t="s">
        <v>825</v>
      </c>
      <c r="W63" s="955"/>
      <c r="X63" s="955"/>
      <c r="Y63" s="955"/>
      <c r="Z63" s="954"/>
      <c r="AA63" s="953" t="s">
        <v>825</v>
      </c>
      <c r="AB63" s="955"/>
      <c r="AC63" s="955"/>
      <c r="AD63" s="954"/>
      <c r="AE63" s="953" t="s">
        <v>825</v>
      </c>
      <c r="AF63" s="955"/>
      <c r="AG63" s="955"/>
      <c r="AH63" s="954"/>
      <c r="AI63" s="953" t="s">
        <v>825</v>
      </c>
      <c r="AJ63" s="955"/>
      <c r="AK63" s="954"/>
    </row>
    <row r="64" spans="1:37" ht="11.85" customHeight="1" x14ac:dyDescent="0.25">
      <c r="A64" s="983" t="s">
        <v>2283</v>
      </c>
      <c r="B64" s="984"/>
      <c r="C64" s="984"/>
      <c r="D64" s="984"/>
      <c r="E64" s="985"/>
      <c r="F64" s="953" t="s">
        <v>2284</v>
      </c>
      <c r="G64" s="954"/>
      <c r="H64" s="953" t="s">
        <v>2285</v>
      </c>
      <c r="I64" s="955"/>
      <c r="J64" s="955"/>
      <c r="K64" s="954"/>
      <c r="L64" s="953" t="s">
        <v>2286</v>
      </c>
      <c r="M64" s="955"/>
      <c r="N64" s="955"/>
      <c r="O64" s="955"/>
      <c r="P64" s="954"/>
      <c r="Q64" s="953" t="s">
        <v>2287</v>
      </c>
      <c r="R64" s="954"/>
      <c r="S64" s="953" t="s">
        <v>2288</v>
      </c>
      <c r="T64" s="955"/>
      <c r="U64" s="954"/>
      <c r="V64" s="953" t="s">
        <v>2289</v>
      </c>
      <c r="W64" s="955"/>
      <c r="X64" s="955"/>
      <c r="Y64" s="955"/>
      <c r="Z64" s="954"/>
      <c r="AA64" s="953" t="s">
        <v>2290</v>
      </c>
      <c r="AB64" s="955"/>
      <c r="AC64" s="955"/>
      <c r="AD64" s="954"/>
      <c r="AE64" s="953" t="s">
        <v>2291</v>
      </c>
      <c r="AF64" s="955"/>
      <c r="AG64" s="955"/>
      <c r="AH64" s="954"/>
      <c r="AI64" s="953" t="s">
        <v>2292</v>
      </c>
      <c r="AJ64" s="955"/>
      <c r="AK64" s="954"/>
    </row>
    <row r="65" spans="1:37" ht="11.85" customHeight="1" x14ac:dyDescent="0.25">
      <c r="A65" s="983" t="s">
        <v>2237</v>
      </c>
      <c r="B65" s="984"/>
      <c r="C65" s="984"/>
      <c r="D65" s="984"/>
      <c r="E65" s="985"/>
      <c r="F65" s="953" t="s">
        <v>2293</v>
      </c>
      <c r="G65" s="954"/>
      <c r="H65" s="953" t="s">
        <v>2294</v>
      </c>
      <c r="I65" s="955"/>
      <c r="J65" s="955"/>
      <c r="K65" s="954"/>
      <c r="L65" s="953" t="s">
        <v>2295</v>
      </c>
      <c r="M65" s="955"/>
      <c r="N65" s="955"/>
      <c r="O65" s="955"/>
      <c r="P65" s="954"/>
      <c r="Q65" s="953" t="s">
        <v>2296</v>
      </c>
      <c r="R65" s="954"/>
      <c r="S65" s="953" t="s">
        <v>2297</v>
      </c>
      <c r="T65" s="955"/>
      <c r="U65" s="954"/>
      <c r="V65" s="953" t="s">
        <v>2298</v>
      </c>
      <c r="W65" s="955"/>
      <c r="X65" s="955"/>
      <c r="Y65" s="955"/>
      <c r="Z65" s="954"/>
      <c r="AA65" s="953" t="s">
        <v>2299</v>
      </c>
      <c r="AB65" s="955"/>
      <c r="AC65" s="955"/>
      <c r="AD65" s="954"/>
      <c r="AE65" s="953" t="s">
        <v>2300</v>
      </c>
      <c r="AF65" s="955"/>
      <c r="AG65" s="955"/>
      <c r="AH65" s="954"/>
      <c r="AI65" s="953" t="s">
        <v>2292</v>
      </c>
      <c r="AJ65" s="955"/>
      <c r="AK65" s="954"/>
    </row>
    <row r="66" spans="1:37" ht="11.1" customHeight="1" x14ac:dyDescent="0.25">
      <c r="A66" s="986" t="s">
        <v>2238</v>
      </c>
      <c r="B66" s="987"/>
      <c r="C66" s="987"/>
      <c r="D66" s="987"/>
      <c r="E66" s="988"/>
      <c r="F66" s="944" t="s">
        <v>2301</v>
      </c>
      <c r="G66" s="945"/>
      <c r="H66" s="944" t="s">
        <v>2302</v>
      </c>
      <c r="I66" s="946"/>
      <c r="J66" s="946"/>
      <c r="K66" s="945"/>
      <c r="L66" s="944" t="s">
        <v>2303</v>
      </c>
      <c r="M66" s="946"/>
      <c r="N66" s="946"/>
      <c r="O66" s="946"/>
      <c r="P66" s="945"/>
      <c r="Q66" s="944" t="s">
        <v>2304</v>
      </c>
      <c r="R66" s="945"/>
      <c r="S66" s="944" t="s">
        <v>2303</v>
      </c>
      <c r="T66" s="946"/>
      <c r="U66" s="945"/>
      <c r="V66" s="944" t="s">
        <v>2304</v>
      </c>
      <c r="W66" s="946"/>
      <c r="X66" s="946"/>
      <c r="Y66" s="946"/>
      <c r="Z66" s="945"/>
      <c r="AA66" s="944" t="s">
        <v>2305</v>
      </c>
      <c r="AB66" s="946"/>
      <c r="AC66" s="946"/>
      <c r="AD66" s="945"/>
      <c r="AE66" s="944" t="s">
        <v>1259</v>
      </c>
      <c r="AF66" s="946"/>
      <c r="AG66" s="946"/>
      <c r="AH66" s="945"/>
      <c r="AI66" s="944" t="s">
        <v>825</v>
      </c>
      <c r="AJ66" s="946"/>
      <c r="AK66" s="945"/>
    </row>
    <row r="67" spans="1:37" ht="11.85" customHeight="1" x14ac:dyDescent="0.25">
      <c r="A67" s="980" t="s">
        <v>2306</v>
      </c>
      <c r="B67" s="981"/>
      <c r="C67" s="981"/>
      <c r="D67" s="981"/>
      <c r="E67" s="982"/>
      <c r="F67" s="928" t="s">
        <v>2307</v>
      </c>
      <c r="G67" s="929"/>
      <c r="H67" s="928" t="s">
        <v>2307</v>
      </c>
      <c r="I67" s="930"/>
      <c r="J67" s="930"/>
      <c r="K67" s="929"/>
      <c r="L67" s="928" t="s">
        <v>1114</v>
      </c>
      <c r="M67" s="930"/>
      <c r="N67" s="930"/>
      <c r="O67" s="930"/>
      <c r="P67" s="929"/>
      <c r="Q67" s="928" t="s">
        <v>2308</v>
      </c>
      <c r="R67" s="929"/>
      <c r="S67" s="928" t="s">
        <v>1326</v>
      </c>
      <c r="T67" s="930"/>
      <c r="U67" s="929"/>
      <c r="V67" s="928" t="s">
        <v>2304</v>
      </c>
      <c r="W67" s="930"/>
      <c r="X67" s="930"/>
      <c r="Y67" s="930"/>
      <c r="Z67" s="929"/>
      <c r="AA67" s="928" t="s">
        <v>1387</v>
      </c>
      <c r="AB67" s="930"/>
      <c r="AC67" s="930"/>
      <c r="AD67" s="929"/>
      <c r="AE67" s="928" t="s">
        <v>2309</v>
      </c>
      <c r="AF67" s="930"/>
      <c r="AG67" s="930"/>
      <c r="AH67" s="929"/>
      <c r="AI67" s="928" t="s">
        <v>2310</v>
      </c>
      <c r="AJ67" s="930"/>
      <c r="AK67" s="929"/>
    </row>
    <row r="68" spans="1:37" ht="11.85" customHeight="1" x14ac:dyDescent="0.25">
      <c r="A68" s="819"/>
      <c r="B68" s="819"/>
      <c r="C68" s="819"/>
      <c r="D68" s="819"/>
      <c r="E68" s="819"/>
      <c r="F68" s="819"/>
      <c r="G68" s="819"/>
      <c r="H68" s="819"/>
      <c r="I68" s="819"/>
      <c r="J68" s="819"/>
      <c r="K68" s="819"/>
      <c r="L68" s="819"/>
      <c r="M68" s="819"/>
      <c r="N68" s="819"/>
      <c r="O68" s="819"/>
      <c r="P68" s="819"/>
      <c r="Q68" s="819"/>
      <c r="R68" s="819"/>
      <c r="S68" s="819"/>
      <c r="T68" s="819"/>
      <c r="U68" s="819"/>
      <c r="V68" s="819"/>
      <c r="W68" s="819"/>
      <c r="X68" s="819"/>
      <c r="Y68" s="819"/>
      <c r="Z68" s="819"/>
      <c r="AA68" s="819"/>
      <c r="AB68" s="819"/>
      <c r="AC68" s="819"/>
      <c r="AD68" s="819"/>
      <c r="AE68" s="819"/>
      <c r="AF68" s="819"/>
      <c r="AG68" s="819"/>
      <c r="AH68" s="819"/>
      <c r="AI68" s="819"/>
      <c r="AJ68" s="819"/>
      <c r="AK68" s="819"/>
    </row>
    <row r="69" spans="1:37" ht="28.9" customHeight="1" x14ac:dyDescent="0.25">
      <c r="A69" s="992" t="s">
        <v>2311</v>
      </c>
      <c r="B69" s="1015"/>
      <c r="C69" s="1015"/>
      <c r="D69" s="1015"/>
      <c r="E69" s="1015"/>
      <c r="F69" s="1015"/>
      <c r="G69" s="1015"/>
      <c r="H69" s="1015"/>
      <c r="I69" s="1015"/>
      <c r="J69" s="1015"/>
      <c r="K69" s="1015"/>
      <c r="L69" s="1015"/>
      <c r="M69" s="1015"/>
      <c r="N69" s="1015"/>
      <c r="O69" s="1008"/>
      <c r="P69" s="965" t="s">
        <v>2312</v>
      </c>
      <c r="Q69" s="971"/>
      <c r="R69" s="971"/>
      <c r="S69" s="971"/>
      <c r="T69" s="971"/>
      <c r="U69" s="971"/>
      <c r="V69" s="972"/>
      <c r="W69" s="965" t="s">
        <v>2313</v>
      </c>
      <c r="X69" s="971"/>
      <c r="Y69" s="971"/>
      <c r="Z69" s="971"/>
      <c r="AA69" s="971"/>
      <c r="AB69" s="971"/>
      <c r="AC69" s="971"/>
      <c r="AD69" s="971"/>
      <c r="AE69" s="972"/>
      <c r="AF69" s="965" t="s">
        <v>2314</v>
      </c>
      <c r="AG69" s="971"/>
      <c r="AH69" s="971"/>
      <c r="AI69" s="971"/>
      <c r="AJ69" s="971"/>
      <c r="AK69" s="972"/>
    </row>
    <row r="70" spans="1:37" ht="11.85" customHeight="1" x14ac:dyDescent="0.25">
      <c r="A70" s="989" t="s">
        <v>2315</v>
      </c>
      <c r="B70" s="990"/>
      <c r="C70" s="990"/>
      <c r="D70" s="990"/>
      <c r="E70" s="990"/>
      <c r="F70" s="990"/>
      <c r="G70" s="990"/>
      <c r="H70" s="990"/>
      <c r="I70" s="990"/>
      <c r="J70" s="990"/>
      <c r="K70" s="990"/>
      <c r="L70" s="990"/>
      <c r="M70" s="990"/>
      <c r="N70" s="990"/>
      <c r="O70" s="991"/>
      <c r="P70" s="962" t="s">
        <v>1114</v>
      </c>
      <c r="Q70" s="964"/>
      <c r="R70" s="964"/>
      <c r="S70" s="964"/>
      <c r="T70" s="964"/>
      <c r="U70" s="964"/>
      <c r="V70" s="963"/>
      <c r="W70" s="962" t="s">
        <v>1326</v>
      </c>
      <c r="X70" s="964"/>
      <c r="Y70" s="964"/>
      <c r="Z70" s="964"/>
      <c r="AA70" s="964"/>
      <c r="AB70" s="964"/>
      <c r="AC70" s="964"/>
      <c r="AD70" s="964"/>
      <c r="AE70" s="963"/>
      <c r="AF70" s="962" t="s">
        <v>1387</v>
      </c>
      <c r="AG70" s="964"/>
      <c r="AH70" s="964"/>
      <c r="AI70" s="964"/>
      <c r="AJ70" s="964"/>
      <c r="AK70" s="963"/>
    </row>
    <row r="71" spans="1:37" ht="11.85" customHeight="1" x14ac:dyDescent="0.25">
      <c r="A71" s="983" t="s">
        <v>2316</v>
      </c>
      <c r="B71" s="984"/>
      <c r="C71" s="984"/>
      <c r="D71" s="984"/>
      <c r="E71" s="984"/>
      <c r="F71" s="984"/>
      <c r="G71" s="984"/>
      <c r="H71" s="984"/>
      <c r="I71" s="984"/>
      <c r="J71" s="984"/>
      <c r="K71" s="984"/>
      <c r="L71" s="984"/>
      <c r="M71" s="984"/>
      <c r="N71" s="984"/>
      <c r="O71" s="985"/>
      <c r="P71" s="953" t="s">
        <v>825</v>
      </c>
      <c r="Q71" s="955"/>
      <c r="R71" s="955"/>
      <c r="S71" s="955"/>
      <c r="T71" s="955"/>
      <c r="U71" s="955"/>
      <c r="V71" s="954"/>
      <c r="W71" s="953" t="s">
        <v>825</v>
      </c>
      <c r="X71" s="955"/>
      <c r="Y71" s="955"/>
      <c r="Z71" s="955"/>
      <c r="AA71" s="955"/>
      <c r="AB71" s="955"/>
      <c r="AC71" s="955"/>
      <c r="AD71" s="955"/>
      <c r="AE71" s="954"/>
      <c r="AF71" s="953" t="s">
        <v>825</v>
      </c>
      <c r="AG71" s="955"/>
      <c r="AH71" s="955"/>
      <c r="AI71" s="955"/>
      <c r="AJ71" s="955"/>
      <c r="AK71" s="954"/>
    </row>
    <row r="72" spans="1:37" ht="11.85" customHeight="1" x14ac:dyDescent="0.25">
      <c r="A72" s="983" t="s">
        <v>2317</v>
      </c>
      <c r="B72" s="984"/>
      <c r="C72" s="984"/>
      <c r="D72" s="984"/>
      <c r="E72" s="984"/>
      <c r="F72" s="984"/>
      <c r="G72" s="984"/>
      <c r="H72" s="984"/>
      <c r="I72" s="984"/>
      <c r="J72" s="984"/>
      <c r="K72" s="984"/>
      <c r="L72" s="984"/>
      <c r="M72" s="984"/>
      <c r="N72" s="984"/>
      <c r="O72" s="985"/>
      <c r="P72" s="953" t="s">
        <v>825</v>
      </c>
      <c r="Q72" s="955"/>
      <c r="R72" s="955"/>
      <c r="S72" s="955"/>
      <c r="T72" s="955"/>
      <c r="U72" s="955"/>
      <c r="V72" s="954"/>
      <c r="W72" s="953" t="s">
        <v>825</v>
      </c>
      <c r="X72" s="955"/>
      <c r="Y72" s="955"/>
      <c r="Z72" s="955"/>
      <c r="AA72" s="955"/>
      <c r="AB72" s="955"/>
      <c r="AC72" s="955"/>
      <c r="AD72" s="955"/>
      <c r="AE72" s="954"/>
      <c r="AF72" s="953" t="s">
        <v>825</v>
      </c>
      <c r="AG72" s="955"/>
      <c r="AH72" s="955"/>
      <c r="AI72" s="955"/>
      <c r="AJ72" s="955"/>
      <c r="AK72" s="954"/>
    </row>
    <row r="73" spans="1:37" ht="11.1" customHeight="1" x14ac:dyDescent="0.25">
      <c r="A73" s="986" t="s">
        <v>2318</v>
      </c>
      <c r="B73" s="987"/>
      <c r="C73" s="987"/>
      <c r="D73" s="987"/>
      <c r="E73" s="987"/>
      <c r="F73" s="987"/>
      <c r="G73" s="987"/>
      <c r="H73" s="987"/>
      <c r="I73" s="987"/>
      <c r="J73" s="987"/>
      <c r="K73" s="987"/>
      <c r="L73" s="987"/>
      <c r="M73" s="987"/>
      <c r="N73" s="987"/>
      <c r="O73" s="988"/>
      <c r="P73" s="944" t="s">
        <v>825</v>
      </c>
      <c r="Q73" s="946"/>
      <c r="R73" s="946"/>
      <c r="S73" s="946"/>
      <c r="T73" s="946"/>
      <c r="U73" s="946"/>
      <c r="V73" s="945"/>
      <c r="W73" s="944" t="s">
        <v>825</v>
      </c>
      <c r="X73" s="946"/>
      <c r="Y73" s="946"/>
      <c r="Z73" s="946"/>
      <c r="AA73" s="946"/>
      <c r="AB73" s="946"/>
      <c r="AC73" s="946"/>
      <c r="AD73" s="946"/>
      <c r="AE73" s="945"/>
      <c r="AF73" s="944" t="s">
        <v>825</v>
      </c>
      <c r="AG73" s="946"/>
      <c r="AH73" s="946"/>
      <c r="AI73" s="946"/>
      <c r="AJ73" s="946"/>
      <c r="AK73" s="945"/>
    </row>
    <row r="74" spans="1:37" ht="11.85" customHeight="1" x14ac:dyDescent="0.25">
      <c r="A74" s="980" t="s">
        <v>2319</v>
      </c>
      <c r="B74" s="981"/>
      <c r="C74" s="981"/>
      <c r="D74" s="981"/>
      <c r="E74" s="981"/>
      <c r="F74" s="981"/>
      <c r="G74" s="981"/>
      <c r="H74" s="981"/>
      <c r="I74" s="981"/>
      <c r="J74" s="981"/>
      <c r="K74" s="981"/>
      <c r="L74" s="981"/>
      <c r="M74" s="981"/>
      <c r="N74" s="981"/>
      <c r="O74" s="982"/>
      <c r="P74" s="928" t="s">
        <v>1114</v>
      </c>
      <c r="Q74" s="930"/>
      <c r="R74" s="930"/>
      <c r="S74" s="930"/>
      <c r="T74" s="930"/>
      <c r="U74" s="930"/>
      <c r="V74" s="929"/>
      <c r="W74" s="928" t="s">
        <v>1326</v>
      </c>
      <c r="X74" s="930"/>
      <c r="Y74" s="930"/>
      <c r="Z74" s="930"/>
      <c r="AA74" s="930"/>
      <c r="AB74" s="930"/>
      <c r="AC74" s="930"/>
      <c r="AD74" s="930"/>
      <c r="AE74" s="929"/>
      <c r="AF74" s="928" t="s">
        <v>1387</v>
      </c>
      <c r="AG74" s="930"/>
      <c r="AH74" s="930"/>
      <c r="AI74" s="930"/>
      <c r="AJ74" s="930"/>
      <c r="AK74" s="929"/>
    </row>
    <row r="75" spans="1:37" ht="11.85" customHeight="1" x14ac:dyDescent="0.25">
      <c r="A75" s="989" t="s">
        <v>2320</v>
      </c>
      <c r="B75" s="990"/>
      <c r="C75" s="990"/>
      <c r="D75" s="990"/>
      <c r="E75" s="990"/>
      <c r="F75" s="990"/>
      <c r="G75" s="990"/>
      <c r="H75" s="990"/>
      <c r="I75" s="990"/>
      <c r="J75" s="990"/>
      <c r="K75" s="990"/>
      <c r="L75" s="990"/>
      <c r="M75" s="990"/>
      <c r="N75" s="990"/>
      <c r="O75" s="991"/>
      <c r="P75" s="935" t="s">
        <v>2321</v>
      </c>
      <c r="Q75" s="937"/>
      <c r="R75" s="937"/>
      <c r="S75" s="937"/>
      <c r="T75" s="937"/>
      <c r="U75" s="937"/>
      <c r="V75" s="937"/>
      <c r="W75" s="937"/>
      <c r="X75" s="937"/>
      <c r="Y75" s="937"/>
      <c r="Z75" s="937"/>
      <c r="AA75" s="937"/>
      <c r="AB75" s="937"/>
      <c r="AC75" s="937"/>
      <c r="AD75" s="937"/>
      <c r="AE75" s="937"/>
      <c r="AF75" s="937"/>
      <c r="AG75" s="937"/>
      <c r="AH75" s="937"/>
      <c r="AI75" s="937"/>
      <c r="AJ75" s="937"/>
      <c r="AK75" s="936"/>
    </row>
    <row r="76" spans="1:37" ht="11.85" customHeight="1" x14ac:dyDescent="0.25">
      <c r="A76" s="983" t="s">
        <v>2322</v>
      </c>
      <c r="B76" s="984"/>
      <c r="C76" s="984"/>
      <c r="D76" s="984"/>
      <c r="E76" s="984"/>
      <c r="F76" s="984"/>
      <c r="G76" s="984"/>
      <c r="H76" s="984"/>
      <c r="I76" s="984"/>
      <c r="J76" s="984"/>
      <c r="K76" s="984"/>
      <c r="L76" s="984"/>
      <c r="M76" s="984"/>
      <c r="N76" s="984"/>
      <c r="O76" s="985"/>
      <c r="P76" s="935" t="s">
        <v>2321</v>
      </c>
      <c r="Q76" s="937"/>
      <c r="R76" s="937"/>
      <c r="S76" s="937"/>
      <c r="T76" s="937"/>
      <c r="U76" s="937"/>
      <c r="V76" s="937"/>
      <c r="W76" s="937"/>
      <c r="X76" s="937"/>
      <c r="Y76" s="937"/>
      <c r="Z76" s="937"/>
      <c r="AA76" s="937"/>
      <c r="AB76" s="937"/>
      <c r="AC76" s="937"/>
      <c r="AD76" s="937"/>
      <c r="AE76" s="937"/>
      <c r="AF76" s="937"/>
      <c r="AG76" s="937"/>
      <c r="AH76" s="937"/>
      <c r="AI76" s="937"/>
      <c r="AJ76" s="937"/>
      <c r="AK76" s="936"/>
    </row>
    <row r="77" spans="1:37" ht="17.100000000000001" customHeight="1" x14ac:dyDescent="0.25">
      <c r="A77" s="950" t="s">
        <v>2323</v>
      </c>
      <c r="B77" s="951"/>
      <c r="C77" s="951"/>
      <c r="D77" s="951"/>
      <c r="E77" s="951"/>
      <c r="F77" s="951"/>
      <c r="G77" s="951"/>
      <c r="H77" s="951"/>
      <c r="I77" s="951"/>
      <c r="J77" s="951"/>
      <c r="K77" s="951"/>
      <c r="L77" s="951"/>
      <c r="M77" s="951"/>
      <c r="N77" s="951"/>
      <c r="O77" s="952"/>
      <c r="P77" s="922" t="s">
        <v>2324</v>
      </c>
      <c r="Q77" s="923"/>
      <c r="R77" s="923"/>
      <c r="S77" s="923"/>
      <c r="T77" s="923"/>
      <c r="U77" s="923"/>
      <c r="V77" s="924"/>
      <c r="W77" s="922" t="s">
        <v>825</v>
      </c>
      <c r="X77" s="923"/>
      <c r="Y77" s="923"/>
      <c r="Z77" s="923"/>
      <c r="AA77" s="923"/>
      <c r="AB77" s="923"/>
      <c r="AC77" s="923"/>
      <c r="AD77" s="923"/>
      <c r="AE77" s="924"/>
      <c r="AF77" s="922" t="s">
        <v>2325</v>
      </c>
      <c r="AG77" s="923"/>
      <c r="AH77" s="923"/>
      <c r="AI77" s="923"/>
      <c r="AJ77" s="923"/>
      <c r="AK77" s="924"/>
    </row>
    <row r="78" spans="1:37" ht="17.850000000000001" customHeight="1" x14ac:dyDescent="0.25">
      <c r="A78" s="941" t="s">
        <v>2326</v>
      </c>
      <c r="B78" s="942"/>
      <c r="C78" s="942"/>
      <c r="D78" s="942"/>
      <c r="E78" s="942"/>
      <c r="F78" s="942"/>
      <c r="G78" s="942"/>
      <c r="H78" s="942"/>
      <c r="I78" s="942"/>
      <c r="J78" s="942"/>
      <c r="K78" s="942"/>
      <c r="L78" s="942"/>
      <c r="M78" s="942"/>
      <c r="N78" s="942"/>
      <c r="O78" s="943"/>
      <c r="P78" s="922" t="s">
        <v>825</v>
      </c>
      <c r="Q78" s="923"/>
      <c r="R78" s="923"/>
      <c r="S78" s="923"/>
      <c r="T78" s="923"/>
      <c r="U78" s="923"/>
      <c r="V78" s="924"/>
      <c r="W78" s="1012"/>
      <c r="X78" s="1013"/>
      <c r="Y78" s="1013"/>
      <c r="Z78" s="1013"/>
      <c r="AA78" s="1013"/>
      <c r="AB78" s="1013"/>
      <c r="AC78" s="1013"/>
      <c r="AD78" s="1013"/>
      <c r="AE78" s="1014"/>
      <c r="AF78" s="1012"/>
      <c r="AG78" s="1013"/>
      <c r="AH78" s="1013"/>
      <c r="AI78" s="1013"/>
      <c r="AJ78" s="1013"/>
      <c r="AK78" s="1014"/>
    </row>
    <row r="79" spans="1:37" ht="17.100000000000001" customHeight="1" x14ac:dyDescent="0.25">
      <c r="A79" s="925" t="s">
        <v>2327</v>
      </c>
      <c r="B79" s="926"/>
      <c r="C79" s="926"/>
      <c r="D79" s="926"/>
      <c r="E79" s="926"/>
      <c r="F79" s="926"/>
      <c r="G79" s="926"/>
      <c r="H79" s="926"/>
      <c r="I79" s="926"/>
      <c r="J79" s="926"/>
      <c r="K79" s="926"/>
      <c r="L79" s="926"/>
      <c r="M79" s="926"/>
      <c r="N79" s="926"/>
      <c r="O79" s="927"/>
      <c r="P79" s="918" t="s">
        <v>2328</v>
      </c>
      <c r="Q79" s="919"/>
      <c r="R79" s="919"/>
      <c r="S79" s="919"/>
      <c r="T79" s="919"/>
      <c r="U79" s="919"/>
      <c r="V79" s="920"/>
      <c r="W79" s="918" t="s">
        <v>825</v>
      </c>
      <c r="X79" s="919"/>
      <c r="Y79" s="919"/>
      <c r="Z79" s="919"/>
      <c r="AA79" s="919"/>
      <c r="AB79" s="919"/>
      <c r="AC79" s="919"/>
      <c r="AD79" s="919"/>
      <c r="AE79" s="920"/>
      <c r="AF79" s="1012"/>
      <c r="AG79" s="1013"/>
      <c r="AH79" s="1013"/>
      <c r="AI79" s="1013"/>
      <c r="AJ79" s="1013"/>
      <c r="AK79" s="1014"/>
    </row>
    <row r="80" spans="1:37" ht="11.85" customHeight="1" x14ac:dyDescent="0.25">
      <c r="A80" s="819"/>
      <c r="B80" s="819"/>
      <c r="C80" s="819"/>
      <c r="D80" s="819"/>
      <c r="E80" s="819"/>
      <c r="F80" s="819"/>
      <c r="G80" s="819"/>
      <c r="H80" s="819"/>
      <c r="I80" s="819"/>
      <c r="J80" s="819"/>
      <c r="K80" s="819"/>
      <c r="L80" s="819"/>
      <c r="M80" s="819"/>
      <c r="N80" s="819"/>
      <c r="O80" s="819"/>
      <c r="P80" s="819"/>
      <c r="Q80" s="819"/>
      <c r="R80" s="819"/>
      <c r="S80" s="819"/>
      <c r="T80" s="819"/>
      <c r="U80" s="819"/>
      <c r="V80" s="819"/>
      <c r="W80" s="819"/>
      <c r="X80" s="819"/>
      <c r="Y80" s="819"/>
      <c r="Z80" s="819"/>
      <c r="AA80" s="819"/>
      <c r="AB80" s="819"/>
      <c r="AC80" s="819"/>
      <c r="AD80" s="819"/>
      <c r="AE80" s="819"/>
      <c r="AF80" s="819"/>
      <c r="AG80" s="819"/>
      <c r="AH80" s="819"/>
      <c r="AI80" s="819"/>
      <c r="AJ80" s="819"/>
      <c r="AK80" s="819"/>
    </row>
    <row r="81" spans="1:37" ht="11.85" customHeight="1" x14ac:dyDescent="0.25">
      <c r="A81" s="974" t="s">
        <v>2329</v>
      </c>
      <c r="B81" s="975"/>
      <c r="C81" s="975"/>
      <c r="D81" s="975"/>
      <c r="E81" s="975"/>
      <c r="F81" s="975"/>
      <c r="G81" s="975"/>
      <c r="H81" s="975"/>
      <c r="I81" s="975"/>
      <c r="J81" s="975"/>
      <c r="K81" s="975"/>
      <c r="L81" s="975"/>
      <c r="M81" s="976"/>
      <c r="N81" s="965" t="s">
        <v>2330</v>
      </c>
      <c r="O81" s="971"/>
      <c r="P81" s="971"/>
      <c r="Q81" s="971"/>
      <c r="R81" s="971"/>
      <c r="S81" s="971"/>
      <c r="T81" s="971"/>
      <c r="U81" s="971"/>
      <c r="V81" s="971"/>
      <c r="W81" s="971"/>
      <c r="X81" s="971"/>
      <c r="Y81" s="971"/>
      <c r="Z81" s="971"/>
      <c r="AA81" s="971"/>
      <c r="AB81" s="971"/>
      <c r="AC81" s="971"/>
      <c r="AD81" s="971"/>
      <c r="AE81" s="971"/>
      <c r="AF81" s="971"/>
      <c r="AG81" s="971"/>
      <c r="AH81" s="971"/>
      <c r="AI81" s="971"/>
      <c r="AJ81" s="971"/>
      <c r="AK81" s="972"/>
    </row>
    <row r="82" spans="1:37" ht="17.850000000000001" customHeight="1" x14ac:dyDescent="0.25">
      <c r="A82" s="1004"/>
      <c r="B82" s="1005"/>
      <c r="C82" s="1005"/>
      <c r="D82" s="1005"/>
      <c r="E82" s="1005"/>
      <c r="F82" s="1005"/>
      <c r="G82" s="1005"/>
      <c r="H82" s="1005"/>
      <c r="I82" s="1005"/>
      <c r="J82" s="1005"/>
      <c r="K82" s="1005"/>
      <c r="L82" s="1005"/>
      <c r="M82" s="1006"/>
      <c r="N82" s="965" t="s">
        <v>2331</v>
      </c>
      <c r="O82" s="966"/>
      <c r="P82" s="966"/>
      <c r="Q82" s="966"/>
      <c r="R82" s="966"/>
      <c r="S82" s="966"/>
      <c r="T82" s="967"/>
      <c r="U82" s="965" t="s">
        <v>2332</v>
      </c>
      <c r="V82" s="971"/>
      <c r="W82" s="971"/>
      <c r="X82" s="971"/>
      <c r="Y82" s="971"/>
      <c r="Z82" s="971"/>
      <c r="AA82" s="971"/>
      <c r="AB82" s="971"/>
      <c r="AC82" s="971"/>
      <c r="AD82" s="971"/>
      <c r="AE82" s="972"/>
      <c r="AF82" s="965" t="s">
        <v>2333</v>
      </c>
      <c r="AG82" s="966"/>
      <c r="AH82" s="966"/>
      <c r="AI82" s="966"/>
      <c r="AJ82" s="966"/>
      <c r="AK82" s="967"/>
    </row>
    <row r="83" spans="1:37" ht="22.9" customHeight="1" x14ac:dyDescent="0.25">
      <c r="A83" s="977"/>
      <c r="B83" s="978"/>
      <c r="C83" s="978"/>
      <c r="D83" s="978"/>
      <c r="E83" s="978"/>
      <c r="F83" s="978"/>
      <c r="G83" s="978"/>
      <c r="H83" s="978"/>
      <c r="I83" s="978"/>
      <c r="J83" s="978"/>
      <c r="K83" s="978"/>
      <c r="L83" s="978"/>
      <c r="M83" s="979"/>
      <c r="N83" s="968"/>
      <c r="O83" s="969"/>
      <c r="P83" s="969"/>
      <c r="Q83" s="969"/>
      <c r="R83" s="969"/>
      <c r="S83" s="969"/>
      <c r="T83" s="970"/>
      <c r="U83" s="965" t="s">
        <v>2334</v>
      </c>
      <c r="V83" s="971"/>
      <c r="W83" s="972"/>
      <c r="X83" s="965" t="s">
        <v>2335</v>
      </c>
      <c r="Y83" s="971"/>
      <c r="Z83" s="971"/>
      <c r="AA83" s="972"/>
      <c r="AB83" s="965" t="s">
        <v>2336</v>
      </c>
      <c r="AC83" s="971"/>
      <c r="AD83" s="971"/>
      <c r="AE83" s="972"/>
      <c r="AF83" s="968"/>
      <c r="AG83" s="969"/>
      <c r="AH83" s="969"/>
      <c r="AI83" s="969"/>
      <c r="AJ83" s="969"/>
      <c r="AK83" s="970"/>
    </row>
    <row r="84" spans="1:37" ht="11.85" customHeight="1" x14ac:dyDescent="0.25">
      <c r="A84" s="989" t="s">
        <v>2337</v>
      </c>
      <c r="B84" s="990"/>
      <c r="C84" s="990"/>
      <c r="D84" s="990"/>
      <c r="E84" s="990"/>
      <c r="F84" s="990"/>
      <c r="G84" s="990"/>
      <c r="H84" s="990"/>
      <c r="I84" s="990"/>
      <c r="J84" s="990"/>
      <c r="K84" s="990"/>
      <c r="L84" s="990"/>
      <c r="M84" s="991"/>
      <c r="N84" s="1009"/>
      <c r="O84" s="1010"/>
      <c r="P84" s="1010"/>
      <c r="Q84" s="1010"/>
      <c r="R84" s="1010"/>
      <c r="S84" s="1010"/>
      <c r="T84" s="1011"/>
      <c r="U84" s="1009"/>
      <c r="V84" s="1010"/>
      <c r="W84" s="1011"/>
      <c r="X84" s="1009"/>
      <c r="Y84" s="1010"/>
      <c r="Z84" s="1010"/>
      <c r="AA84" s="1011"/>
      <c r="AB84" s="1009"/>
      <c r="AC84" s="1010"/>
      <c r="AD84" s="1010"/>
      <c r="AE84" s="1011"/>
      <c r="AF84" s="962" t="s">
        <v>825</v>
      </c>
      <c r="AG84" s="964"/>
      <c r="AH84" s="964"/>
      <c r="AI84" s="964"/>
      <c r="AJ84" s="964"/>
      <c r="AK84" s="963"/>
    </row>
    <row r="85" spans="1:37" ht="11.85" customHeight="1" x14ac:dyDescent="0.25">
      <c r="A85" s="983" t="s">
        <v>2338</v>
      </c>
      <c r="B85" s="984"/>
      <c r="C85" s="984"/>
      <c r="D85" s="984"/>
      <c r="E85" s="984"/>
      <c r="F85" s="984"/>
      <c r="G85" s="984"/>
      <c r="H85" s="984"/>
      <c r="I85" s="984"/>
      <c r="J85" s="984"/>
      <c r="K85" s="984"/>
      <c r="L85" s="984"/>
      <c r="M85" s="985"/>
      <c r="N85" s="962" t="s">
        <v>825</v>
      </c>
      <c r="O85" s="964"/>
      <c r="P85" s="964"/>
      <c r="Q85" s="964"/>
      <c r="R85" s="964"/>
      <c r="S85" s="964"/>
      <c r="T85" s="963"/>
      <c r="U85" s="962" t="s">
        <v>825</v>
      </c>
      <c r="V85" s="964"/>
      <c r="W85" s="963"/>
      <c r="X85" s="962" t="s">
        <v>825</v>
      </c>
      <c r="Y85" s="964"/>
      <c r="Z85" s="964"/>
      <c r="AA85" s="963"/>
      <c r="AB85" s="962" t="s">
        <v>825</v>
      </c>
      <c r="AC85" s="964"/>
      <c r="AD85" s="964"/>
      <c r="AE85" s="963"/>
      <c r="AF85" s="953" t="s">
        <v>825</v>
      </c>
      <c r="AG85" s="955"/>
      <c r="AH85" s="955"/>
      <c r="AI85" s="955"/>
      <c r="AJ85" s="955"/>
      <c r="AK85" s="954"/>
    </row>
    <row r="86" spans="1:37" ht="11.1" customHeight="1" x14ac:dyDescent="0.25">
      <c r="A86" s="986" t="s">
        <v>2339</v>
      </c>
      <c r="B86" s="987"/>
      <c r="C86" s="987"/>
      <c r="D86" s="987"/>
      <c r="E86" s="987"/>
      <c r="F86" s="987"/>
      <c r="G86" s="987"/>
      <c r="H86" s="987"/>
      <c r="I86" s="987"/>
      <c r="J86" s="987"/>
      <c r="K86" s="987"/>
      <c r="L86" s="987"/>
      <c r="M86" s="988"/>
      <c r="N86" s="944" t="s">
        <v>825</v>
      </c>
      <c r="O86" s="946"/>
      <c r="P86" s="946"/>
      <c r="Q86" s="946"/>
      <c r="R86" s="946"/>
      <c r="S86" s="946"/>
      <c r="T86" s="945"/>
      <c r="U86" s="944" t="s">
        <v>825</v>
      </c>
      <c r="V86" s="946"/>
      <c r="W86" s="945"/>
      <c r="X86" s="944" t="s">
        <v>825</v>
      </c>
      <c r="Y86" s="946"/>
      <c r="Z86" s="946"/>
      <c r="AA86" s="945"/>
      <c r="AB86" s="944" t="s">
        <v>825</v>
      </c>
      <c r="AC86" s="946"/>
      <c r="AD86" s="946"/>
      <c r="AE86" s="945"/>
      <c r="AF86" s="944" t="s">
        <v>825</v>
      </c>
      <c r="AG86" s="946"/>
      <c r="AH86" s="946"/>
      <c r="AI86" s="946"/>
      <c r="AJ86" s="946"/>
      <c r="AK86" s="945"/>
    </row>
    <row r="87" spans="1:37" ht="11.85" customHeight="1" x14ac:dyDescent="0.25">
      <c r="A87" s="980" t="s">
        <v>2340</v>
      </c>
      <c r="B87" s="981"/>
      <c r="C87" s="981"/>
      <c r="D87" s="981"/>
      <c r="E87" s="981"/>
      <c r="F87" s="981"/>
      <c r="G87" s="981"/>
      <c r="H87" s="981"/>
      <c r="I87" s="981"/>
      <c r="J87" s="981"/>
      <c r="K87" s="981"/>
      <c r="L87" s="981"/>
      <c r="M87" s="982"/>
      <c r="N87" s="928" t="s">
        <v>825</v>
      </c>
      <c r="O87" s="930"/>
      <c r="P87" s="930"/>
      <c r="Q87" s="930"/>
      <c r="R87" s="930"/>
      <c r="S87" s="930"/>
      <c r="T87" s="929"/>
      <c r="U87" s="928" t="s">
        <v>825</v>
      </c>
      <c r="V87" s="930"/>
      <c r="W87" s="929"/>
      <c r="X87" s="928" t="s">
        <v>825</v>
      </c>
      <c r="Y87" s="930"/>
      <c r="Z87" s="930"/>
      <c r="AA87" s="929"/>
      <c r="AB87" s="928" t="s">
        <v>825</v>
      </c>
      <c r="AC87" s="930"/>
      <c r="AD87" s="930"/>
      <c r="AE87" s="929"/>
      <c r="AF87" s="928" t="s">
        <v>825</v>
      </c>
      <c r="AG87" s="930"/>
      <c r="AH87" s="930"/>
      <c r="AI87" s="930"/>
      <c r="AJ87" s="930"/>
      <c r="AK87" s="929"/>
    </row>
    <row r="88" spans="1:37" ht="11.85" customHeight="1" x14ac:dyDescent="0.25">
      <c r="A88" s="921"/>
      <c r="B88" s="921"/>
      <c r="C88" s="921"/>
      <c r="D88" s="921"/>
      <c r="E88" s="921"/>
      <c r="F88" s="921"/>
      <c r="G88" s="921"/>
      <c r="H88" s="921"/>
      <c r="I88" s="921"/>
      <c r="J88" s="921"/>
      <c r="K88" s="921"/>
      <c r="L88" s="921"/>
      <c r="M88" s="921"/>
      <c r="N88" s="921"/>
      <c r="O88" s="921"/>
      <c r="P88" s="921"/>
      <c r="Q88" s="921"/>
      <c r="R88" s="921"/>
      <c r="S88" s="921"/>
      <c r="T88" s="921"/>
      <c r="U88" s="921"/>
      <c r="V88" s="921"/>
      <c r="W88" s="921"/>
      <c r="X88" s="921"/>
      <c r="Y88" s="921"/>
      <c r="Z88" s="921"/>
      <c r="AA88" s="921"/>
      <c r="AB88" s="921"/>
      <c r="AC88" s="921"/>
      <c r="AD88" s="921"/>
      <c r="AE88" s="921"/>
      <c r="AF88" s="921"/>
      <c r="AG88" s="921"/>
      <c r="AH88" s="921"/>
      <c r="AI88" s="921"/>
      <c r="AJ88" s="921"/>
      <c r="AK88" s="921"/>
    </row>
    <row r="89" spans="1:37" ht="17.100000000000001" customHeight="1" x14ac:dyDescent="0.25"/>
    <row r="90" spans="1:37" ht="11.85" customHeight="1" x14ac:dyDescent="0.25">
      <c r="A90" s="803" t="s">
        <v>2274</v>
      </c>
      <c r="B90" s="803"/>
      <c r="C90" s="803"/>
      <c r="D90" s="803"/>
      <c r="E90" s="803"/>
      <c r="F90" s="803"/>
      <c r="G90" s="803"/>
      <c r="H90" s="803"/>
      <c r="I90" s="803"/>
      <c r="J90" s="803"/>
      <c r="K90" s="803"/>
      <c r="L90" s="803"/>
      <c r="M90" s="803"/>
      <c r="N90" s="803"/>
      <c r="O90" s="803"/>
      <c r="P90" s="803"/>
      <c r="Q90" s="803"/>
      <c r="R90" s="803"/>
      <c r="S90" s="803"/>
      <c r="T90" s="803"/>
      <c r="U90" s="803"/>
      <c r="V90" s="803"/>
      <c r="W90" s="803"/>
      <c r="X90" s="803"/>
      <c r="Y90" s="803"/>
      <c r="Z90" s="803"/>
      <c r="AA90" s="803"/>
      <c r="AB90" s="803"/>
      <c r="AC90" s="803"/>
      <c r="AD90" s="803"/>
      <c r="AE90" s="803"/>
      <c r="AF90" s="803"/>
      <c r="AG90" s="803"/>
      <c r="AH90" s="803"/>
      <c r="AI90" s="803"/>
      <c r="AJ90" s="803"/>
    </row>
    <row r="91" spans="1:37" ht="5.85" customHeight="1" x14ac:dyDescent="0.25"/>
    <row r="92" spans="1:37" ht="11.85" customHeight="1" x14ac:dyDescent="0.25">
      <c r="A92" s="856" t="s">
        <v>833</v>
      </c>
      <c r="B92" s="856"/>
      <c r="C92" s="856"/>
      <c r="D92" s="856"/>
      <c r="E92" s="856"/>
      <c r="F92" s="856"/>
      <c r="G92" s="856"/>
      <c r="H92" s="856"/>
      <c r="AJ92" s="586" t="s">
        <v>1931</v>
      </c>
    </row>
    <row r="93" spans="1:37" ht="11.1" customHeight="1" x14ac:dyDescent="0.25">
      <c r="A93" s="856" t="s">
        <v>824</v>
      </c>
      <c r="B93" s="856"/>
      <c r="C93" s="856"/>
      <c r="D93" s="856"/>
      <c r="E93" s="856"/>
      <c r="F93" s="856"/>
      <c r="G93" s="856"/>
      <c r="H93" s="856"/>
    </row>
    <row r="94" spans="1:37" ht="11.85" customHeight="1" x14ac:dyDescent="0.25">
      <c r="A94" s="861" t="s">
        <v>2160</v>
      </c>
      <c r="B94" s="861"/>
      <c r="C94" s="861"/>
      <c r="D94" s="861"/>
      <c r="E94" s="861"/>
      <c r="F94" s="861"/>
      <c r="G94" s="861"/>
      <c r="H94" s="861"/>
    </row>
    <row r="95" spans="1:37" ht="11.85" customHeight="1" x14ac:dyDescent="0.25">
      <c r="A95" s="856" t="s">
        <v>832</v>
      </c>
      <c r="B95" s="856"/>
      <c r="C95" s="856"/>
      <c r="D95" s="856"/>
      <c r="E95" s="856"/>
      <c r="F95" s="856"/>
      <c r="G95" s="856"/>
      <c r="H95" s="856"/>
    </row>
    <row r="96" spans="1:37" ht="11.85" customHeight="1" x14ac:dyDescent="0.25">
      <c r="A96" s="856" t="s">
        <v>2161</v>
      </c>
      <c r="B96" s="856"/>
      <c r="C96" s="856"/>
      <c r="D96" s="856"/>
      <c r="E96" s="856"/>
      <c r="F96" s="856"/>
      <c r="G96" s="856"/>
      <c r="H96" s="856"/>
    </row>
    <row r="97" spans="1:37" ht="5.85" customHeight="1" x14ac:dyDescent="0.25"/>
    <row r="98" spans="1:37" ht="11.1" customHeight="1" x14ac:dyDescent="0.25">
      <c r="A98" s="973" t="s">
        <v>2162</v>
      </c>
      <c r="B98" s="973"/>
      <c r="C98" s="973"/>
      <c r="D98" s="973"/>
      <c r="E98" s="973"/>
      <c r="F98" s="973"/>
      <c r="G98" s="973"/>
      <c r="H98" s="973"/>
      <c r="I98" s="550"/>
      <c r="J98" s="550"/>
      <c r="K98" s="550"/>
      <c r="L98" s="550"/>
      <c r="M98" s="550"/>
      <c r="N98" s="550"/>
      <c r="O98" s="550"/>
      <c r="P98" s="550"/>
      <c r="Q98" s="550"/>
      <c r="R98" s="550"/>
      <c r="S98" s="550"/>
      <c r="T98" s="550"/>
      <c r="U98" s="550"/>
      <c r="V98" s="550"/>
      <c r="W98" s="550"/>
      <c r="X98" s="550"/>
      <c r="Y98" s="550"/>
      <c r="Z98" s="550"/>
      <c r="AA98" s="550"/>
      <c r="AB98" s="550"/>
      <c r="AC98" s="550"/>
      <c r="AD98" s="550"/>
      <c r="AE98" s="550"/>
      <c r="AF98" s="550"/>
      <c r="AG98" s="550"/>
      <c r="AH98" s="550"/>
      <c r="AI98" s="550"/>
      <c r="AJ98" s="550"/>
      <c r="AK98" s="550"/>
    </row>
    <row r="99" spans="1:37" ht="17.850000000000001" customHeight="1" x14ac:dyDescent="0.25">
      <c r="A99" s="804" t="s">
        <v>2341</v>
      </c>
      <c r="B99" s="825"/>
      <c r="C99" s="825"/>
      <c r="D99" s="825"/>
      <c r="E99" s="825"/>
      <c r="F99" s="825"/>
      <c r="G99" s="825"/>
      <c r="H99" s="825"/>
      <c r="I99" s="825"/>
      <c r="J99" s="825"/>
      <c r="K99" s="825"/>
      <c r="L99" s="825"/>
      <c r="M99" s="825"/>
      <c r="N99" s="825"/>
      <c r="O99" s="825"/>
      <c r="P99" s="825"/>
      <c r="Q99" s="825"/>
      <c r="R99" s="825"/>
      <c r="S99" s="825"/>
      <c r="T99" s="825"/>
      <c r="U99" s="825"/>
      <c r="V99" s="825"/>
      <c r="W99" s="825"/>
      <c r="X99" s="825"/>
      <c r="Y99" s="825"/>
      <c r="Z99" s="825"/>
      <c r="AA99" s="825"/>
      <c r="AB99" s="825"/>
      <c r="AC99" s="825"/>
      <c r="AD99" s="825"/>
      <c r="AE99" s="825"/>
      <c r="AF99" s="825"/>
      <c r="AG99" s="825"/>
      <c r="AH99" s="825"/>
      <c r="AI99" s="825"/>
      <c r="AJ99" s="825"/>
      <c r="AK99" s="805"/>
    </row>
    <row r="100" spans="1:37" ht="40.700000000000003" customHeight="1" x14ac:dyDescent="0.25">
      <c r="A100" s="992" t="s">
        <v>2342</v>
      </c>
      <c r="B100" s="1008"/>
      <c r="C100" s="587" t="s">
        <v>2343</v>
      </c>
      <c r="D100" s="587" t="s">
        <v>2344</v>
      </c>
      <c r="E100" s="965" t="s">
        <v>2345</v>
      </c>
      <c r="F100" s="972"/>
      <c r="G100" s="965" t="s">
        <v>2346</v>
      </c>
      <c r="H100" s="971"/>
      <c r="I100" s="972"/>
      <c r="J100" s="965" t="s">
        <v>2347</v>
      </c>
      <c r="K100" s="971"/>
      <c r="L100" s="971"/>
      <c r="M100" s="971"/>
      <c r="N100" s="972"/>
      <c r="O100" s="965" t="s">
        <v>2348</v>
      </c>
      <c r="P100" s="971"/>
      <c r="Q100" s="971"/>
      <c r="R100" s="971"/>
      <c r="S100" s="972"/>
      <c r="T100" s="965" t="s">
        <v>2349</v>
      </c>
      <c r="U100" s="971"/>
      <c r="V100" s="971"/>
      <c r="W100" s="972"/>
      <c r="X100" s="965" t="s">
        <v>2350</v>
      </c>
      <c r="Y100" s="971"/>
      <c r="Z100" s="971"/>
      <c r="AA100" s="971"/>
      <c r="AB100" s="971"/>
      <c r="AC100" s="972"/>
      <c r="AD100" s="965" t="s">
        <v>2351</v>
      </c>
      <c r="AE100" s="971"/>
      <c r="AF100" s="971"/>
      <c r="AG100" s="972"/>
      <c r="AH100" s="965" t="s">
        <v>2352</v>
      </c>
      <c r="AI100" s="971"/>
      <c r="AJ100" s="971"/>
      <c r="AK100" s="972"/>
    </row>
    <row r="101" spans="1:37" ht="11.85" customHeight="1" x14ac:dyDescent="0.25">
      <c r="A101" s="989" t="s">
        <v>2353</v>
      </c>
      <c r="B101" s="991"/>
      <c r="C101" s="588" t="s">
        <v>2321</v>
      </c>
      <c r="D101" s="588" t="s">
        <v>1114</v>
      </c>
      <c r="E101" s="962" t="s">
        <v>2324</v>
      </c>
      <c r="F101" s="963"/>
      <c r="G101" s="962" t="s">
        <v>825</v>
      </c>
      <c r="H101" s="964"/>
      <c r="I101" s="963"/>
      <c r="J101" s="962" t="s">
        <v>825</v>
      </c>
      <c r="K101" s="964"/>
      <c r="L101" s="964"/>
      <c r="M101" s="964"/>
      <c r="N101" s="963"/>
      <c r="O101" s="962" t="s">
        <v>825</v>
      </c>
      <c r="P101" s="964"/>
      <c r="Q101" s="964"/>
      <c r="R101" s="964"/>
      <c r="S101" s="963"/>
      <c r="T101" s="962" t="s">
        <v>825</v>
      </c>
      <c r="U101" s="964"/>
      <c r="V101" s="964"/>
      <c r="W101" s="963"/>
      <c r="X101" s="962" t="s">
        <v>825</v>
      </c>
      <c r="Y101" s="964"/>
      <c r="Z101" s="964"/>
      <c r="AA101" s="964"/>
      <c r="AB101" s="964"/>
      <c r="AC101" s="963"/>
      <c r="AD101" s="962" t="s">
        <v>825</v>
      </c>
      <c r="AE101" s="964"/>
      <c r="AF101" s="964"/>
      <c r="AG101" s="963"/>
      <c r="AH101" s="962" t="s">
        <v>2324</v>
      </c>
      <c r="AI101" s="964"/>
      <c r="AJ101" s="964"/>
      <c r="AK101" s="963"/>
    </row>
    <row r="102" spans="1:37" ht="11.85" customHeight="1" x14ac:dyDescent="0.25">
      <c r="A102" s="983" t="s">
        <v>2354</v>
      </c>
      <c r="B102" s="985"/>
      <c r="C102" s="589" t="s">
        <v>825</v>
      </c>
      <c r="D102" s="589" t="s">
        <v>825</v>
      </c>
      <c r="E102" s="953" t="s">
        <v>825</v>
      </c>
      <c r="F102" s="954"/>
      <c r="G102" s="953" t="s">
        <v>825</v>
      </c>
      <c r="H102" s="955"/>
      <c r="I102" s="954"/>
      <c r="J102" s="953" t="s">
        <v>825</v>
      </c>
      <c r="K102" s="955"/>
      <c r="L102" s="955"/>
      <c r="M102" s="955"/>
      <c r="N102" s="954"/>
      <c r="O102" s="953" t="s">
        <v>825</v>
      </c>
      <c r="P102" s="955"/>
      <c r="Q102" s="955"/>
      <c r="R102" s="955"/>
      <c r="S102" s="954"/>
      <c r="T102" s="953" t="s">
        <v>825</v>
      </c>
      <c r="U102" s="955"/>
      <c r="V102" s="955"/>
      <c r="W102" s="954"/>
      <c r="X102" s="953" t="s">
        <v>825</v>
      </c>
      <c r="Y102" s="955"/>
      <c r="Z102" s="955"/>
      <c r="AA102" s="955"/>
      <c r="AB102" s="955"/>
      <c r="AC102" s="954"/>
      <c r="AD102" s="953" t="s">
        <v>825</v>
      </c>
      <c r="AE102" s="955"/>
      <c r="AF102" s="955"/>
      <c r="AG102" s="954"/>
      <c r="AH102" s="953" t="s">
        <v>825</v>
      </c>
      <c r="AI102" s="955"/>
      <c r="AJ102" s="955"/>
      <c r="AK102" s="954"/>
    </row>
    <row r="103" spans="1:37" ht="11.1" customHeight="1" x14ac:dyDescent="0.25">
      <c r="A103" s="983" t="s">
        <v>2355</v>
      </c>
      <c r="B103" s="985"/>
      <c r="C103" s="589" t="s">
        <v>825</v>
      </c>
      <c r="D103" s="589" t="s">
        <v>825</v>
      </c>
      <c r="E103" s="953" t="s">
        <v>825</v>
      </c>
      <c r="F103" s="954"/>
      <c r="G103" s="953" t="s">
        <v>825</v>
      </c>
      <c r="H103" s="955"/>
      <c r="I103" s="954"/>
      <c r="J103" s="953" t="s">
        <v>825</v>
      </c>
      <c r="K103" s="955"/>
      <c r="L103" s="955"/>
      <c r="M103" s="955"/>
      <c r="N103" s="954"/>
      <c r="O103" s="953" t="s">
        <v>825</v>
      </c>
      <c r="P103" s="955"/>
      <c r="Q103" s="955"/>
      <c r="R103" s="955"/>
      <c r="S103" s="954"/>
      <c r="T103" s="953" t="s">
        <v>825</v>
      </c>
      <c r="U103" s="955"/>
      <c r="V103" s="955"/>
      <c r="W103" s="954"/>
      <c r="X103" s="953" t="s">
        <v>825</v>
      </c>
      <c r="Y103" s="955"/>
      <c r="Z103" s="955"/>
      <c r="AA103" s="955"/>
      <c r="AB103" s="955"/>
      <c r="AC103" s="954"/>
      <c r="AD103" s="953" t="s">
        <v>825</v>
      </c>
      <c r="AE103" s="955"/>
      <c r="AF103" s="955"/>
      <c r="AG103" s="954"/>
      <c r="AH103" s="953" t="s">
        <v>825</v>
      </c>
      <c r="AI103" s="955"/>
      <c r="AJ103" s="955"/>
      <c r="AK103" s="954"/>
    </row>
    <row r="104" spans="1:37" ht="11.85" customHeight="1" x14ac:dyDescent="0.25">
      <c r="A104" s="983" t="s">
        <v>2356</v>
      </c>
      <c r="B104" s="985"/>
      <c r="C104" s="589" t="s">
        <v>825</v>
      </c>
      <c r="D104" s="589" t="s">
        <v>825</v>
      </c>
      <c r="E104" s="953" t="s">
        <v>825</v>
      </c>
      <c r="F104" s="954"/>
      <c r="G104" s="953" t="s">
        <v>825</v>
      </c>
      <c r="H104" s="955"/>
      <c r="I104" s="954"/>
      <c r="J104" s="953" t="s">
        <v>825</v>
      </c>
      <c r="K104" s="955"/>
      <c r="L104" s="955"/>
      <c r="M104" s="955"/>
      <c r="N104" s="954"/>
      <c r="O104" s="953" t="s">
        <v>825</v>
      </c>
      <c r="P104" s="955"/>
      <c r="Q104" s="955"/>
      <c r="R104" s="955"/>
      <c r="S104" s="954"/>
      <c r="T104" s="953" t="s">
        <v>825</v>
      </c>
      <c r="U104" s="955"/>
      <c r="V104" s="955"/>
      <c r="W104" s="954"/>
      <c r="X104" s="953" t="s">
        <v>825</v>
      </c>
      <c r="Y104" s="955"/>
      <c r="Z104" s="955"/>
      <c r="AA104" s="955"/>
      <c r="AB104" s="955"/>
      <c r="AC104" s="954"/>
      <c r="AD104" s="953" t="s">
        <v>825</v>
      </c>
      <c r="AE104" s="955"/>
      <c r="AF104" s="955"/>
      <c r="AG104" s="954"/>
      <c r="AH104" s="953" t="s">
        <v>825</v>
      </c>
      <c r="AI104" s="955"/>
      <c r="AJ104" s="955"/>
      <c r="AK104" s="954"/>
    </row>
    <row r="105" spans="1:37" ht="11.85" customHeight="1" x14ac:dyDescent="0.25">
      <c r="A105" s="983" t="s">
        <v>2357</v>
      </c>
      <c r="B105" s="985"/>
      <c r="C105" s="589" t="s">
        <v>825</v>
      </c>
      <c r="D105" s="589" t="s">
        <v>825</v>
      </c>
      <c r="E105" s="953" t="s">
        <v>825</v>
      </c>
      <c r="F105" s="954"/>
      <c r="G105" s="953" t="s">
        <v>825</v>
      </c>
      <c r="H105" s="955"/>
      <c r="I105" s="954"/>
      <c r="J105" s="953" t="s">
        <v>825</v>
      </c>
      <c r="K105" s="955"/>
      <c r="L105" s="955"/>
      <c r="M105" s="955"/>
      <c r="N105" s="954"/>
      <c r="O105" s="953" t="s">
        <v>825</v>
      </c>
      <c r="P105" s="955"/>
      <c r="Q105" s="955"/>
      <c r="R105" s="955"/>
      <c r="S105" s="954"/>
      <c r="T105" s="953" t="s">
        <v>825</v>
      </c>
      <c r="U105" s="955"/>
      <c r="V105" s="955"/>
      <c r="W105" s="954"/>
      <c r="X105" s="953" t="s">
        <v>825</v>
      </c>
      <c r="Y105" s="955"/>
      <c r="Z105" s="955"/>
      <c r="AA105" s="955"/>
      <c r="AB105" s="955"/>
      <c r="AC105" s="954"/>
      <c r="AD105" s="953" t="s">
        <v>825</v>
      </c>
      <c r="AE105" s="955"/>
      <c r="AF105" s="955"/>
      <c r="AG105" s="954"/>
      <c r="AH105" s="953" t="s">
        <v>825</v>
      </c>
      <c r="AI105" s="955"/>
      <c r="AJ105" s="955"/>
      <c r="AK105" s="954"/>
    </row>
    <row r="106" spans="1:37" ht="11.85" customHeight="1" x14ac:dyDescent="0.25">
      <c r="A106" s="983" t="s">
        <v>2358</v>
      </c>
      <c r="B106" s="985"/>
      <c r="C106" s="589" t="s">
        <v>825</v>
      </c>
      <c r="D106" s="589" t="s">
        <v>825</v>
      </c>
      <c r="E106" s="953" t="s">
        <v>825</v>
      </c>
      <c r="F106" s="954"/>
      <c r="G106" s="953" t="s">
        <v>825</v>
      </c>
      <c r="H106" s="955"/>
      <c r="I106" s="954"/>
      <c r="J106" s="953" t="s">
        <v>825</v>
      </c>
      <c r="K106" s="955"/>
      <c r="L106" s="955"/>
      <c r="M106" s="955"/>
      <c r="N106" s="954"/>
      <c r="O106" s="953" t="s">
        <v>825</v>
      </c>
      <c r="P106" s="955"/>
      <c r="Q106" s="955"/>
      <c r="R106" s="955"/>
      <c r="S106" s="954"/>
      <c r="T106" s="953" t="s">
        <v>825</v>
      </c>
      <c r="U106" s="955"/>
      <c r="V106" s="955"/>
      <c r="W106" s="954"/>
      <c r="X106" s="953" t="s">
        <v>825</v>
      </c>
      <c r="Y106" s="955"/>
      <c r="Z106" s="955"/>
      <c r="AA106" s="955"/>
      <c r="AB106" s="955"/>
      <c r="AC106" s="954"/>
      <c r="AD106" s="953" t="s">
        <v>825</v>
      </c>
      <c r="AE106" s="955"/>
      <c r="AF106" s="955"/>
      <c r="AG106" s="954"/>
      <c r="AH106" s="953" t="s">
        <v>825</v>
      </c>
      <c r="AI106" s="955"/>
      <c r="AJ106" s="955"/>
      <c r="AK106" s="954"/>
    </row>
    <row r="107" spans="1:37" ht="11.1" customHeight="1" x14ac:dyDescent="0.25">
      <c r="A107" s="983" t="s">
        <v>2359</v>
      </c>
      <c r="B107" s="985"/>
      <c r="C107" s="589" t="s">
        <v>825</v>
      </c>
      <c r="D107" s="589" t="s">
        <v>825</v>
      </c>
      <c r="E107" s="953" t="s">
        <v>825</v>
      </c>
      <c r="F107" s="954"/>
      <c r="G107" s="953" t="s">
        <v>825</v>
      </c>
      <c r="H107" s="955"/>
      <c r="I107" s="954"/>
      <c r="J107" s="953" t="s">
        <v>825</v>
      </c>
      <c r="K107" s="955"/>
      <c r="L107" s="955"/>
      <c r="M107" s="955"/>
      <c r="N107" s="954"/>
      <c r="O107" s="953" t="s">
        <v>825</v>
      </c>
      <c r="P107" s="955"/>
      <c r="Q107" s="955"/>
      <c r="R107" s="955"/>
      <c r="S107" s="954"/>
      <c r="T107" s="953" t="s">
        <v>825</v>
      </c>
      <c r="U107" s="955"/>
      <c r="V107" s="955"/>
      <c r="W107" s="954"/>
      <c r="X107" s="953" t="s">
        <v>825</v>
      </c>
      <c r="Y107" s="955"/>
      <c r="Z107" s="955"/>
      <c r="AA107" s="955"/>
      <c r="AB107" s="955"/>
      <c r="AC107" s="954"/>
      <c r="AD107" s="953" t="s">
        <v>825</v>
      </c>
      <c r="AE107" s="955"/>
      <c r="AF107" s="955"/>
      <c r="AG107" s="954"/>
      <c r="AH107" s="953" t="s">
        <v>825</v>
      </c>
      <c r="AI107" s="955"/>
      <c r="AJ107" s="955"/>
      <c r="AK107" s="954"/>
    </row>
    <row r="108" spans="1:37" ht="11.85" customHeight="1" x14ac:dyDescent="0.25">
      <c r="A108" s="983" t="s">
        <v>2360</v>
      </c>
      <c r="B108" s="985"/>
      <c r="C108" s="589" t="s">
        <v>825</v>
      </c>
      <c r="D108" s="589" t="s">
        <v>825</v>
      </c>
      <c r="E108" s="953" t="s">
        <v>825</v>
      </c>
      <c r="F108" s="954"/>
      <c r="G108" s="953" t="s">
        <v>825</v>
      </c>
      <c r="H108" s="955"/>
      <c r="I108" s="954"/>
      <c r="J108" s="953" t="s">
        <v>825</v>
      </c>
      <c r="K108" s="955"/>
      <c r="L108" s="955"/>
      <c r="M108" s="955"/>
      <c r="N108" s="954"/>
      <c r="O108" s="953" t="s">
        <v>825</v>
      </c>
      <c r="P108" s="955"/>
      <c r="Q108" s="955"/>
      <c r="R108" s="955"/>
      <c r="S108" s="954"/>
      <c r="T108" s="953" t="s">
        <v>825</v>
      </c>
      <c r="U108" s="955"/>
      <c r="V108" s="955"/>
      <c r="W108" s="954"/>
      <c r="X108" s="953" t="s">
        <v>825</v>
      </c>
      <c r="Y108" s="955"/>
      <c r="Z108" s="955"/>
      <c r="AA108" s="955"/>
      <c r="AB108" s="955"/>
      <c r="AC108" s="954"/>
      <c r="AD108" s="953" t="s">
        <v>825</v>
      </c>
      <c r="AE108" s="955"/>
      <c r="AF108" s="955"/>
      <c r="AG108" s="954"/>
      <c r="AH108" s="953" t="s">
        <v>825</v>
      </c>
      <c r="AI108" s="955"/>
      <c r="AJ108" s="955"/>
      <c r="AK108" s="954"/>
    </row>
    <row r="109" spans="1:37" ht="11.85" customHeight="1" x14ac:dyDescent="0.25">
      <c r="A109" s="986" t="s">
        <v>2361</v>
      </c>
      <c r="B109" s="988"/>
      <c r="C109" s="590" t="s">
        <v>825</v>
      </c>
      <c r="D109" s="590" t="s">
        <v>825</v>
      </c>
      <c r="E109" s="944" t="s">
        <v>825</v>
      </c>
      <c r="F109" s="945"/>
      <c r="G109" s="944" t="s">
        <v>825</v>
      </c>
      <c r="H109" s="946"/>
      <c r="I109" s="945"/>
      <c r="J109" s="944" t="s">
        <v>825</v>
      </c>
      <c r="K109" s="946"/>
      <c r="L109" s="946"/>
      <c r="M109" s="946"/>
      <c r="N109" s="945"/>
      <c r="O109" s="944" t="s">
        <v>825</v>
      </c>
      <c r="P109" s="946"/>
      <c r="Q109" s="946"/>
      <c r="R109" s="946"/>
      <c r="S109" s="945"/>
      <c r="T109" s="944" t="s">
        <v>825</v>
      </c>
      <c r="U109" s="946"/>
      <c r="V109" s="946"/>
      <c r="W109" s="945"/>
      <c r="X109" s="944" t="s">
        <v>825</v>
      </c>
      <c r="Y109" s="946"/>
      <c r="Z109" s="946"/>
      <c r="AA109" s="946"/>
      <c r="AB109" s="946"/>
      <c r="AC109" s="945"/>
      <c r="AD109" s="944" t="s">
        <v>825</v>
      </c>
      <c r="AE109" s="946"/>
      <c r="AF109" s="946"/>
      <c r="AG109" s="945"/>
      <c r="AH109" s="953" t="s">
        <v>825</v>
      </c>
      <c r="AI109" s="946"/>
      <c r="AJ109" s="946"/>
      <c r="AK109" s="954"/>
    </row>
    <row r="110" spans="1:37" ht="11.85" customHeight="1" x14ac:dyDescent="0.25">
      <c r="A110" s="1007"/>
      <c r="B110" s="819"/>
      <c r="C110" s="819"/>
      <c r="D110" s="819"/>
      <c r="E110" s="819"/>
      <c r="F110" s="819"/>
      <c r="G110" s="819"/>
      <c r="H110" s="819"/>
      <c r="I110" s="819"/>
      <c r="J110" s="819"/>
      <c r="K110" s="819"/>
      <c r="L110" s="819"/>
      <c r="M110" s="819"/>
      <c r="N110" s="819"/>
      <c r="O110" s="819"/>
      <c r="P110" s="819"/>
      <c r="Q110" s="819"/>
      <c r="R110" s="819"/>
      <c r="S110" s="819"/>
      <c r="T110" s="819"/>
      <c r="U110" s="819"/>
      <c r="V110" s="819"/>
      <c r="W110" s="819"/>
      <c r="X110" s="819"/>
      <c r="Y110" s="819"/>
      <c r="Z110" s="819"/>
      <c r="AA110" s="819"/>
      <c r="AB110" s="819"/>
      <c r="AC110" s="819"/>
      <c r="AD110" s="819"/>
      <c r="AE110" s="819"/>
      <c r="AF110" s="819"/>
      <c r="AG110" s="819"/>
      <c r="AH110" s="819"/>
      <c r="AI110" s="819"/>
      <c r="AJ110" s="819"/>
      <c r="AK110" s="1007"/>
    </row>
    <row r="111" spans="1:37" ht="11.1" customHeight="1" x14ac:dyDescent="0.25">
      <c r="A111" s="998" t="s">
        <v>2362</v>
      </c>
      <c r="B111" s="999"/>
      <c r="C111" s="999"/>
      <c r="D111" s="999"/>
      <c r="E111" s="999"/>
      <c r="F111" s="999"/>
      <c r="G111" s="999"/>
      <c r="H111" s="999"/>
      <c r="I111" s="999"/>
      <c r="J111" s="999"/>
      <c r="K111" s="999"/>
      <c r="L111" s="999"/>
      <c r="M111" s="999"/>
      <c r="N111" s="999"/>
      <c r="O111" s="999"/>
      <c r="P111" s="999"/>
      <c r="Q111" s="999"/>
      <c r="R111" s="999"/>
      <c r="S111" s="999"/>
      <c r="T111" s="999"/>
      <c r="U111" s="999"/>
      <c r="V111" s="999"/>
      <c r="W111" s="999"/>
      <c r="X111" s="999"/>
      <c r="Y111" s="999"/>
      <c r="Z111" s="999"/>
      <c r="AA111" s="999"/>
      <c r="AB111" s="999"/>
      <c r="AC111" s="999"/>
      <c r="AD111" s="999"/>
      <c r="AE111" s="999"/>
      <c r="AF111" s="999"/>
      <c r="AG111" s="1000"/>
      <c r="AH111" s="1001" t="s">
        <v>825</v>
      </c>
      <c r="AI111" s="1002"/>
      <c r="AJ111" s="1002"/>
      <c r="AK111" s="1003"/>
    </row>
    <row r="112" spans="1:37" ht="11.85" customHeight="1" x14ac:dyDescent="0.25">
      <c r="A112" s="998" t="s">
        <v>2363</v>
      </c>
      <c r="B112" s="999"/>
      <c r="C112" s="999"/>
      <c r="D112" s="999"/>
      <c r="E112" s="999"/>
      <c r="F112" s="999"/>
      <c r="G112" s="999"/>
      <c r="H112" s="999"/>
      <c r="I112" s="999"/>
      <c r="J112" s="999"/>
      <c r="K112" s="999"/>
      <c r="L112" s="999"/>
      <c r="M112" s="999"/>
      <c r="N112" s="999"/>
      <c r="O112" s="999"/>
      <c r="P112" s="999"/>
      <c r="Q112" s="999"/>
      <c r="R112" s="999"/>
      <c r="S112" s="999"/>
      <c r="T112" s="999"/>
      <c r="U112" s="999"/>
      <c r="V112" s="999"/>
      <c r="W112" s="999"/>
      <c r="X112" s="999"/>
      <c r="Y112" s="999"/>
      <c r="Z112" s="999"/>
      <c r="AA112" s="999"/>
      <c r="AB112" s="999"/>
      <c r="AC112" s="999"/>
      <c r="AD112" s="999"/>
      <c r="AE112" s="999"/>
      <c r="AF112" s="999"/>
      <c r="AG112" s="1000"/>
      <c r="AH112" s="1001" t="s">
        <v>825</v>
      </c>
      <c r="AI112" s="1002"/>
      <c r="AJ112" s="1002"/>
      <c r="AK112" s="1003"/>
    </row>
    <row r="113" spans="1:37" ht="11.85" customHeight="1" x14ac:dyDescent="0.25">
      <c r="A113" s="998" t="s">
        <v>2364</v>
      </c>
      <c r="B113" s="999"/>
      <c r="C113" s="999"/>
      <c r="D113" s="999"/>
      <c r="E113" s="999"/>
      <c r="F113" s="999"/>
      <c r="G113" s="999"/>
      <c r="H113" s="999"/>
      <c r="I113" s="999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/>
      <c r="W113" s="999"/>
      <c r="X113" s="999"/>
      <c r="Y113" s="999"/>
      <c r="Z113" s="999"/>
      <c r="AA113" s="999"/>
      <c r="AB113" s="999"/>
      <c r="AC113" s="999"/>
      <c r="AD113" s="999"/>
      <c r="AE113" s="999"/>
      <c r="AF113" s="999"/>
      <c r="AG113" s="1000"/>
      <c r="AH113" s="1001" t="s">
        <v>825</v>
      </c>
      <c r="AI113" s="1002"/>
      <c r="AJ113" s="1002"/>
      <c r="AK113" s="1003"/>
    </row>
    <row r="114" spans="1:37" ht="11.85" customHeight="1" x14ac:dyDescent="0.25">
      <c r="A114" s="819"/>
      <c r="B114" s="819"/>
      <c r="C114" s="819"/>
      <c r="D114" s="819"/>
      <c r="E114" s="819"/>
      <c r="F114" s="819"/>
      <c r="G114" s="819"/>
      <c r="H114" s="819"/>
      <c r="I114" s="819"/>
      <c r="J114" s="819"/>
      <c r="K114" s="819"/>
      <c r="L114" s="819"/>
      <c r="M114" s="819"/>
      <c r="N114" s="819"/>
      <c r="O114" s="819"/>
      <c r="P114" s="819"/>
      <c r="Q114" s="819"/>
      <c r="R114" s="819"/>
      <c r="S114" s="819"/>
      <c r="T114" s="819"/>
      <c r="U114" s="819"/>
      <c r="V114" s="819"/>
      <c r="W114" s="819"/>
      <c r="X114" s="819"/>
      <c r="Y114" s="819"/>
      <c r="Z114" s="819"/>
      <c r="AA114" s="819"/>
      <c r="AB114" s="819"/>
      <c r="AC114" s="819"/>
      <c r="AD114" s="819"/>
      <c r="AE114" s="819"/>
      <c r="AF114" s="819"/>
      <c r="AG114" s="819"/>
      <c r="AH114" s="819"/>
      <c r="AI114" s="819"/>
      <c r="AJ114" s="819"/>
      <c r="AK114" s="819"/>
    </row>
    <row r="115" spans="1:37" ht="11.1" customHeight="1" x14ac:dyDescent="0.25">
      <c r="A115" s="974" t="s">
        <v>2365</v>
      </c>
      <c r="B115" s="975"/>
      <c r="C115" s="975"/>
      <c r="D115" s="975"/>
      <c r="E115" s="975"/>
      <c r="F115" s="975"/>
      <c r="G115" s="975"/>
      <c r="H115" s="975"/>
      <c r="I115" s="975"/>
      <c r="J115" s="975"/>
      <c r="K115" s="975"/>
      <c r="L115" s="976"/>
      <c r="M115" s="965" t="s">
        <v>2366</v>
      </c>
      <c r="N115" s="971"/>
      <c r="O115" s="971"/>
      <c r="P115" s="971"/>
      <c r="Q115" s="971"/>
      <c r="R115" s="971"/>
      <c r="S115" s="971"/>
      <c r="T115" s="971"/>
      <c r="U115" s="971"/>
      <c r="V115" s="971"/>
      <c r="W115" s="971"/>
      <c r="X115" s="971"/>
      <c r="Y115" s="971"/>
      <c r="Z115" s="971"/>
      <c r="AA115" s="971"/>
      <c r="AB115" s="971"/>
      <c r="AC115" s="971"/>
      <c r="AD115" s="971"/>
      <c r="AE115" s="971"/>
      <c r="AF115" s="971"/>
      <c r="AG115" s="971"/>
      <c r="AH115" s="971"/>
      <c r="AI115" s="971"/>
      <c r="AJ115" s="971"/>
      <c r="AK115" s="972"/>
    </row>
    <row r="116" spans="1:37" ht="17.850000000000001" customHeight="1" x14ac:dyDescent="0.25">
      <c r="A116" s="1004"/>
      <c r="B116" s="1005"/>
      <c r="C116" s="1005"/>
      <c r="D116" s="1005"/>
      <c r="E116" s="1005"/>
      <c r="F116" s="1005"/>
      <c r="G116" s="1005"/>
      <c r="H116" s="1005"/>
      <c r="I116" s="1005"/>
      <c r="J116" s="1005"/>
      <c r="K116" s="1005"/>
      <c r="L116" s="1006"/>
      <c r="M116" s="965" t="s">
        <v>2367</v>
      </c>
      <c r="N116" s="966"/>
      <c r="O116" s="966"/>
      <c r="P116" s="966"/>
      <c r="Q116" s="966"/>
      <c r="R116" s="966"/>
      <c r="S116" s="966"/>
      <c r="T116" s="967"/>
      <c r="U116" s="965" t="s">
        <v>2332</v>
      </c>
      <c r="V116" s="971"/>
      <c r="W116" s="971"/>
      <c r="X116" s="971"/>
      <c r="Y116" s="971"/>
      <c r="Z116" s="971"/>
      <c r="AA116" s="971"/>
      <c r="AB116" s="971"/>
      <c r="AC116" s="971"/>
      <c r="AD116" s="971"/>
      <c r="AE116" s="972"/>
      <c r="AF116" s="965" t="s">
        <v>2368</v>
      </c>
      <c r="AG116" s="966"/>
      <c r="AH116" s="966"/>
      <c r="AI116" s="966"/>
      <c r="AJ116" s="966"/>
      <c r="AK116" s="967"/>
    </row>
    <row r="117" spans="1:37" ht="22.9" customHeight="1" x14ac:dyDescent="0.25">
      <c r="A117" s="977"/>
      <c r="B117" s="978"/>
      <c r="C117" s="978"/>
      <c r="D117" s="978"/>
      <c r="E117" s="978"/>
      <c r="F117" s="978"/>
      <c r="G117" s="978"/>
      <c r="H117" s="978"/>
      <c r="I117" s="978"/>
      <c r="J117" s="978"/>
      <c r="K117" s="978"/>
      <c r="L117" s="979"/>
      <c r="M117" s="968"/>
      <c r="N117" s="969"/>
      <c r="O117" s="969"/>
      <c r="P117" s="969"/>
      <c r="Q117" s="969"/>
      <c r="R117" s="969"/>
      <c r="S117" s="969"/>
      <c r="T117" s="970"/>
      <c r="U117" s="965" t="s">
        <v>2369</v>
      </c>
      <c r="V117" s="971"/>
      <c r="W117" s="972"/>
      <c r="X117" s="965" t="s">
        <v>2370</v>
      </c>
      <c r="Y117" s="971"/>
      <c r="Z117" s="971"/>
      <c r="AA117" s="972"/>
      <c r="AB117" s="965" t="s">
        <v>2371</v>
      </c>
      <c r="AC117" s="971"/>
      <c r="AD117" s="971"/>
      <c r="AE117" s="972"/>
      <c r="AF117" s="968"/>
      <c r="AG117" s="969"/>
      <c r="AH117" s="969"/>
      <c r="AI117" s="969"/>
      <c r="AJ117" s="969"/>
      <c r="AK117" s="970"/>
    </row>
    <row r="118" spans="1:37" ht="11.85" customHeight="1" x14ac:dyDescent="0.25">
      <c r="A118" s="989" t="s">
        <v>2372</v>
      </c>
      <c r="B118" s="990"/>
      <c r="C118" s="990"/>
      <c r="D118" s="990"/>
      <c r="E118" s="990"/>
      <c r="F118" s="990"/>
      <c r="G118" s="990"/>
      <c r="H118" s="990"/>
      <c r="I118" s="990"/>
      <c r="J118" s="990"/>
      <c r="K118" s="990"/>
      <c r="L118" s="991"/>
      <c r="M118" s="962" t="s">
        <v>825</v>
      </c>
      <c r="N118" s="964"/>
      <c r="O118" s="964"/>
      <c r="P118" s="964"/>
      <c r="Q118" s="964"/>
      <c r="R118" s="964"/>
      <c r="S118" s="964"/>
      <c r="T118" s="963"/>
      <c r="U118" s="962" t="s">
        <v>825</v>
      </c>
      <c r="V118" s="964"/>
      <c r="W118" s="963"/>
      <c r="X118" s="962" t="s">
        <v>825</v>
      </c>
      <c r="Y118" s="964"/>
      <c r="Z118" s="964"/>
      <c r="AA118" s="963"/>
      <c r="AB118" s="962" t="s">
        <v>825</v>
      </c>
      <c r="AC118" s="964"/>
      <c r="AD118" s="964"/>
      <c r="AE118" s="963"/>
      <c r="AF118" s="962" t="s">
        <v>825</v>
      </c>
      <c r="AG118" s="964"/>
      <c r="AH118" s="964"/>
      <c r="AI118" s="964"/>
      <c r="AJ118" s="964"/>
      <c r="AK118" s="963"/>
    </row>
    <row r="119" spans="1:37" ht="11.85" customHeight="1" x14ac:dyDescent="0.25">
      <c r="A119" s="983" t="s">
        <v>2373</v>
      </c>
      <c r="B119" s="984"/>
      <c r="C119" s="984"/>
      <c r="D119" s="984"/>
      <c r="E119" s="984"/>
      <c r="F119" s="984"/>
      <c r="G119" s="984"/>
      <c r="H119" s="984"/>
      <c r="I119" s="984"/>
      <c r="J119" s="984"/>
      <c r="K119" s="984"/>
      <c r="L119" s="985"/>
      <c r="M119" s="953" t="s">
        <v>2374</v>
      </c>
      <c r="N119" s="955"/>
      <c r="O119" s="955"/>
      <c r="P119" s="955"/>
      <c r="Q119" s="955"/>
      <c r="R119" s="955"/>
      <c r="S119" s="955"/>
      <c r="T119" s="954"/>
      <c r="U119" s="953" t="s">
        <v>825</v>
      </c>
      <c r="V119" s="955"/>
      <c r="W119" s="954"/>
      <c r="X119" s="953" t="s">
        <v>825</v>
      </c>
      <c r="Y119" s="955"/>
      <c r="Z119" s="955"/>
      <c r="AA119" s="954"/>
      <c r="AB119" s="953" t="s">
        <v>825</v>
      </c>
      <c r="AC119" s="955"/>
      <c r="AD119" s="955"/>
      <c r="AE119" s="954"/>
      <c r="AF119" s="953" t="s">
        <v>2374</v>
      </c>
      <c r="AG119" s="955"/>
      <c r="AH119" s="955"/>
      <c r="AI119" s="955"/>
      <c r="AJ119" s="955"/>
      <c r="AK119" s="954"/>
    </row>
    <row r="120" spans="1:37" ht="11.85" customHeight="1" x14ac:dyDescent="0.25">
      <c r="A120" s="986" t="s">
        <v>2375</v>
      </c>
      <c r="B120" s="987"/>
      <c r="C120" s="987"/>
      <c r="D120" s="987"/>
      <c r="E120" s="987"/>
      <c r="F120" s="987"/>
      <c r="G120" s="987"/>
      <c r="H120" s="987"/>
      <c r="I120" s="987"/>
      <c r="J120" s="987"/>
      <c r="K120" s="987"/>
      <c r="L120" s="988"/>
      <c r="M120" s="944" t="s">
        <v>2376</v>
      </c>
      <c r="N120" s="946"/>
      <c r="O120" s="946"/>
      <c r="P120" s="946"/>
      <c r="Q120" s="946"/>
      <c r="R120" s="946"/>
      <c r="S120" s="946"/>
      <c r="T120" s="945"/>
      <c r="U120" s="944" t="s">
        <v>825</v>
      </c>
      <c r="V120" s="946"/>
      <c r="W120" s="945"/>
      <c r="X120" s="944" t="s">
        <v>825</v>
      </c>
      <c r="Y120" s="946"/>
      <c r="Z120" s="946"/>
      <c r="AA120" s="945"/>
      <c r="AB120" s="944" t="s">
        <v>825</v>
      </c>
      <c r="AC120" s="946"/>
      <c r="AD120" s="946"/>
      <c r="AE120" s="945"/>
      <c r="AF120" s="944" t="s">
        <v>2376</v>
      </c>
      <c r="AG120" s="946"/>
      <c r="AH120" s="946"/>
      <c r="AI120" s="946"/>
      <c r="AJ120" s="946"/>
      <c r="AK120" s="945"/>
    </row>
    <row r="121" spans="1:37" ht="11.1" customHeight="1" x14ac:dyDescent="0.25">
      <c r="A121" s="980" t="s">
        <v>2377</v>
      </c>
      <c r="B121" s="981"/>
      <c r="C121" s="981"/>
      <c r="D121" s="981"/>
      <c r="E121" s="981"/>
      <c r="F121" s="981"/>
      <c r="G121" s="981"/>
      <c r="H121" s="981"/>
      <c r="I121" s="981"/>
      <c r="J121" s="981"/>
      <c r="K121" s="981"/>
      <c r="L121" s="982"/>
      <c r="M121" s="928" t="s">
        <v>2378</v>
      </c>
      <c r="N121" s="930"/>
      <c r="O121" s="930"/>
      <c r="P121" s="930"/>
      <c r="Q121" s="930"/>
      <c r="R121" s="930"/>
      <c r="S121" s="930"/>
      <c r="T121" s="929"/>
      <c r="U121" s="928" t="s">
        <v>825</v>
      </c>
      <c r="V121" s="930"/>
      <c r="W121" s="929"/>
      <c r="X121" s="928" t="s">
        <v>825</v>
      </c>
      <c r="Y121" s="930"/>
      <c r="Z121" s="930"/>
      <c r="AA121" s="929"/>
      <c r="AB121" s="928" t="s">
        <v>825</v>
      </c>
      <c r="AC121" s="930"/>
      <c r="AD121" s="930"/>
      <c r="AE121" s="929"/>
      <c r="AF121" s="928" t="s">
        <v>2378</v>
      </c>
      <c r="AG121" s="930"/>
      <c r="AH121" s="930"/>
      <c r="AI121" s="930"/>
      <c r="AJ121" s="930"/>
      <c r="AK121" s="929"/>
    </row>
    <row r="122" spans="1:37" ht="11.85" customHeight="1" x14ac:dyDescent="0.25">
      <c r="A122" s="819"/>
      <c r="B122" s="819"/>
      <c r="C122" s="819"/>
      <c r="D122" s="819"/>
      <c r="E122" s="819"/>
      <c r="F122" s="819"/>
      <c r="G122" s="819"/>
      <c r="H122" s="819"/>
      <c r="I122" s="819"/>
      <c r="J122" s="819"/>
      <c r="K122" s="819"/>
      <c r="L122" s="819"/>
      <c r="M122" s="819"/>
      <c r="N122" s="819"/>
      <c r="O122" s="819"/>
      <c r="P122" s="819"/>
      <c r="Q122" s="819"/>
      <c r="R122" s="819"/>
      <c r="S122" s="819"/>
      <c r="T122" s="819"/>
      <c r="U122" s="819"/>
      <c r="V122" s="819"/>
      <c r="W122" s="819"/>
      <c r="X122" s="819"/>
      <c r="Y122" s="819"/>
      <c r="Z122" s="819"/>
      <c r="AA122" s="819"/>
      <c r="AB122" s="819"/>
      <c r="AC122" s="819"/>
      <c r="AD122" s="819"/>
      <c r="AE122" s="819"/>
      <c r="AF122" s="819"/>
      <c r="AG122" s="819"/>
      <c r="AH122" s="819"/>
      <c r="AI122" s="819"/>
      <c r="AJ122" s="819"/>
      <c r="AK122" s="819"/>
    </row>
    <row r="123" spans="1:37" ht="11.85" customHeight="1" x14ac:dyDescent="0.25">
      <c r="A123" s="992" t="s">
        <v>2379</v>
      </c>
      <c r="B123" s="993"/>
      <c r="C123" s="993"/>
      <c r="D123" s="993"/>
      <c r="E123" s="993"/>
      <c r="F123" s="993"/>
      <c r="G123" s="993"/>
      <c r="H123" s="993"/>
      <c r="I123" s="993"/>
      <c r="J123" s="994"/>
      <c r="K123" s="965" t="s">
        <v>1462</v>
      </c>
      <c r="L123" s="966"/>
      <c r="M123" s="966"/>
      <c r="N123" s="966"/>
      <c r="O123" s="966"/>
      <c r="P123" s="966"/>
      <c r="Q123" s="967"/>
      <c r="R123" s="965" t="s">
        <v>1463</v>
      </c>
      <c r="S123" s="966"/>
      <c r="T123" s="966"/>
      <c r="U123" s="966"/>
      <c r="V123" s="966"/>
      <c r="W123" s="966"/>
      <c r="X123" s="966"/>
      <c r="Y123" s="967"/>
      <c r="Z123" s="804" t="s">
        <v>1464</v>
      </c>
      <c r="AA123" s="825"/>
      <c r="AB123" s="825"/>
      <c r="AC123" s="825"/>
      <c r="AD123" s="825"/>
      <c r="AE123" s="825"/>
      <c r="AF123" s="825"/>
      <c r="AG123" s="825"/>
      <c r="AH123" s="825"/>
      <c r="AI123" s="825"/>
      <c r="AJ123" s="825"/>
      <c r="AK123" s="805"/>
    </row>
    <row r="124" spans="1:37" ht="17.850000000000001" customHeight="1" x14ac:dyDescent="0.25">
      <c r="A124" s="995"/>
      <c r="B124" s="996"/>
      <c r="C124" s="996"/>
      <c r="D124" s="996"/>
      <c r="E124" s="996"/>
      <c r="F124" s="996"/>
      <c r="G124" s="996"/>
      <c r="H124" s="996"/>
      <c r="I124" s="996"/>
      <c r="J124" s="997"/>
      <c r="K124" s="968"/>
      <c r="L124" s="969"/>
      <c r="M124" s="969"/>
      <c r="N124" s="969"/>
      <c r="O124" s="969"/>
      <c r="P124" s="969"/>
      <c r="Q124" s="970"/>
      <c r="R124" s="968"/>
      <c r="S124" s="969"/>
      <c r="T124" s="969"/>
      <c r="U124" s="969"/>
      <c r="V124" s="969"/>
      <c r="W124" s="969"/>
      <c r="X124" s="969"/>
      <c r="Y124" s="970"/>
      <c r="Z124" s="965" t="s">
        <v>2164</v>
      </c>
      <c r="AA124" s="971"/>
      <c r="AB124" s="971"/>
      <c r="AC124" s="971"/>
      <c r="AD124" s="971"/>
      <c r="AE124" s="971"/>
      <c r="AF124" s="972"/>
      <c r="AG124" s="965" t="s">
        <v>2165</v>
      </c>
      <c r="AH124" s="971"/>
      <c r="AI124" s="971"/>
      <c r="AJ124" s="971"/>
      <c r="AK124" s="972"/>
    </row>
    <row r="125" spans="1:37" ht="11.1" customHeight="1" x14ac:dyDescent="0.25">
      <c r="A125" s="989" t="s">
        <v>2380</v>
      </c>
      <c r="B125" s="990"/>
      <c r="C125" s="990"/>
      <c r="D125" s="990"/>
      <c r="E125" s="990"/>
      <c r="F125" s="990"/>
      <c r="G125" s="990"/>
      <c r="H125" s="990"/>
      <c r="I125" s="990"/>
      <c r="J125" s="991"/>
      <c r="K125" s="962" t="s">
        <v>2381</v>
      </c>
      <c r="L125" s="964"/>
      <c r="M125" s="964"/>
      <c r="N125" s="964"/>
      <c r="O125" s="964"/>
      <c r="P125" s="964"/>
      <c r="Q125" s="963"/>
      <c r="R125" s="962" t="s">
        <v>2382</v>
      </c>
      <c r="S125" s="964"/>
      <c r="T125" s="964"/>
      <c r="U125" s="964"/>
      <c r="V125" s="964"/>
      <c r="W125" s="964"/>
      <c r="X125" s="964"/>
      <c r="Y125" s="963"/>
      <c r="Z125" s="962" t="s">
        <v>2383</v>
      </c>
      <c r="AA125" s="964"/>
      <c r="AB125" s="964"/>
      <c r="AC125" s="964"/>
      <c r="AD125" s="964"/>
      <c r="AE125" s="964"/>
      <c r="AF125" s="963"/>
      <c r="AG125" s="962" t="s">
        <v>2384</v>
      </c>
      <c r="AH125" s="964"/>
      <c r="AI125" s="964"/>
      <c r="AJ125" s="964"/>
      <c r="AK125" s="963"/>
    </row>
    <row r="126" spans="1:37" ht="11.85" customHeight="1" x14ac:dyDescent="0.25">
      <c r="A126" s="983" t="s">
        <v>2385</v>
      </c>
      <c r="B126" s="984"/>
      <c r="C126" s="984"/>
      <c r="D126" s="984"/>
      <c r="E126" s="984"/>
      <c r="F126" s="984"/>
      <c r="G126" s="984"/>
      <c r="H126" s="984"/>
      <c r="I126" s="984"/>
      <c r="J126" s="985"/>
      <c r="K126" s="953" t="s">
        <v>2386</v>
      </c>
      <c r="L126" s="955"/>
      <c r="M126" s="955"/>
      <c r="N126" s="955"/>
      <c r="O126" s="955"/>
      <c r="P126" s="955"/>
      <c r="Q126" s="954"/>
      <c r="R126" s="953" t="s">
        <v>2387</v>
      </c>
      <c r="S126" s="955"/>
      <c r="T126" s="955"/>
      <c r="U126" s="955"/>
      <c r="V126" s="955"/>
      <c r="W126" s="955"/>
      <c r="X126" s="955"/>
      <c r="Y126" s="954"/>
      <c r="Z126" s="953" t="s">
        <v>2388</v>
      </c>
      <c r="AA126" s="955"/>
      <c r="AB126" s="955"/>
      <c r="AC126" s="955"/>
      <c r="AD126" s="955"/>
      <c r="AE126" s="955"/>
      <c r="AF126" s="954"/>
      <c r="AG126" s="953" t="s">
        <v>2389</v>
      </c>
      <c r="AH126" s="955"/>
      <c r="AI126" s="955"/>
      <c r="AJ126" s="955"/>
      <c r="AK126" s="954"/>
    </row>
    <row r="127" spans="1:37" ht="11.85" customHeight="1" x14ac:dyDescent="0.25">
      <c r="A127" s="983" t="s">
        <v>2390</v>
      </c>
      <c r="B127" s="984"/>
      <c r="C127" s="984"/>
      <c r="D127" s="984"/>
      <c r="E127" s="984"/>
      <c r="F127" s="984"/>
      <c r="G127" s="984"/>
      <c r="H127" s="984"/>
      <c r="I127" s="984"/>
      <c r="J127" s="985"/>
      <c r="K127" s="953" t="s">
        <v>2391</v>
      </c>
      <c r="L127" s="955"/>
      <c r="M127" s="955"/>
      <c r="N127" s="955"/>
      <c r="O127" s="955"/>
      <c r="P127" s="955"/>
      <c r="Q127" s="954"/>
      <c r="R127" s="953" t="s">
        <v>2392</v>
      </c>
      <c r="S127" s="955"/>
      <c r="T127" s="955"/>
      <c r="U127" s="955"/>
      <c r="V127" s="955"/>
      <c r="W127" s="955"/>
      <c r="X127" s="955"/>
      <c r="Y127" s="954"/>
      <c r="Z127" s="953" t="s">
        <v>2393</v>
      </c>
      <c r="AA127" s="955"/>
      <c r="AB127" s="955"/>
      <c r="AC127" s="955"/>
      <c r="AD127" s="955"/>
      <c r="AE127" s="955"/>
      <c r="AF127" s="954"/>
      <c r="AG127" s="953" t="s">
        <v>2394</v>
      </c>
      <c r="AH127" s="955"/>
      <c r="AI127" s="955"/>
      <c r="AJ127" s="955"/>
      <c r="AK127" s="954"/>
    </row>
    <row r="128" spans="1:37" ht="11.85" customHeight="1" x14ac:dyDescent="0.25">
      <c r="A128" s="983" t="s">
        <v>2395</v>
      </c>
      <c r="B128" s="984"/>
      <c r="C128" s="984"/>
      <c r="D128" s="984"/>
      <c r="E128" s="984"/>
      <c r="F128" s="984"/>
      <c r="G128" s="984"/>
      <c r="H128" s="984"/>
      <c r="I128" s="984"/>
      <c r="J128" s="985"/>
      <c r="K128" s="953" t="s">
        <v>825</v>
      </c>
      <c r="L128" s="955"/>
      <c r="M128" s="955"/>
      <c r="N128" s="955"/>
      <c r="O128" s="955"/>
      <c r="P128" s="955"/>
      <c r="Q128" s="954"/>
      <c r="R128" s="953" t="s">
        <v>825</v>
      </c>
      <c r="S128" s="955"/>
      <c r="T128" s="955"/>
      <c r="U128" s="955"/>
      <c r="V128" s="955"/>
      <c r="W128" s="955"/>
      <c r="X128" s="955"/>
      <c r="Y128" s="954"/>
      <c r="Z128" s="953" t="s">
        <v>825</v>
      </c>
      <c r="AA128" s="955"/>
      <c r="AB128" s="955"/>
      <c r="AC128" s="955"/>
      <c r="AD128" s="955"/>
      <c r="AE128" s="955"/>
      <c r="AF128" s="954"/>
      <c r="AG128" s="953" t="s">
        <v>825</v>
      </c>
      <c r="AH128" s="955"/>
      <c r="AI128" s="955"/>
      <c r="AJ128" s="955"/>
      <c r="AK128" s="954"/>
    </row>
    <row r="129" spans="1:37" ht="11.1" customHeight="1" x14ac:dyDescent="0.25">
      <c r="A129" s="983" t="s">
        <v>2396</v>
      </c>
      <c r="B129" s="984"/>
      <c r="C129" s="984"/>
      <c r="D129" s="984"/>
      <c r="E129" s="984"/>
      <c r="F129" s="984"/>
      <c r="G129" s="984"/>
      <c r="H129" s="984"/>
      <c r="I129" s="984"/>
      <c r="J129" s="985"/>
      <c r="K129" s="953" t="s">
        <v>825</v>
      </c>
      <c r="L129" s="955"/>
      <c r="M129" s="955"/>
      <c r="N129" s="955"/>
      <c r="O129" s="955"/>
      <c r="P129" s="955"/>
      <c r="Q129" s="954"/>
      <c r="R129" s="953" t="s">
        <v>825</v>
      </c>
      <c r="S129" s="955"/>
      <c r="T129" s="955"/>
      <c r="U129" s="955"/>
      <c r="V129" s="955"/>
      <c r="W129" s="955"/>
      <c r="X129" s="955"/>
      <c r="Y129" s="954"/>
      <c r="Z129" s="953" t="s">
        <v>825</v>
      </c>
      <c r="AA129" s="955"/>
      <c r="AB129" s="955"/>
      <c r="AC129" s="955"/>
      <c r="AD129" s="955"/>
      <c r="AE129" s="955"/>
      <c r="AF129" s="954"/>
      <c r="AG129" s="953" t="s">
        <v>825</v>
      </c>
      <c r="AH129" s="955"/>
      <c r="AI129" s="955"/>
      <c r="AJ129" s="955"/>
      <c r="AK129" s="954"/>
    </row>
    <row r="130" spans="1:37" ht="11.85" customHeight="1" x14ac:dyDescent="0.25">
      <c r="A130" s="986" t="s">
        <v>2397</v>
      </c>
      <c r="B130" s="987"/>
      <c r="C130" s="987"/>
      <c r="D130" s="987"/>
      <c r="E130" s="987"/>
      <c r="F130" s="987"/>
      <c r="G130" s="987"/>
      <c r="H130" s="987"/>
      <c r="I130" s="987"/>
      <c r="J130" s="988"/>
      <c r="K130" s="944" t="s">
        <v>825</v>
      </c>
      <c r="L130" s="946"/>
      <c r="M130" s="946"/>
      <c r="N130" s="946"/>
      <c r="O130" s="946"/>
      <c r="P130" s="946"/>
      <c r="Q130" s="945"/>
      <c r="R130" s="944" t="s">
        <v>825</v>
      </c>
      <c r="S130" s="946"/>
      <c r="T130" s="946"/>
      <c r="U130" s="946"/>
      <c r="V130" s="946"/>
      <c r="W130" s="946"/>
      <c r="X130" s="946"/>
      <c r="Y130" s="945"/>
      <c r="Z130" s="944" t="s">
        <v>825</v>
      </c>
      <c r="AA130" s="946"/>
      <c r="AB130" s="946"/>
      <c r="AC130" s="946"/>
      <c r="AD130" s="946"/>
      <c r="AE130" s="946"/>
      <c r="AF130" s="945"/>
      <c r="AG130" s="944" t="s">
        <v>825</v>
      </c>
      <c r="AH130" s="946"/>
      <c r="AI130" s="946"/>
      <c r="AJ130" s="946"/>
      <c r="AK130" s="945"/>
    </row>
    <row r="131" spans="1:37" ht="11.85" customHeight="1" x14ac:dyDescent="0.25">
      <c r="A131" s="980" t="s">
        <v>2398</v>
      </c>
      <c r="B131" s="981"/>
      <c r="C131" s="981"/>
      <c r="D131" s="981"/>
      <c r="E131" s="981"/>
      <c r="F131" s="981"/>
      <c r="G131" s="981"/>
      <c r="H131" s="981"/>
      <c r="I131" s="981"/>
      <c r="J131" s="982"/>
      <c r="K131" s="928" t="s">
        <v>2381</v>
      </c>
      <c r="L131" s="930"/>
      <c r="M131" s="930"/>
      <c r="N131" s="930"/>
      <c r="O131" s="930"/>
      <c r="P131" s="930"/>
      <c r="Q131" s="929"/>
      <c r="R131" s="928" t="s">
        <v>2382</v>
      </c>
      <c r="S131" s="930"/>
      <c r="T131" s="930"/>
      <c r="U131" s="930"/>
      <c r="V131" s="930"/>
      <c r="W131" s="930"/>
      <c r="X131" s="930"/>
      <c r="Y131" s="929"/>
      <c r="Z131" s="928" t="s">
        <v>2383</v>
      </c>
      <c r="AA131" s="930"/>
      <c r="AB131" s="930"/>
      <c r="AC131" s="930"/>
      <c r="AD131" s="930"/>
      <c r="AE131" s="930"/>
      <c r="AF131" s="929"/>
      <c r="AG131" s="928" t="s">
        <v>2384</v>
      </c>
      <c r="AH131" s="930"/>
      <c r="AI131" s="930"/>
      <c r="AJ131" s="930"/>
      <c r="AK131" s="929"/>
    </row>
    <row r="132" spans="1:37" ht="11.85" customHeight="1" x14ac:dyDescent="0.25">
      <c r="A132" s="921"/>
      <c r="B132" s="921"/>
      <c r="C132" s="921"/>
      <c r="D132" s="921"/>
      <c r="E132" s="921"/>
      <c r="F132" s="921"/>
      <c r="G132" s="921"/>
      <c r="H132" s="921"/>
      <c r="I132" s="921"/>
      <c r="J132" s="921"/>
      <c r="K132" s="921"/>
      <c r="L132" s="921"/>
      <c r="M132" s="921"/>
      <c r="N132" s="921"/>
      <c r="O132" s="921"/>
      <c r="P132" s="921"/>
      <c r="Q132" s="921"/>
      <c r="R132" s="921"/>
      <c r="S132" s="921"/>
      <c r="T132" s="921"/>
      <c r="U132" s="921"/>
      <c r="V132" s="921"/>
      <c r="W132" s="921"/>
      <c r="X132" s="921"/>
      <c r="Y132" s="921"/>
      <c r="Z132" s="921"/>
      <c r="AA132" s="921"/>
      <c r="AB132" s="921"/>
      <c r="AC132" s="921"/>
      <c r="AD132" s="921"/>
      <c r="AE132" s="921"/>
      <c r="AF132" s="921"/>
      <c r="AG132" s="921"/>
      <c r="AH132" s="921"/>
      <c r="AI132" s="921"/>
      <c r="AJ132" s="921"/>
      <c r="AK132" s="921"/>
    </row>
    <row r="133" spans="1:37" ht="5.0999999999999996" customHeight="1" x14ac:dyDescent="0.25"/>
    <row r="134" spans="1:37" ht="11.85" customHeight="1" x14ac:dyDescent="0.25">
      <c r="A134" s="803" t="s">
        <v>2274</v>
      </c>
      <c r="B134" s="803"/>
      <c r="C134" s="803"/>
      <c r="D134" s="803"/>
      <c r="E134" s="803"/>
      <c r="F134" s="803"/>
      <c r="G134" s="803"/>
      <c r="H134" s="803"/>
      <c r="I134" s="803"/>
      <c r="J134" s="803"/>
      <c r="K134" s="803"/>
      <c r="L134" s="803"/>
      <c r="M134" s="803"/>
      <c r="N134" s="803"/>
      <c r="O134" s="803"/>
      <c r="P134" s="803"/>
      <c r="Q134" s="803"/>
      <c r="R134" s="803"/>
      <c r="S134" s="803"/>
      <c r="T134" s="803"/>
      <c r="U134" s="803"/>
      <c r="V134" s="803"/>
      <c r="W134" s="803"/>
      <c r="X134" s="803"/>
      <c r="Y134" s="803"/>
      <c r="Z134" s="803"/>
      <c r="AA134" s="803"/>
      <c r="AB134" s="803"/>
      <c r="AC134" s="803"/>
      <c r="AD134" s="803"/>
      <c r="AE134" s="803"/>
      <c r="AF134" s="803"/>
      <c r="AG134" s="803"/>
      <c r="AH134" s="803"/>
      <c r="AI134" s="803"/>
      <c r="AJ134" s="803"/>
    </row>
    <row r="135" spans="1:37" ht="5.85" customHeight="1" x14ac:dyDescent="0.25"/>
    <row r="136" spans="1:37" ht="11.85" customHeight="1" x14ac:dyDescent="0.25">
      <c r="A136" s="856" t="s">
        <v>833</v>
      </c>
      <c r="B136" s="856"/>
      <c r="C136" s="856"/>
      <c r="D136" s="856"/>
      <c r="E136" s="856"/>
      <c r="F136" s="856"/>
      <c r="G136" s="856"/>
      <c r="H136" s="856"/>
      <c r="AJ136" s="586" t="s">
        <v>1942</v>
      </c>
    </row>
    <row r="137" spans="1:37" ht="11.1" customHeight="1" x14ac:dyDescent="0.25">
      <c r="A137" s="856" t="s">
        <v>824</v>
      </c>
      <c r="B137" s="856"/>
      <c r="C137" s="856"/>
      <c r="D137" s="856"/>
      <c r="E137" s="856"/>
      <c r="F137" s="856"/>
      <c r="G137" s="856"/>
      <c r="H137" s="856"/>
    </row>
    <row r="138" spans="1:37" ht="11.85" customHeight="1" x14ac:dyDescent="0.25">
      <c r="A138" s="861" t="s">
        <v>2160</v>
      </c>
      <c r="B138" s="861"/>
      <c r="C138" s="861"/>
      <c r="D138" s="861"/>
      <c r="E138" s="861"/>
      <c r="F138" s="861"/>
      <c r="G138" s="861"/>
      <c r="H138" s="861"/>
    </row>
    <row r="139" spans="1:37" ht="11.85" customHeight="1" x14ac:dyDescent="0.25">
      <c r="A139" s="856" t="s">
        <v>832</v>
      </c>
      <c r="B139" s="856"/>
      <c r="C139" s="856"/>
      <c r="D139" s="856"/>
      <c r="E139" s="856"/>
      <c r="F139" s="856"/>
      <c r="G139" s="856"/>
      <c r="H139" s="856"/>
    </row>
    <row r="140" spans="1:37" ht="11.85" customHeight="1" x14ac:dyDescent="0.25">
      <c r="A140" s="856" t="s">
        <v>2161</v>
      </c>
      <c r="B140" s="856"/>
      <c r="C140" s="856"/>
      <c r="D140" s="856"/>
      <c r="E140" s="856"/>
      <c r="F140" s="856"/>
      <c r="G140" s="856"/>
      <c r="H140" s="856"/>
    </row>
    <row r="141" spans="1:37" ht="5.85" customHeight="1" x14ac:dyDescent="0.25"/>
    <row r="142" spans="1:37" ht="11.1" customHeight="1" x14ac:dyDescent="0.25">
      <c r="A142" s="973" t="s">
        <v>2162</v>
      </c>
      <c r="B142" s="973"/>
      <c r="C142" s="973"/>
      <c r="D142" s="973"/>
      <c r="E142" s="973"/>
      <c r="F142" s="973"/>
      <c r="G142" s="973"/>
      <c r="H142" s="973"/>
      <c r="I142" s="550"/>
      <c r="J142" s="550"/>
      <c r="K142" s="550"/>
      <c r="L142" s="550"/>
      <c r="M142" s="550"/>
      <c r="N142" s="550"/>
      <c r="O142" s="550"/>
      <c r="P142" s="550"/>
      <c r="Q142" s="550"/>
      <c r="R142" s="550"/>
      <c r="S142" s="550"/>
      <c r="T142" s="550"/>
      <c r="U142" s="550"/>
      <c r="V142" s="550"/>
      <c r="W142" s="550"/>
      <c r="X142" s="550"/>
      <c r="Y142" s="550"/>
      <c r="Z142" s="550"/>
      <c r="AA142" s="550"/>
      <c r="AB142" s="550"/>
      <c r="AC142" s="550"/>
      <c r="AD142" s="550"/>
      <c r="AE142" s="550"/>
      <c r="AF142" s="550"/>
      <c r="AG142" s="550"/>
      <c r="AH142" s="550"/>
      <c r="AI142" s="550"/>
      <c r="AJ142" s="550"/>
      <c r="AK142" s="550"/>
    </row>
    <row r="143" spans="1:37" ht="17.850000000000001" customHeight="1" x14ac:dyDescent="0.25">
      <c r="A143" s="804" t="s">
        <v>2399</v>
      </c>
      <c r="B143" s="825"/>
      <c r="C143" s="825"/>
      <c r="D143" s="825"/>
      <c r="E143" s="825"/>
      <c r="F143" s="825"/>
      <c r="G143" s="825"/>
      <c r="H143" s="825"/>
      <c r="I143" s="825"/>
      <c r="J143" s="825"/>
      <c r="K143" s="825"/>
      <c r="L143" s="825"/>
      <c r="M143" s="825"/>
      <c r="N143" s="825"/>
      <c r="O143" s="825"/>
      <c r="P143" s="825"/>
      <c r="Q143" s="825"/>
      <c r="R143" s="825"/>
      <c r="S143" s="825"/>
      <c r="T143" s="825"/>
      <c r="U143" s="825"/>
      <c r="V143" s="825"/>
      <c r="W143" s="825"/>
      <c r="X143" s="825"/>
      <c r="Y143" s="825"/>
      <c r="Z143" s="825"/>
      <c r="AA143" s="825"/>
      <c r="AB143" s="825"/>
      <c r="AC143" s="825"/>
      <c r="AD143" s="825"/>
      <c r="AE143" s="825"/>
      <c r="AF143" s="825"/>
      <c r="AG143" s="825"/>
      <c r="AH143" s="825"/>
      <c r="AI143" s="825"/>
      <c r="AJ143" s="825"/>
      <c r="AK143" s="805"/>
    </row>
    <row r="144" spans="1:37" ht="11.85" customHeight="1" x14ac:dyDescent="0.25">
      <c r="A144" s="974" t="s">
        <v>2400</v>
      </c>
      <c r="B144" s="975"/>
      <c r="C144" s="975"/>
      <c r="D144" s="975"/>
      <c r="E144" s="976"/>
      <c r="F144" s="965" t="s">
        <v>2221</v>
      </c>
      <c r="G144" s="967"/>
      <c r="H144" s="965" t="s">
        <v>1888</v>
      </c>
      <c r="I144" s="966"/>
      <c r="J144" s="966"/>
      <c r="K144" s="967"/>
      <c r="L144" s="804" t="s">
        <v>1696</v>
      </c>
      <c r="M144" s="825"/>
      <c r="N144" s="825"/>
      <c r="O144" s="825"/>
      <c r="P144" s="825"/>
      <c r="Q144" s="825"/>
      <c r="R144" s="805"/>
      <c r="S144" s="804" t="s">
        <v>1698</v>
      </c>
      <c r="T144" s="825"/>
      <c r="U144" s="825"/>
      <c r="V144" s="825"/>
      <c r="W144" s="825"/>
      <c r="X144" s="825"/>
      <c r="Y144" s="825"/>
      <c r="Z144" s="805"/>
      <c r="AA144" s="804" t="s">
        <v>2222</v>
      </c>
      <c r="AB144" s="825"/>
      <c r="AC144" s="825"/>
      <c r="AD144" s="825"/>
      <c r="AE144" s="825"/>
      <c r="AF144" s="825"/>
      <c r="AG144" s="825"/>
      <c r="AH144" s="805"/>
      <c r="AI144" s="965" t="s">
        <v>2401</v>
      </c>
      <c r="AJ144" s="966"/>
      <c r="AK144" s="967"/>
    </row>
    <row r="145" spans="1:37" ht="17.100000000000001" customHeight="1" x14ac:dyDescent="0.25">
      <c r="A145" s="977"/>
      <c r="B145" s="978"/>
      <c r="C145" s="978"/>
      <c r="D145" s="978"/>
      <c r="E145" s="979"/>
      <c r="F145" s="968"/>
      <c r="G145" s="970"/>
      <c r="H145" s="968"/>
      <c r="I145" s="969"/>
      <c r="J145" s="969"/>
      <c r="K145" s="970"/>
      <c r="L145" s="965" t="s">
        <v>2224</v>
      </c>
      <c r="M145" s="971"/>
      <c r="N145" s="971"/>
      <c r="O145" s="971"/>
      <c r="P145" s="972"/>
      <c r="Q145" s="965" t="s">
        <v>2225</v>
      </c>
      <c r="R145" s="972"/>
      <c r="S145" s="965" t="s">
        <v>2226</v>
      </c>
      <c r="T145" s="971"/>
      <c r="U145" s="972"/>
      <c r="V145" s="965" t="s">
        <v>2227</v>
      </c>
      <c r="W145" s="971"/>
      <c r="X145" s="971"/>
      <c r="Y145" s="971"/>
      <c r="Z145" s="972"/>
      <c r="AA145" s="965" t="s">
        <v>2228</v>
      </c>
      <c r="AB145" s="971"/>
      <c r="AC145" s="971"/>
      <c r="AD145" s="972"/>
      <c r="AE145" s="965" t="s">
        <v>2229</v>
      </c>
      <c r="AF145" s="971"/>
      <c r="AG145" s="971"/>
      <c r="AH145" s="972"/>
      <c r="AI145" s="968"/>
      <c r="AJ145" s="969"/>
      <c r="AK145" s="970"/>
    </row>
    <row r="146" spans="1:37" ht="17.850000000000001" customHeight="1" x14ac:dyDescent="0.25">
      <c r="A146" s="959" t="s">
        <v>2402</v>
      </c>
      <c r="B146" s="960"/>
      <c r="C146" s="960"/>
      <c r="D146" s="960"/>
      <c r="E146" s="961"/>
      <c r="F146" s="956" t="s">
        <v>2403</v>
      </c>
      <c r="G146" s="958"/>
      <c r="H146" s="956" t="s">
        <v>2404</v>
      </c>
      <c r="I146" s="957"/>
      <c r="J146" s="957"/>
      <c r="K146" s="958"/>
      <c r="L146" s="956" t="s">
        <v>2405</v>
      </c>
      <c r="M146" s="957"/>
      <c r="N146" s="957"/>
      <c r="O146" s="957"/>
      <c r="P146" s="958"/>
      <c r="Q146" s="956" t="s">
        <v>2406</v>
      </c>
      <c r="R146" s="958"/>
      <c r="S146" s="956" t="s">
        <v>2407</v>
      </c>
      <c r="T146" s="957"/>
      <c r="U146" s="958"/>
      <c r="V146" s="956" t="s">
        <v>2408</v>
      </c>
      <c r="W146" s="957"/>
      <c r="X146" s="957"/>
      <c r="Y146" s="957"/>
      <c r="Z146" s="958"/>
      <c r="AA146" s="956" t="s">
        <v>2409</v>
      </c>
      <c r="AB146" s="957"/>
      <c r="AC146" s="957"/>
      <c r="AD146" s="958"/>
      <c r="AE146" s="956" t="s">
        <v>2410</v>
      </c>
      <c r="AF146" s="957"/>
      <c r="AG146" s="957"/>
      <c r="AH146" s="958"/>
      <c r="AI146" s="956" t="s">
        <v>2411</v>
      </c>
      <c r="AJ146" s="957"/>
      <c r="AK146" s="958"/>
    </row>
    <row r="147" spans="1:37" ht="17.850000000000001" customHeight="1" x14ac:dyDescent="0.25">
      <c r="A147" s="950" t="s">
        <v>2237</v>
      </c>
      <c r="B147" s="951"/>
      <c r="C147" s="951"/>
      <c r="D147" s="951"/>
      <c r="E147" s="952"/>
      <c r="F147" s="947" t="s">
        <v>2412</v>
      </c>
      <c r="G147" s="949"/>
      <c r="H147" s="947" t="s">
        <v>2413</v>
      </c>
      <c r="I147" s="948"/>
      <c r="J147" s="948"/>
      <c r="K147" s="949"/>
      <c r="L147" s="947" t="s">
        <v>2414</v>
      </c>
      <c r="M147" s="948"/>
      <c r="N147" s="948"/>
      <c r="O147" s="948"/>
      <c r="P147" s="949"/>
      <c r="Q147" s="947" t="s">
        <v>2415</v>
      </c>
      <c r="R147" s="949"/>
      <c r="S147" s="947" t="s">
        <v>2416</v>
      </c>
      <c r="T147" s="948"/>
      <c r="U147" s="949"/>
      <c r="V147" s="947" t="s">
        <v>2417</v>
      </c>
      <c r="W147" s="948"/>
      <c r="X147" s="948"/>
      <c r="Y147" s="948"/>
      <c r="Z147" s="949"/>
      <c r="AA147" s="947" t="s">
        <v>2418</v>
      </c>
      <c r="AB147" s="948"/>
      <c r="AC147" s="948"/>
      <c r="AD147" s="949"/>
      <c r="AE147" s="947" t="s">
        <v>2419</v>
      </c>
      <c r="AF147" s="948"/>
      <c r="AG147" s="948"/>
      <c r="AH147" s="949"/>
      <c r="AI147" s="947" t="s">
        <v>2420</v>
      </c>
      <c r="AJ147" s="948"/>
      <c r="AK147" s="949"/>
    </row>
    <row r="148" spans="1:37" ht="17.100000000000001" customHeight="1" x14ac:dyDescent="0.25">
      <c r="A148" s="950" t="s">
        <v>2238</v>
      </c>
      <c r="B148" s="951"/>
      <c r="C148" s="951"/>
      <c r="D148" s="951"/>
      <c r="E148" s="952"/>
      <c r="F148" s="947" t="s">
        <v>2421</v>
      </c>
      <c r="G148" s="949"/>
      <c r="H148" s="947" t="s">
        <v>2422</v>
      </c>
      <c r="I148" s="948"/>
      <c r="J148" s="948"/>
      <c r="K148" s="949"/>
      <c r="L148" s="947" t="s">
        <v>2423</v>
      </c>
      <c r="M148" s="948"/>
      <c r="N148" s="948"/>
      <c r="O148" s="948"/>
      <c r="P148" s="949"/>
      <c r="Q148" s="947" t="s">
        <v>2424</v>
      </c>
      <c r="R148" s="949"/>
      <c r="S148" s="947" t="s">
        <v>2425</v>
      </c>
      <c r="T148" s="948"/>
      <c r="U148" s="949"/>
      <c r="V148" s="947" t="s">
        <v>2426</v>
      </c>
      <c r="W148" s="948"/>
      <c r="X148" s="948"/>
      <c r="Y148" s="948"/>
      <c r="Z148" s="949"/>
      <c r="AA148" s="947" t="s">
        <v>2425</v>
      </c>
      <c r="AB148" s="948"/>
      <c r="AC148" s="948"/>
      <c r="AD148" s="949"/>
      <c r="AE148" s="947" t="s">
        <v>2426</v>
      </c>
      <c r="AF148" s="948"/>
      <c r="AG148" s="948"/>
      <c r="AH148" s="949"/>
      <c r="AI148" s="947" t="s">
        <v>2427</v>
      </c>
      <c r="AJ148" s="948"/>
      <c r="AK148" s="949"/>
    </row>
    <row r="149" spans="1:37" ht="17.850000000000001" customHeight="1" x14ac:dyDescent="0.25">
      <c r="A149" s="950" t="s">
        <v>2428</v>
      </c>
      <c r="B149" s="951"/>
      <c r="C149" s="951"/>
      <c r="D149" s="951"/>
      <c r="E149" s="952"/>
      <c r="F149" s="947" t="s">
        <v>2429</v>
      </c>
      <c r="G149" s="949"/>
      <c r="H149" s="947" t="s">
        <v>2430</v>
      </c>
      <c r="I149" s="948"/>
      <c r="J149" s="948"/>
      <c r="K149" s="949"/>
      <c r="L149" s="947" t="s">
        <v>2431</v>
      </c>
      <c r="M149" s="948"/>
      <c r="N149" s="948"/>
      <c r="O149" s="948"/>
      <c r="P149" s="949"/>
      <c r="Q149" s="947" t="s">
        <v>2432</v>
      </c>
      <c r="R149" s="949"/>
      <c r="S149" s="947" t="s">
        <v>2433</v>
      </c>
      <c r="T149" s="948"/>
      <c r="U149" s="949"/>
      <c r="V149" s="947" t="s">
        <v>2434</v>
      </c>
      <c r="W149" s="948"/>
      <c r="X149" s="948"/>
      <c r="Y149" s="948"/>
      <c r="Z149" s="949"/>
      <c r="AA149" s="947" t="s">
        <v>2435</v>
      </c>
      <c r="AB149" s="948"/>
      <c r="AC149" s="948"/>
      <c r="AD149" s="949"/>
      <c r="AE149" s="947" t="s">
        <v>2436</v>
      </c>
      <c r="AF149" s="948"/>
      <c r="AG149" s="948"/>
      <c r="AH149" s="949"/>
      <c r="AI149" s="947" t="s">
        <v>2437</v>
      </c>
      <c r="AJ149" s="948"/>
      <c r="AK149" s="949"/>
    </row>
    <row r="150" spans="1:37" ht="17.100000000000001" customHeight="1" x14ac:dyDescent="0.25">
      <c r="A150" s="950" t="s">
        <v>2237</v>
      </c>
      <c r="B150" s="951"/>
      <c r="C150" s="951"/>
      <c r="D150" s="951"/>
      <c r="E150" s="952"/>
      <c r="F150" s="947" t="s">
        <v>2438</v>
      </c>
      <c r="G150" s="949"/>
      <c r="H150" s="947" t="s">
        <v>2439</v>
      </c>
      <c r="I150" s="948"/>
      <c r="J150" s="948"/>
      <c r="K150" s="949"/>
      <c r="L150" s="947" t="s">
        <v>2440</v>
      </c>
      <c r="M150" s="948"/>
      <c r="N150" s="948"/>
      <c r="O150" s="948"/>
      <c r="P150" s="949"/>
      <c r="Q150" s="947" t="s">
        <v>1483</v>
      </c>
      <c r="R150" s="949"/>
      <c r="S150" s="947" t="s">
        <v>2441</v>
      </c>
      <c r="T150" s="948"/>
      <c r="U150" s="949"/>
      <c r="V150" s="947" t="s">
        <v>2442</v>
      </c>
      <c r="W150" s="948"/>
      <c r="X150" s="948"/>
      <c r="Y150" s="948"/>
      <c r="Z150" s="949"/>
      <c r="AA150" s="947" t="s">
        <v>2443</v>
      </c>
      <c r="AB150" s="948"/>
      <c r="AC150" s="948"/>
      <c r="AD150" s="949"/>
      <c r="AE150" s="947" t="s">
        <v>2444</v>
      </c>
      <c r="AF150" s="948"/>
      <c r="AG150" s="948"/>
      <c r="AH150" s="949"/>
      <c r="AI150" s="947" t="s">
        <v>2445</v>
      </c>
      <c r="AJ150" s="948"/>
      <c r="AK150" s="949"/>
    </row>
    <row r="151" spans="1:37" ht="17.850000000000001" customHeight="1" x14ac:dyDescent="0.25">
      <c r="A151" s="950" t="s">
        <v>2238</v>
      </c>
      <c r="B151" s="951"/>
      <c r="C151" s="951"/>
      <c r="D151" s="951"/>
      <c r="E151" s="952"/>
      <c r="F151" s="947" t="s">
        <v>2446</v>
      </c>
      <c r="G151" s="949"/>
      <c r="H151" s="947" t="s">
        <v>2447</v>
      </c>
      <c r="I151" s="948"/>
      <c r="J151" s="948"/>
      <c r="K151" s="949"/>
      <c r="L151" s="947" t="s">
        <v>791</v>
      </c>
      <c r="M151" s="948"/>
      <c r="N151" s="948"/>
      <c r="O151" s="948"/>
      <c r="P151" s="949"/>
      <c r="Q151" s="947" t="s">
        <v>2448</v>
      </c>
      <c r="R151" s="949"/>
      <c r="S151" s="947" t="s">
        <v>889</v>
      </c>
      <c r="T151" s="948"/>
      <c r="U151" s="949"/>
      <c r="V151" s="947" t="s">
        <v>2449</v>
      </c>
      <c r="W151" s="948"/>
      <c r="X151" s="948"/>
      <c r="Y151" s="948"/>
      <c r="Z151" s="949"/>
      <c r="AA151" s="947" t="s">
        <v>889</v>
      </c>
      <c r="AB151" s="948"/>
      <c r="AC151" s="948"/>
      <c r="AD151" s="949"/>
      <c r="AE151" s="947" t="s">
        <v>2449</v>
      </c>
      <c r="AF151" s="948"/>
      <c r="AG151" s="948"/>
      <c r="AH151" s="949"/>
      <c r="AI151" s="947" t="s">
        <v>2450</v>
      </c>
      <c r="AJ151" s="948"/>
      <c r="AK151" s="949"/>
    </row>
    <row r="152" spans="1:37" ht="17.850000000000001" customHeight="1" x14ac:dyDescent="0.25">
      <c r="A152" s="950" t="s">
        <v>2451</v>
      </c>
      <c r="B152" s="951"/>
      <c r="C152" s="951"/>
      <c r="D152" s="951"/>
      <c r="E152" s="952"/>
      <c r="F152" s="947" t="s">
        <v>2452</v>
      </c>
      <c r="G152" s="949"/>
      <c r="H152" s="947" t="s">
        <v>2453</v>
      </c>
      <c r="I152" s="948"/>
      <c r="J152" s="948"/>
      <c r="K152" s="949"/>
      <c r="L152" s="947" t="s">
        <v>2454</v>
      </c>
      <c r="M152" s="948"/>
      <c r="N152" s="948"/>
      <c r="O152" s="948"/>
      <c r="P152" s="949"/>
      <c r="Q152" s="947" t="s">
        <v>2455</v>
      </c>
      <c r="R152" s="949"/>
      <c r="S152" s="947" t="s">
        <v>2454</v>
      </c>
      <c r="T152" s="948"/>
      <c r="U152" s="949"/>
      <c r="V152" s="947" t="s">
        <v>2455</v>
      </c>
      <c r="W152" s="948"/>
      <c r="X152" s="948"/>
      <c r="Y152" s="948"/>
      <c r="Z152" s="949"/>
      <c r="AA152" s="947" t="s">
        <v>2456</v>
      </c>
      <c r="AB152" s="948"/>
      <c r="AC152" s="948"/>
      <c r="AD152" s="949"/>
      <c r="AE152" s="947" t="s">
        <v>2457</v>
      </c>
      <c r="AF152" s="948"/>
      <c r="AG152" s="948"/>
      <c r="AH152" s="949"/>
      <c r="AI152" s="947" t="s">
        <v>825</v>
      </c>
      <c r="AJ152" s="948"/>
      <c r="AK152" s="949"/>
    </row>
    <row r="153" spans="1:37" ht="17.100000000000001" customHeight="1" x14ac:dyDescent="0.25">
      <c r="A153" s="950" t="s">
        <v>2237</v>
      </c>
      <c r="B153" s="951"/>
      <c r="C153" s="951"/>
      <c r="D153" s="951"/>
      <c r="E153" s="952"/>
      <c r="F153" s="947" t="s">
        <v>2452</v>
      </c>
      <c r="G153" s="949"/>
      <c r="H153" s="947" t="s">
        <v>2453</v>
      </c>
      <c r="I153" s="948"/>
      <c r="J153" s="948"/>
      <c r="K153" s="949"/>
      <c r="L153" s="947" t="s">
        <v>2454</v>
      </c>
      <c r="M153" s="948"/>
      <c r="N153" s="948"/>
      <c r="O153" s="948"/>
      <c r="P153" s="949"/>
      <c r="Q153" s="947" t="s">
        <v>2455</v>
      </c>
      <c r="R153" s="949"/>
      <c r="S153" s="947" t="s">
        <v>2454</v>
      </c>
      <c r="T153" s="948"/>
      <c r="U153" s="949"/>
      <c r="V153" s="947" t="s">
        <v>2455</v>
      </c>
      <c r="W153" s="948"/>
      <c r="X153" s="948"/>
      <c r="Y153" s="948"/>
      <c r="Z153" s="949"/>
      <c r="AA153" s="947" t="s">
        <v>2456</v>
      </c>
      <c r="AB153" s="948"/>
      <c r="AC153" s="948"/>
      <c r="AD153" s="949"/>
      <c r="AE153" s="947" t="s">
        <v>2457</v>
      </c>
      <c r="AF153" s="948"/>
      <c r="AG153" s="948"/>
      <c r="AH153" s="949"/>
      <c r="AI153" s="947" t="s">
        <v>825</v>
      </c>
      <c r="AJ153" s="948"/>
      <c r="AK153" s="949"/>
    </row>
    <row r="154" spans="1:37" ht="17.850000000000001" customHeight="1" x14ac:dyDescent="0.25">
      <c r="A154" s="950" t="s">
        <v>2238</v>
      </c>
      <c r="B154" s="951"/>
      <c r="C154" s="951"/>
      <c r="D154" s="951"/>
      <c r="E154" s="952"/>
      <c r="F154" s="947" t="s">
        <v>825</v>
      </c>
      <c r="G154" s="949"/>
      <c r="H154" s="947" t="s">
        <v>825</v>
      </c>
      <c r="I154" s="948"/>
      <c r="J154" s="948"/>
      <c r="K154" s="949"/>
      <c r="L154" s="947" t="s">
        <v>825</v>
      </c>
      <c r="M154" s="948"/>
      <c r="N154" s="948"/>
      <c r="O154" s="948"/>
      <c r="P154" s="949"/>
      <c r="Q154" s="947" t="s">
        <v>825</v>
      </c>
      <c r="R154" s="949"/>
      <c r="S154" s="947" t="s">
        <v>825</v>
      </c>
      <c r="T154" s="948"/>
      <c r="U154" s="949"/>
      <c r="V154" s="947" t="s">
        <v>825</v>
      </c>
      <c r="W154" s="948"/>
      <c r="X154" s="948"/>
      <c r="Y154" s="948"/>
      <c r="Z154" s="949"/>
      <c r="AA154" s="947" t="s">
        <v>825</v>
      </c>
      <c r="AB154" s="948"/>
      <c r="AC154" s="948"/>
      <c r="AD154" s="949"/>
      <c r="AE154" s="947" t="s">
        <v>825</v>
      </c>
      <c r="AF154" s="948"/>
      <c r="AG154" s="948"/>
      <c r="AH154" s="949"/>
      <c r="AI154" s="947" t="s">
        <v>825</v>
      </c>
      <c r="AJ154" s="948"/>
      <c r="AK154" s="949"/>
    </row>
    <row r="155" spans="1:37" ht="17.850000000000001" customHeight="1" x14ac:dyDescent="0.25">
      <c r="A155" s="950" t="s">
        <v>2458</v>
      </c>
      <c r="B155" s="951"/>
      <c r="C155" s="951"/>
      <c r="D155" s="951"/>
      <c r="E155" s="952"/>
      <c r="F155" s="947" t="s">
        <v>2459</v>
      </c>
      <c r="G155" s="949"/>
      <c r="H155" s="947" t="s">
        <v>2460</v>
      </c>
      <c r="I155" s="948"/>
      <c r="J155" s="948"/>
      <c r="K155" s="949"/>
      <c r="L155" s="947" t="s">
        <v>2461</v>
      </c>
      <c r="M155" s="948"/>
      <c r="N155" s="948"/>
      <c r="O155" s="948"/>
      <c r="P155" s="949"/>
      <c r="Q155" s="947" t="s">
        <v>2462</v>
      </c>
      <c r="R155" s="949"/>
      <c r="S155" s="947" t="s">
        <v>2463</v>
      </c>
      <c r="T155" s="948"/>
      <c r="U155" s="949"/>
      <c r="V155" s="947" t="s">
        <v>2464</v>
      </c>
      <c r="W155" s="948"/>
      <c r="X155" s="948"/>
      <c r="Y155" s="948"/>
      <c r="Z155" s="949"/>
      <c r="AA155" s="947" t="s">
        <v>2463</v>
      </c>
      <c r="AB155" s="948"/>
      <c r="AC155" s="948"/>
      <c r="AD155" s="949"/>
      <c r="AE155" s="947" t="s">
        <v>2464</v>
      </c>
      <c r="AF155" s="948"/>
      <c r="AG155" s="948"/>
      <c r="AH155" s="949"/>
      <c r="AI155" s="947" t="s">
        <v>2465</v>
      </c>
      <c r="AJ155" s="948"/>
      <c r="AK155" s="949"/>
    </row>
    <row r="156" spans="1:37" ht="17.100000000000001" customHeight="1" x14ac:dyDescent="0.25">
      <c r="A156" s="950" t="s">
        <v>2237</v>
      </c>
      <c r="B156" s="951"/>
      <c r="C156" s="951"/>
      <c r="D156" s="951"/>
      <c r="E156" s="952"/>
      <c r="F156" s="947" t="s">
        <v>2459</v>
      </c>
      <c r="G156" s="949"/>
      <c r="H156" s="947" t="s">
        <v>2460</v>
      </c>
      <c r="I156" s="948"/>
      <c r="J156" s="948"/>
      <c r="K156" s="949"/>
      <c r="L156" s="947" t="s">
        <v>2461</v>
      </c>
      <c r="M156" s="948"/>
      <c r="N156" s="948"/>
      <c r="O156" s="948"/>
      <c r="P156" s="949"/>
      <c r="Q156" s="947" t="s">
        <v>2462</v>
      </c>
      <c r="R156" s="949"/>
      <c r="S156" s="947" t="s">
        <v>2463</v>
      </c>
      <c r="T156" s="948"/>
      <c r="U156" s="949"/>
      <c r="V156" s="947" t="s">
        <v>2464</v>
      </c>
      <c r="W156" s="948"/>
      <c r="X156" s="948"/>
      <c r="Y156" s="948"/>
      <c r="Z156" s="949"/>
      <c r="AA156" s="947" t="s">
        <v>2463</v>
      </c>
      <c r="AB156" s="948"/>
      <c r="AC156" s="948"/>
      <c r="AD156" s="949"/>
      <c r="AE156" s="947" t="s">
        <v>2464</v>
      </c>
      <c r="AF156" s="948"/>
      <c r="AG156" s="948"/>
      <c r="AH156" s="949"/>
      <c r="AI156" s="947" t="s">
        <v>2465</v>
      </c>
      <c r="AJ156" s="948"/>
      <c r="AK156" s="949"/>
    </row>
    <row r="157" spans="1:37" ht="17.850000000000001" customHeight="1" x14ac:dyDescent="0.25">
      <c r="A157" s="950" t="s">
        <v>2238</v>
      </c>
      <c r="B157" s="951"/>
      <c r="C157" s="951"/>
      <c r="D157" s="951"/>
      <c r="E157" s="952"/>
      <c r="F157" s="947" t="s">
        <v>825</v>
      </c>
      <c r="G157" s="949"/>
      <c r="H157" s="947" t="s">
        <v>825</v>
      </c>
      <c r="I157" s="948"/>
      <c r="J157" s="948"/>
      <c r="K157" s="949"/>
      <c r="L157" s="947" t="s">
        <v>825</v>
      </c>
      <c r="M157" s="948"/>
      <c r="N157" s="948"/>
      <c r="O157" s="948"/>
      <c r="P157" s="949"/>
      <c r="Q157" s="947" t="s">
        <v>825</v>
      </c>
      <c r="R157" s="949"/>
      <c r="S157" s="947" t="s">
        <v>825</v>
      </c>
      <c r="T157" s="948"/>
      <c r="U157" s="949"/>
      <c r="V157" s="947" t="s">
        <v>825</v>
      </c>
      <c r="W157" s="948"/>
      <c r="X157" s="948"/>
      <c r="Y157" s="948"/>
      <c r="Z157" s="949"/>
      <c r="AA157" s="947" t="s">
        <v>825</v>
      </c>
      <c r="AB157" s="948"/>
      <c r="AC157" s="948"/>
      <c r="AD157" s="949"/>
      <c r="AE157" s="947" t="s">
        <v>825</v>
      </c>
      <c r="AF157" s="948"/>
      <c r="AG157" s="948"/>
      <c r="AH157" s="949"/>
      <c r="AI157" s="947" t="s">
        <v>825</v>
      </c>
      <c r="AJ157" s="948"/>
      <c r="AK157" s="949"/>
    </row>
    <row r="158" spans="1:37" ht="17.100000000000001" customHeight="1" x14ac:dyDescent="0.25">
      <c r="A158" s="950" t="s">
        <v>2466</v>
      </c>
      <c r="B158" s="951"/>
      <c r="C158" s="951"/>
      <c r="D158" s="951"/>
      <c r="E158" s="952"/>
      <c r="F158" s="947" t="s">
        <v>2467</v>
      </c>
      <c r="G158" s="949"/>
      <c r="H158" s="947" t="s">
        <v>2468</v>
      </c>
      <c r="I158" s="948"/>
      <c r="J158" s="948"/>
      <c r="K158" s="949"/>
      <c r="L158" s="947" t="s">
        <v>2469</v>
      </c>
      <c r="M158" s="948"/>
      <c r="N158" s="948"/>
      <c r="O158" s="948"/>
      <c r="P158" s="949"/>
      <c r="Q158" s="947" t="s">
        <v>2470</v>
      </c>
      <c r="R158" s="949"/>
      <c r="S158" s="947" t="s">
        <v>2471</v>
      </c>
      <c r="T158" s="948"/>
      <c r="U158" s="949"/>
      <c r="V158" s="947" t="s">
        <v>2472</v>
      </c>
      <c r="W158" s="948"/>
      <c r="X158" s="948"/>
      <c r="Y158" s="948"/>
      <c r="Z158" s="949"/>
      <c r="AA158" s="947" t="s">
        <v>2473</v>
      </c>
      <c r="AB158" s="948"/>
      <c r="AC158" s="948"/>
      <c r="AD158" s="949"/>
      <c r="AE158" s="947" t="s">
        <v>2474</v>
      </c>
      <c r="AF158" s="948"/>
      <c r="AG158" s="948"/>
      <c r="AH158" s="949"/>
      <c r="AI158" s="947" t="s">
        <v>2475</v>
      </c>
      <c r="AJ158" s="948"/>
      <c r="AK158" s="949"/>
    </row>
    <row r="159" spans="1:37" ht="17.850000000000001" customHeight="1" x14ac:dyDescent="0.25">
      <c r="A159" s="950" t="s">
        <v>2237</v>
      </c>
      <c r="B159" s="951"/>
      <c r="C159" s="951"/>
      <c r="D159" s="951"/>
      <c r="E159" s="952"/>
      <c r="F159" s="947" t="s">
        <v>2476</v>
      </c>
      <c r="G159" s="949"/>
      <c r="H159" s="947" t="s">
        <v>2477</v>
      </c>
      <c r="I159" s="948"/>
      <c r="J159" s="948"/>
      <c r="K159" s="949"/>
      <c r="L159" s="947" t="s">
        <v>2478</v>
      </c>
      <c r="M159" s="948"/>
      <c r="N159" s="948"/>
      <c r="O159" s="948"/>
      <c r="P159" s="949"/>
      <c r="Q159" s="947" t="s">
        <v>2479</v>
      </c>
      <c r="R159" s="949"/>
      <c r="S159" s="947" t="s">
        <v>2480</v>
      </c>
      <c r="T159" s="948"/>
      <c r="U159" s="949"/>
      <c r="V159" s="947" t="s">
        <v>2481</v>
      </c>
      <c r="W159" s="948"/>
      <c r="X159" s="948"/>
      <c r="Y159" s="948"/>
      <c r="Z159" s="949"/>
      <c r="AA159" s="947" t="s">
        <v>2482</v>
      </c>
      <c r="AB159" s="948"/>
      <c r="AC159" s="948"/>
      <c r="AD159" s="949"/>
      <c r="AE159" s="947" t="s">
        <v>2483</v>
      </c>
      <c r="AF159" s="948"/>
      <c r="AG159" s="948"/>
      <c r="AH159" s="949"/>
      <c r="AI159" s="947" t="s">
        <v>2475</v>
      </c>
      <c r="AJ159" s="948"/>
      <c r="AK159" s="949"/>
    </row>
    <row r="160" spans="1:37" ht="17.850000000000001" customHeight="1" x14ac:dyDescent="0.25">
      <c r="A160" s="950" t="s">
        <v>2238</v>
      </c>
      <c r="B160" s="951"/>
      <c r="C160" s="951"/>
      <c r="D160" s="951"/>
      <c r="E160" s="952"/>
      <c r="F160" s="947" t="s">
        <v>2484</v>
      </c>
      <c r="G160" s="949"/>
      <c r="H160" s="947" t="s">
        <v>2485</v>
      </c>
      <c r="I160" s="948"/>
      <c r="J160" s="948"/>
      <c r="K160" s="949"/>
      <c r="L160" s="947" t="s">
        <v>2486</v>
      </c>
      <c r="M160" s="948"/>
      <c r="N160" s="948"/>
      <c r="O160" s="948"/>
      <c r="P160" s="949"/>
      <c r="Q160" s="947" t="s">
        <v>2487</v>
      </c>
      <c r="R160" s="949"/>
      <c r="S160" s="947" t="s">
        <v>2486</v>
      </c>
      <c r="T160" s="948"/>
      <c r="U160" s="949"/>
      <c r="V160" s="947" t="s">
        <v>2487</v>
      </c>
      <c r="W160" s="948"/>
      <c r="X160" s="948"/>
      <c r="Y160" s="948"/>
      <c r="Z160" s="949"/>
      <c r="AA160" s="947" t="s">
        <v>2486</v>
      </c>
      <c r="AB160" s="948"/>
      <c r="AC160" s="948"/>
      <c r="AD160" s="949"/>
      <c r="AE160" s="947" t="s">
        <v>2487</v>
      </c>
      <c r="AF160" s="948"/>
      <c r="AG160" s="948"/>
      <c r="AH160" s="949"/>
      <c r="AI160" s="947" t="s">
        <v>825</v>
      </c>
      <c r="AJ160" s="948"/>
      <c r="AK160" s="949"/>
    </row>
    <row r="161" spans="1:37" ht="17.100000000000001" customHeight="1" x14ac:dyDescent="0.25">
      <c r="A161" s="950" t="s">
        <v>2488</v>
      </c>
      <c r="B161" s="951"/>
      <c r="C161" s="951"/>
      <c r="D161" s="951"/>
      <c r="E161" s="952"/>
      <c r="F161" s="947" t="s">
        <v>825</v>
      </c>
      <c r="G161" s="949"/>
      <c r="H161" s="947" t="s">
        <v>825</v>
      </c>
      <c r="I161" s="948"/>
      <c r="J161" s="948"/>
      <c r="K161" s="949"/>
      <c r="L161" s="947" t="s">
        <v>825</v>
      </c>
      <c r="M161" s="948"/>
      <c r="N161" s="948"/>
      <c r="O161" s="948"/>
      <c r="P161" s="949"/>
      <c r="Q161" s="947" t="s">
        <v>825</v>
      </c>
      <c r="R161" s="949"/>
      <c r="S161" s="947" t="s">
        <v>825</v>
      </c>
      <c r="T161" s="948"/>
      <c r="U161" s="949"/>
      <c r="V161" s="947" t="s">
        <v>825</v>
      </c>
      <c r="W161" s="948"/>
      <c r="X161" s="948"/>
      <c r="Y161" s="948"/>
      <c r="Z161" s="949"/>
      <c r="AA161" s="947" t="s">
        <v>825</v>
      </c>
      <c r="AB161" s="948"/>
      <c r="AC161" s="948"/>
      <c r="AD161" s="949"/>
      <c r="AE161" s="947" t="s">
        <v>825</v>
      </c>
      <c r="AF161" s="948"/>
      <c r="AG161" s="948"/>
      <c r="AH161" s="949"/>
      <c r="AI161" s="947" t="s">
        <v>825</v>
      </c>
      <c r="AJ161" s="948"/>
      <c r="AK161" s="949"/>
    </row>
    <row r="162" spans="1:37" ht="17.850000000000001" customHeight="1" x14ac:dyDescent="0.25">
      <c r="A162" s="950" t="s">
        <v>2237</v>
      </c>
      <c r="B162" s="951"/>
      <c r="C162" s="951"/>
      <c r="D162" s="951"/>
      <c r="E162" s="952"/>
      <c r="F162" s="947" t="s">
        <v>825</v>
      </c>
      <c r="G162" s="949"/>
      <c r="H162" s="947" t="s">
        <v>825</v>
      </c>
      <c r="I162" s="948"/>
      <c r="J162" s="948"/>
      <c r="K162" s="949"/>
      <c r="L162" s="947" t="s">
        <v>825</v>
      </c>
      <c r="M162" s="948"/>
      <c r="N162" s="948"/>
      <c r="O162" s="948"/>
      <c r="P162" s="949"/>
      <c r="Q162" s="947" t="s">
        <v>825</v>
      </c>
      <c r="R162" s="949"/>
      <c r="S162" s="947" t="s">
        <v>825</v>
      </c>
      <c r="T162" s="948"/>
      <c r="U162" s="949"/>
      <c r="V162" s="947" t="s">
        <v>825</v>
      </c>
      <c r="W162" s="948"/>
      <c r="X162" s="948"/>
      <c r="Y162" s="948"/>
      <c r="Z162" s="949"/>
      <c r="AA162" s="947" t="s">
        <v>825</v>
      </c>
      <c r="AB162" s="948"/>
      <c r="AC162" s="948"/>
      <c r="AD162" s="949"/>
      <c r="AE162" s="947" t="s">
        <v>825</v>
      </c>
      <c r="AF162" s="948"/>
      <c r="AG162" s="948"/>
      <c r="AH162" s="949"/>
      <c r="AI162" s="947" t="s">
        <v>825</v>
      </c>
      <c r="AJ162" s="948"/>
      <c r="AK162" s="949"/>
    </row>
    <row r="163" spans="1:37" ht="17.850000000000001" customHeight="1" x14ac:dyDescent="0.25">
      <c r="A163" s="950" t="s">
        <v>2238</v>
      </c>
      <c r="B163" s="951"/>
      <c r="C163" s="951"/>
      <c r="D163" s="951"/>
      <c r="E163" s="952"/>
      <c r="F163" s="947" t="s">
        <v>825</v>
      </c>
      <c r="G163" s="949"/>
      <c r="H163" s="947" t="s">
        <v>825</v>
      </c>
      <c r="I163" s="948"/>
      <c r="J163" s="948"/>
      <c r="K163" s="949"/>
      <c r="L163" s="947" t="s">
        <v>825</v>
      </c>
      <c r="M163" s="948"/>
      <c r="N163" s="948"/>
      <c r="O163" s="948"/>
      <c r="P163" s="949"/>
      <c r="Q163" s="947" t="s">
        <v>825</v>
      </c>
      <c r="R163" s="949"/>
      <c r="S163" s="947" t="s">
        <v>825</v>
      </c>
      <c r="T163" s="948"/>
      <c r="U163" s="949"/>
      <c r="V163" s="947" t="s">
        <v>825</v>
      </c>
      <c r="W163" s="948"/>
      <c r="X163" s="948"/>
      <c r="Y163" s="948"/>
      <c r="Z163" s="949"/>
      <c r="AA163" s="947" t="s">
        <v>825</v>
      </c>
      <c r="AB163" s="948"/>
      <c r="AC163" s="948"/>
      <c r="AD163" s="949"/>
      <c r="AE163" s="947" t="s">
        <v>825</v>
      </c>
      <c r="AF163" s="948"/>
      <c r="AG163" s="948"/>
      <c r="AH163" s="949"/>
      <c r="AI163" s="947" t="s">
        <v>825</v>
      </c>
      <c r="AJ163" s="948"/>
      <c r="AK163" s="949"/>
    </row>
    <row r="164" spans="1:37" ht="17.100000000000001" customHeight="1" x14ac:dyDescent="0.25">
      <c r="A164" s="950" t="s">
        <v>2489</v>
      </c>
      <c r="B164" s="951"/>
      <c r="C164" s="951"/>
      <c r="D164" s="951"/>
      <c r="E164" s="952"/>
      <c r="F164" s="947" t="s">
        <v>2490</v>
      </c>
      <c r="G164" s="949"/>
      <c r="H164" s="947" t="s">
        <v>2491</v>
      </c>
      <c r="I164" s="948"/>
      <c r="J164" s="948"/>
      <c r="K164" s="949"/>
      <c r="L164" s="947" t="s">
        <v>2492</v>
      </c>
      <c r="M164" s="948"/>
      <c r="N164" s="948"/>
      <c r="O164" s="948"/>
      <c r="P164" s="949"/>
      <c r="Q164" s="947" t="s">
        <v>2493</v>
      </c>
      <c r="R164" s="949"/>
      <c r="S164" s="947" t="s">
        <v>2494</v>
      </c>
      <c r="T164" s="948"/>
      <c r="U164" s="949"/>
      <c r="V164" s="947" t="s">
        <v>2495</v>
      </c>
      <c r="W164" s="948"/>
      <c r="X164" s="948"/>
      <c r="Y164" s="948"/>
      <c r="Z164" s="949"/>
      <c r="AA164" s="947" t="s">
        <v>2496</v>
      </c>
      <c r="AB164" s="948"/>
      <c r="AC164" s="948"/>
      <c r="AD164" s="949"/>
      <c r="AE164" s="947" t="s">
        <v>2497</v>
      </c>
      <c r="AF164" s="948"/>
      <c r="AG164" s="948"/>
      <c r="AH164" s="949"/>
      <c r="AI164" s="947" t="s">
        <v>2498</v>
      </c>
      <c r="AJ164" s="948"/>
      <c r="AK164" s="949"/>
    </row>
    <row r="165" spans="1:37" ht="17.850000000000001" customHeight="1" x14ac:dyDescent="0.25">
      <c r="A165" s="950" t="s">
        <v>2237</v>
      </c>
      <c r="B165" s="951"/>
      <c r="C165" s="951"/>
      <c r="D165" s="951"/>
      <c r="E165" s="952"/>
      <c r="F165" s="947" t="s">
        <v>2499</v>
      </c>
      <c r="G165" s="949"/>
      <c r="H165" s="947" t="s">
        <v>2500</v>
      </c>
      <c r="I165" s="948"/>
      <c r="J165" s="948"/>
      <c r="K165" s="949"/>
      <c r="L165" s="947" t="s">
        <v>820</v>
      </c>
      <c r="M165" s="948"/>
      <c r="N165" s="948"/>
      <c r="O165" s="948"/>
      <c r="P165" s="949"/>
      <c r="Q165" s="947" t="s">
        <v>2501</v>
      </c>
      <c r="R165" s="949"/>
      <c r="S165" s="947" t="s">
        <v>820</v>
      </c>
      <c r="T165" s="948"/>
      <c r="U165" s="949"/>
      <c r="V165" s="947" t="s">
        <v>2501</v>
      </c>
      <c r="W165" s="948"/>
      <c r="X165" s="948"/>
      <c r="Y165" s="948"/>
      <c r="Z165" s="949"/>
      <c r="AA165" s="947" t="s">
        <v>795</v>
      </c>
      <c r="AB165" s="948"/>
      <c r="AC165" s="948"/>
      <c r="AD165" s="949"/>
      <c r="AE165" s="947" t="s">
        <v>2502</v>
      </c>
      <c r="AF165" s="948"/>
      <c r="AG165" s="948"/>
      <c r="AH165" s="949"/>
      <c r="AI165" s="947" t="s">
        <v>825</v>
      </c>
      <c r="AJ165" s="948"/>
      <c r="AK165" s="949"/>
    </row>
    <row r="166" spans="1:37" ht="17.100000000000001" customHeight="1" x14ac:dyDescent="0.25">
      <c r="A166" s="941" t="s">
        <v>2238</v>
      </c>
      <c r="B166" s="942"/>
      <c r="C166" s="942"/>
      <c r="D166" s="942"/>
      <c r="E166" s="943"/>
      <c r="F166" s="938" t="s">
        <v>2503</v>
      </c>
      <c r="G166" s="940"/>
      <c r="H166" s="938" t="s">
        <v>2504</v>
      </c>
      <c r="I166" s="939"/>
      <c r="J166" s="939"/>
      <c r="K166" s="940"/>
      <c r="L166" s="938" t="s">
        <v>2505</v>
      </c>
      <c r="M166" s="939"/>
      <c r="N166" s="939"/>
      <c r="O166" s="939"/>
      <c r="P166" s="940"/>
      <c r="Q166" s="938" t="s">
        <v>2506</v>
      </c>
      <c r="R166" s="940"/>
      <c r="S166" s="938" t="s">
        <v>2507</v>
      </c>
      <c r="T166" s="939"/>
      <c r="U166" s="940"/>
      <c r="V166" s="938" t="s">
        <v>2495</v>
      </c>
      <c r="W166" s="939"/>
      <c r="X166" s="939"/>
      <c r="Y166" s="939"/>
      <c r="Z166" s="940"/>
      <c r="AA166" s="938" t="s">
        <v>2508</v>
      </c>
      <c r="AB166" s="939"/>
      <c r="AC166" s="939"/>
      <c r="AD166" s="940"/>
      <c r="AE166" s="938" t="s">
        <v>2509</v>
      </c>
      <c r="AF166" s="939"/>
      <c r="AG166" s="939"/>
      <c r="AH166" s="940"/>
      <c r="AI166" s="938" t="s">
        <v>2498</v>
      </c>
      <c r="AJ166" s="939"/>
      <c r="AK166" s="940"/>
    </row>
    <row r="167" spans="1:37" ht="17.850000000000001" customHeight="1" x14ac:dyDescent="0.25">
      <c r="A167" s="925" t="s">
        <v>2510</v>
      </c>
      <c r="B167" s="926"/>
      <c r="C167" s="926"/>
      <c r="D167" s="926"/>
      <c r="E167" s="927"/>
      <c r="F167" s="918" t="s">
        <v>2511</v>
      </c>
      <c r="G167" s="920"/>
      <c r="H167" s="918" t="s">
        <v>2512</v>
      </c>
      <c r="I167" s="919"/>
      <c r="J167" s="919"/>
      <c r="K167" s="920"/>
      <c r="L167" s="918" t="s">
        <v>2513</v>
      </c>
      <c r="M167" s="919"/>
      <c r="N167" s="919"/>
      <c r="O167" s="919"/>
      <c r="P167" s="920"/>
      <c r="Q167" s="918" t="s">
        <v>2514</v>
      </c>
      <c r="R167" s="920"/>
      <c r="S167" s="918" t="s">
        <v>2515</v>
      </c>
      <c r="T167" s="919"/>
      <c r="U167" s="920"/>
      <c r="V167" s="918" t="s">
        <v>2516</v>
      </c>
      <c r="W167" s="919"/>
      <c r="X167" s="919"/>
      <c r="Y167" s="919"/>
      <c r="Z167" s="920"/>
      <c r="AA167" s="918" t="s">
        <v>2517</v>
      </c>
      <c r="AB167" s="919"/>
      <c r="AC167" s="919"/>
      <c r="AD167" s="920"/>
      <c r="AE167" s="918" t="s">
        <v>2518</v>
      </c>
      <c r="AF167" s="919"/>
      <c r="AG167" s="919"/>
      <c r="AH167" s="920"/>
      <c r="AI167" s="918" t="s">
        <v>2519</v>
      </c>
      <c r="AJ167" s="919"/>
      <c r="AK167" s="920"/>
    </row>
    <row r="168" spans="1:37" ht="11.85" customHeight="1" x14ac:dyDescent="0.25">
      <c r="A168" s="921"/>
      <c r="B168" s="921"/>
      <c r="C168" s="921"/>
      <c r="D168" s="921"/>
      <c r="E168" s="921"/>
      <c r="F168" s="921"/>
      <c r="G168" s="921"/>
      <c r="H168" s="921"/>
      <c r="I168" s="921"/>
      <c r="J168" s="921"/>
      <c r="K168" s="921"/>
      <c r="L168" s="921"/>
      <c r="M168" s="921"/>
      <c r="N168" s="921"/>
      <c r="O168" s="921"/>
      <c r="P168" s="921"/>
      <c r="Q168" s="921"/>
      <c r="R168" s="921"/>
      <c r="S168" s="921"/>
      <c r="T168" s="921"/>
      <c r="U168" s="921"/>
      <c r="V168" s="921"/>
      <c r="W168" s="921"/>
      <c r="X168" s="921"/>
      <c r="Y168" s="921"/>
      <c r="Z168" s="921"/>
      <c r="AA168" s="921"/>
      <c r="AB168" s="921"/>
      <c r="AC168" s="921"/>
      <c r="AD168" s="921"/>
      <c r="AE168" s="921"/>
      <c r="AF168" s="921"/>
      <c r="AG168" s="921"/>
      <c r="AH168" s="921"/>
      <c r="AI168" s="921"/>
      <c r="AJ168" s="921"/>
      <c r="AK168" s="921"/>
    </row>
    <row r="169" spans="1:37" ht="17.100000000000001" customHeight="1" x14ac:dyDescent="0.25"/>
    <row r="170" spans="1:37" ht="11.85" customHeight="1" x14ac:dyDescent="0.25">
      <c r="A170" s="803" t="s">
        <v>2274</v>
      </c>
      <c r="B170" s="803"/>
      <c r="C170" s="803"/>
      <c r="D170" s="803"/>
      <c r="E170" s="803"/>
      <c r="F170" s="803"/>
      <c r="G170" s="803"/>
      <c r="H170" s="803"/>
      <c r="I170" s="803"/>
      <c r="J170" s="803"/>
      <c r="K170" s="803"/>
      <c r="L170" s="803"/>
      <c r="M170" s="803"/>
      <c r="N170" s="803"/>
      <c r="O170" s="803"/>
      <c r="P170" s="803"/>
      <c r="Q170" s="803"/>
      <c r="R170" s="803"/>
      <c r="S170" s="803"/>
      <c r="T170" s="803"/>
      <c r="U170" s="803"/>
      <c r="V170" s="803"/>
      <c r="W170" s="803"/>
      <c r="X170" s="803"/>
      <c r="Y170" s="803"/>
      <c r="Z170" s="803"/>
      <c r="AA170" s="803"/>
      <c r="AB170" s="803"/>
      <c r="AC170" s="803"/>
      <c r="AD170" s="803"/>
      <c r="AE170" s="803"/>
      <c r="AF170" s="803"/>
      <c r="AG170" s="803"/>
      <c r="AH170" s="803"/>
      <c r="AI170" s="803"/>
      <c r="AJ170" s="803"/>
    </row>
    <row r="171" spans="1:37" ht="5.85" customHeight="1" x14ac:dyDescent="0.25"/>
    <row r="172" spans="1:37" ht="11.85" customHeight="1" x14ac:dyDescent="0.25">
      <c r="A172" s="856" t="s">
        <v>833</v>
      </c>
      <c r="B172" s="856"/>
      <c r="C172" s="856"/>
      <c r="D172" s="856"/>
      <c r="E172" s="856"/>
      <c r="F172" s="856"/>
      <c r="G172" s="856"/>
      <c r="H172" s="856"/>
      <c r="AJ172" s="586" t="s">
        <v>1971</v>
      </c>
    </row>
    <row r="173" spans="1:37" ht="11.1" customHeight="1" x14ac:dyDescent="0.25">
      <c r="A173" s="856" t="s">
        <v>824</v>
      </c>
      <c r="B173" s="856"/>
      <c r="C173" s="856"/>
      <c r="D173" s="856"/>
      <c r="E173" s="856"/>
      <c r="F173" s="856"/>
      <c r="G173" s="856"/>
      <c r="H173" s="856"/>
    </row>
    <row r="174" spans="1:37" ht="11.85" customHeight="1" x14ac:dyDescent="0.25">
      <c r="A174" s="861" t="s">
        <v>2160</v>
      </c>
      <c r="B174" s="861"/>
      <c r="C174" s="861"/>
      <c r="D174" s="861"/>
      <c r="E174" s="861"/>
      <c r="F174" s="861"/>
      <c r="G174" s="861"/>
      <c r="H174" s="861"/>
    </row>
    <row r="175" spans="1:37" ht="11.85" customHeight="1" x14ac:dyDescent="0.25">
      <c r="A175" s="856" t="s">
        <v>832</v>
      </c>
      <c r="B175" s="856"/>
      <c r="C175" s="856"/>
      <c r="D175" s="856"/>
      <c r="E175" s="856"/>
      <c r="F175" s="856"/>
      <c r="G175" s="856"/>
      <c r="H175" s="856"/>
    </row>
    <row r="176" spans="1:37" ht="11.85" customHeight="1" x14ac:dyDescent="0.25">
      <c r="A176" s="856" t="s">
        <v>2161</v>
      </c>
      <c r="B176" s="856"/>
      <c r="C176" s="856"/>
      <c r="D176" s="856"/>
      <c r="E176" s="856"/>
      <c r="F176" s="856"/>
      <c r="G176" s="856"/>
      <c r="H176" s="856"/>
    </row>
    <row r="177" spans="1:37" ht="5.85" customHeight="1" x14ac:dyDescent="0.25"/>
    <row r="178" spans="1:37" ht="11.1" customHeight="1" x14ac:dyDescent="0.25">
      <c r="A178" s="973" t="s">
        <v>2162</v>
      </c>
      <c r="B178" s="973"/>
      <c r="C178" s="973"/>
      <c r="D178" s="973"/>
      <c r="E178" s="973"/>
      <c r="F178" s="973"/>
      <c r="G178" s="973"/>
      <c r="H178" s="973"/>
      <c r="I178" s="550"/>
      <c r="J178" s="550"/>
      <c r="K178" s="550"/>
      <c r="L178" s="550"/>
      <c r="M178" s="550"/>
      <c r="N178" s="550"/>
      <c r="O178" s="550"/>
      <c r="P178" s="550"/>
      <c r="Q178" s="550"/>
      <c r="R178" s="550"/>
      <c r="S178" s="550"/>
      <c r="T178" s="550"/>
      <c r="U178" s="550"/>
      <c r="V178" s="550"/>
      <c r="W178" s="550"/>
      <c r="X178" s="550"/>
      <c r="Y178" s="550"/>
      <c r="Z178" s="550"/>
      <c r="AA178" s="550"/>
      <c r="AB178" s="550"/>
      <c r="AC178" s="550"/>
      <c r="AD178" s="550"/>
      <c r="AE178" s="550"/>
      <c r="AF178" s="550"/>
      <c r="AG178" s="550"/>
      <c r="AH178" s="550"/>
      <c r="AI178" s="550"/>
      <c r="AJ178" s="550"/>
      <c r="AK178" s="550"/>
    </row>
    <row r="179" spans="1:37" ht="11.85" customHeight="1" x14ac:dyDescent="0.25">
      <c r="A179" s="974" t="s">
        <v>2520</v>
      </c>
      <c r="B179" s="975"/>
      <c r="C179" s="975"/>
      <c r="D179" s="975"/>
      <c r="E179" s="976"/>
      <c r="F179" s="965" t="s">
        <v>2221</v>
      </c>
      <c r="G179" s="967"/>
      <c r="H179" s="965" t="s">
        <v>1888</v>
      </c>
      <c r="I179" s="966"/>
      <c r="J179" s="966"/>
      <c r="K179" s="967"/>
      <c r="L179" s="804" t="s">
        <v>1696</v>
      </c>
      <c r="M179" s="825"/>
      <c r="N179" s="825"/>
      <c r="O179" s="825"/>
      <c r="P179" s="825"/>
      <c r="Q179" s="825"/>
      <c r="R179" s="805"/>
      <c r="S179" s="804" t="s">
        <v>1698</v>
      </c>
      <c r="T179" s="825"/>
      <c r="U179" s="825"/>
      <c r="V179" s="825"/>
      <c r="W179" s="825"/>
      <c r="X179" s="825"/>
      <c r="Y179" s="825"/>
      <c r="Z179" s="805"/>
      <c r="AA179" s="804" t="s">
        <v>2222</v>
      </c>
      <c r="AB179" s="825"/>
      <c r="AC179" s="825"/>
      <c r="AD179" s="825"/>
      <c r="AE179" s="825"/>
      <c r="AF179" s="825"/>
      <c r="AG179" s="825"/>
      <c r="AH179" s="805"/>
      <c r="AI179" s="965" t="s">
        <v>2401</v>
      </c>
      <c r="AJ179" s="966"/>
      <c r="AK179" s="967"/>
    </row>
    <row r="180" spans="1:37" ht="17.850000000000001" customHeight="1" x14ac:dyDescent="0.25">
      <c r="A180" s="977"/>
      <c r="B180" s="978"/>
      <c r="C180" s="978"/>
      <c r="D180" s="978"/>
      <c r="E180" s="979"/>
      <c r="F180" s="968"/>
      <c r="G180" s="970"/>
      <c r="H180" s="968"/>
      <c r="I180" s="969"/>
      <c r="J180" s="969"/>
      <c r="K180" s="970"/>
      <c r="L180" s="965" t="s">
        <v>2224</v>
      </c>
      <c r="M180" s="971"/>
      <c r="N180" s="971"/>
      <c r="O180" s="971"/>
      <c r="P180" s="972"/>
      <c r="Q180" s="965" t="s">
        <v>2225</v>
      </c>
      <c r="R180" s="972"/>
      <c r="S180" s="965" t="s">
        <v>2226</v>
      </c>
      <c r="T180" s="971"/>
      <c r="U180" s="972"/>
      <c r="V180" s="965" t="s">
        <v>2227</v>
      </c>
      <c r="W180" s="971"/>
      <c r="X180" s="971"/>
      <c r="Y180" s="971"/>
      <c r="Z180" s="972"/>
      <c r="AA180" s="965" t="s">
        <v>2228</v>
      </c>
      <c r="AB180" s="971"/>
      <c r="AC180" s="971"/>
      <c r="AD180" s="972"/>
      <c r="AE180" s="965" t="s">
        <v>2229</v>
      </c>
      <c r="AF180" s="971"/>
      <c r="AG180" s="971"/>
      <c r="AH180" s="972"/>
      <c r="AI180" s="968"/>
      <c r="AJ180" s="969"/>
      <c r="AK180" s="970"/>
    </row>
    <row r="181" spans="1:37" ht="17.100000000000001" customHeight="1" x14ac:dyDescent="0.25">
      <c r="A181" s="959" t="s">
        <v>2521</v>
      </c>
      <c r="B181" s="960"/>
      <c r="C181" s="960"/>
      <c r="D181" s="960"/>
      <c r="E181" s="961"/>
      <c r="F181" s="962" t="s">
        <v>2522</v>
      </c>
      <c r="G181" s="963"/>
      <c r="H181" s="962" t="s">
        <v>2523</v>
      </c>
      <c r="I181" s="964"/>
      <c r="J181" s="964"/>
      <c r="K181" s="963"/>
      <c r="L181" s="956" t="s">
        <v>2524</v>
      </c>
      <c r="M181" s="957"/>
      <c r="N181" s="957"/>
      <c r="O181" s="957"/>
      <c r="P181" s="958"/>
      <c r="Q181" s="956" t="s">
        <v>2525</v>
      </c>
      <c r="R181" s="958"/>
      <c r="S181" s="956" t="s">
        <v>2526</v>
      </c>
      <c r="T181" s="957"/>
      <c r="U181" s="958"/>
      <c r="V181" s="956" t="s">
        <v>2527</v>
      </c>
      <c r="W181" s="957"/>
      <c r="X181" s="957"/>
      <c r="Y181" s="957"/>
      <c r="Z181" s="958"/>
      <c r="AA181" s="956" t="s">
        <v>2528</v>
      </c>
      <c r="AB181" s="957"/>
      <c r="AC181" s="957"/>
      <c r="AD181" s="958"/>
      <c r="AE181" s="956" t="s">
        <v>2529</v>
      </c>
      <c r="AF181" s="957"/>
      <c r="AG181" s="957"/>
      <c r="AH181" s="958"/>
      <c r="AI181" s="956" t="s">
        <v>2411</v>
      </c>
      <c r="AJ181" s="957"/>
      <c r="AK181" s="958"/>
    </row>
    <row r="182" spans="1:37" ht="17.850000000000001" customHeight="1" x14ac:dyDescent="0.25">
      <c r="A182" s="950" t="s">
        <v>2530</v>
      </c>
      <c r="B182" s="951"/>
      <c r="C182" s="951"/>
      <c r="D182" s="951"/>
      <c r="E182" s="952"/>
      <c r="F182" s="953" t="s">
        <v>2531</v>
      </c>
      <c r="G182" s="954"/>
      <c r="H182" s="953" t="s">
        <v>2532</v>
      </c>
      <c r="I182" s="955"/>
      <c r="J182" s="955"/>
      <c r="K182" s="954"/>
      <c r="L182" s="947" t="s">
        <v>2533</v>
      </c>
      <c r="M182" s="948"/>
      <c r="N182" s="948"/>
      <c r="O182" s="948"/>
      <c r="P182" s="949"/>
      <c r="Q182" s="947" t="s">
        <v>2534</v>
      </c>
      <c r="R182" s="949"/>
      <c r="S182" s="947" t="s">
        <v>2535</v>
      </c>
      <c r="T182" s="948"/>
      <c r="U182" s="949"/>
      <c r="V182" s="947" t="s">
        <v>2536</v>
      </c>
      <c r="W182" s="948"/>
      <c r="X182" s="948"/>
      <c r="Y182" s="948"/>
      <c r="Z182" s="949"/>
      <c r="AA182" s="947" t="s">
        <v>2537</v>
      </c>
      <c r="AB182" s="948"/>
      <c r="AC182" s="948"/>
      <c r="AD182" s="949"/>
      <c r="AE182" s="947" t="s">
        <v>2538</v>
      </c>
      <c r="AF182" s="948"/>
      <c r="AG182" s="948"/>
      <c r="AH182" s="949"/>
      <c r="AI182" s="947" t="s">
        <v>2539</v>
      </c>
      <c r="AJ182" s="948"/>
      <c r="AK182" s="949"/>
    </row>
    <row r="183" spans="1:37" ht="17.850000000000001" customHeight="1" x14ac:dyDescent="0.25">
      <c r="A183" s="950" t="s">
        <v>2540</v>
      </c>
      <c r="B183" s="951"/>
      <c r="C183" s="951"/>
      <c r="D183" s="951"/>
      <c r="E183" s="952"/>
      <c r="F183" s="953" t="s">
        <v>2541</v>
      </c>
      <c r="G183" s="954"/>
      <c r="H183" s="953" t="s">
        <v>2542</v>
      </c>
      <c r="I183" s="955"/>
      <c r="J183" s="955"/>
      <c r="K183" s="954"/>
      <c r="L183" s="947" t="s">
        <v>2543</v>
      </c>
      <c r="M183" s="948"/>
      <c r="N183" s="948"/>
      <c r="O183" s="948"/>
      <c r="P183" s="949"/>
      <c r="Q183" s="947" t="s">
        <v>2544</v>
      </c>
      <c r="R183" s="949"/>
      <c r="S183" s="947" t="s">
        <v>2543</v>
      </c>
      <c r="T183" s="948"/>
      <c r="U183" s="949"/>
      <c r="V183" s="947" t="s">
        <v>2544</v>
      </c>
      <c r="W183" s="948"/>
      <c r="X183" s="948"/>
      <c r="Y183" s="948"/>
      <c r="Z183" s="949"/>
      <c r="AA183" s="947" t="s">
        <v>2545</v>
      </c>
      <c r="AB183" s="948"/>
      <c r="AC183" s="948"/>
      <c r="AD183" s="949"/>
      <c r="AE183" s="947" t="s">
        <v>2546</v>
      </c>
      <c r="AF183" s="948"/>
      <c r="AG183" s="948"/>
      <c r="AH183" s="949"/>
      <c r="AI183" s="947" t="s">
        <v>825</v>
      </c>
      <c r="AJ183" s="948"/>
      <c r="AK183" s="949"/>
    </row>
    <row r="184" spans="1:37" ht="17.100000000000001" customHeight="1" x14ac:dyDescent="0.25">
      <c r="A184" s="950" t="s">
        <v>2547</v>
      </c>
      <c r="B184" s="951"/>
      <c r="C184" s="951"/>
      <c r="D184" s="951"/>
      <c r="E184" s="952"/>
      <c r="F184" s="953" t="s">
        <v>2548</v>
      </c>
      <c r="G184" s="954"/>
      <c r="H184" s="953" t="s">
        <v>2549</v>
      </c>
      <c r="I184" s="955"/>
      <c r="J184" s="955"/>
      <c r="K184" s="954"/>
      <c r="L184" s="947" t="s">
        <v>2550</v>
      </c>
      <c r="M184" s="948"/>
      <c r="N184" s="948"/>
      <c r="O184" s="948"/>
      <c r="P184" s="949"/>
      <c r="Q184" s="947" t="s">
        <v>2551</v>
      </c>
      <c r="R184" s="949"/>
      <c r="S184" s="947" t="s">
        <v>2552</v>
      </c>
      <c r="T184" s="948"/>
      <c r="U184" s="949"/>
      <c r="V184" s="947" t="s">
        <v>2553</v>
      </c>
      <c r="W184" s="948"/>
      <c r="X184" s="948"/>
      <c r="Y184" s="948"/>
      <c r="Z184" s="949"/>
      <c r="AA184" s="947" t="s">
        <v>2552</v>
      </c>
      <c r="AB184" s="948"/>
      <c r="AC184" s="948"/>
      <c r="AD184" s="949"/>
      <c r="AE184" s="947" t="s">
        <v>2553</v>
      </c>
      <c r="AF184" s="948"/>
      <c r="AG184" s="948"/>
      <c r="AH184" s="949"/>
      <c r="AI184" s="947" t="s">
        <v>2465</v>
      </c>
      <c r="AJ184" s="948"/>
      <c r="AK184" s="949"/>
    </row>
    <row r="185" spans="1:37" ht="17.850000000000001" customHeight="1" x14ac:dyDescent="0.25">
      <c r="A185" s="950" t="s">
        <v>2554</v>
      </c>
      <c r="B185" s="951"/>
      <c r="C185" s="951"/>
      <c r="D185" s="951"/>
      <c r="E185" s="952"/>
      <c r="F185" s="953" t="s">
        <v>2555</v>
      </c>
      <c r="G185" s="954"/>
      <c r="H185" s="953" t="s">
        <v>2556</v>
      </c>
      <c r="I185" s="955"/>
      <c r="J185" s="955"/>
      <c r="K185" s="954"/>
      <c r="L185" s="947" t="s">
        <v>2557</v>
      </c>
      <c r="M185" s="948"/>
      <c r="N185" s="948"/>
      <c r="O185" s="948"/>
      <c r="P185" s="949"/>
      <c r="Q185" s="947" t="s">
        <v>2558</v>
      </c>
      <c r="R185" s="949"/>
      <c r="S185" s="947" t="s">
        <v>2559</v>
      </c>
      <c r="T185" s="948"/>
      <c r="U185" s="949"/>
      <c r="V185" s="947" t="s">
        <v>2560</v>
      </c>
      <c r="W185" s="948"/>
      <c r="X185" s="948"/>
      <c r="Y185" s="948"/>
      <c r="Z185" s="949"/>
      <c r="AA185" s="947" t="s">
        <v>2561</v>
      </c>
      <c r="AB185" s="948"/>
      <c r="AC185" s="948"/>
      <c r="AD185" s="949"/>
      <c r="AE185" s="947" t="s">
        <v>2562</v>
      </c>
      <c r="AF185" s="948"/>
      <c r="AG185" s="948"/>
      <c r="AH185" s="949"/>
      <c r="AI185" s="947" t="s">
        <v>2475</v>
      </c>
      <c r="AJ185" s="948"/>
      <c r="AK185" s="949"/>
    </row>
    <row r="186" spans="1:37" ht="17.100000000000001" customHeight="1" x14ac:dyDescent="0.25">
      <c r="A186" s="950" t="s">
        <v>2563</v>
      </c>
      <c r="B186" s="951"/>
      <c r="C186" s="951"/>
      <c r="D186" s="951"/>
      <c r="E186" s="952"/>
      <c r="F186" s="953" t="s">
        <v>825</v>
      </c>
      <c r="G186" s="954"/>
      <c r="H186" s="953" t="s">
        <v>825</v>
      </c>
      <c r="I186" s="955"/>
      <c r="J186" s="955"/>
      <c r="K186" s="954"/>
      <c r="L186" s="947" t="s">
        <v>825</v>
      </c>
      <c r="M186" s="948"/>
      <c r="N186" s="948"/>
      <c r="O186" s="948"/>
      <c r="P186" s="949"/>
      <c r="Q186" s="947" t="s">
        <v>825</v>
      </c>
      <c r="R186" s="949"/>
      <c r="S186" s="947" t="s">
        <v>825</v>
      </c>
      <c r="T186" s="948"/>
      <c r="U186" s="949"/>
      <c r="V186" s="947" t="s">
        <v>825</v>
      </c>
      <c r="W186" s="948"/>
      <c r="X186" s="948"/>
      <c r="Y186" s="948"/>
      <c r="Z186" s="949"/>
      <c r="AA186" s="947" t="s">
        <v>825</v>
      </c>
      <c r="AB186" s="948"/>
      <c r="AC186" s="948"/>
      <c r="AD186" s="949"/>
      <c r="AE186" s="947" t="s">
        <v>825</v>
      </c>
      <c r="AF186" s="948"/>
      <c r="AG186" s="948"/>
      <c r="AH186" s="949"/>
      <c r="AI186" s="947" t="s">
        <v>825</v>
      </c>
      <c r="AJ186" s="948"/>
      <c r="AK186" s="949"/>
    </row>
    <row r="187" spans="1:37" ht="17.850000000000001" customHeight="1" x14ac:dyDescent="0.25">
      <c r="A187" s="941" t="s">
        <v>2283</v>
      </c>
      <c r="B187" s="942"/>
      <c r="C187" s="942"/>
      <c r="D187" s="942"/>
      <c r="E187" s="943"/>
      <c r="F187" s="944" t="s">
        <v>2564</v>
      </c>
      <c r="G187" s="945"/>
      <c r="H187" s="944" t="s">
        <v>2565</v>
      </c>
      <c r="I187" s="946"/>
      <c r="J187" s="946"/>
      <c r="K187" s="945"/>
      <c r="L187" s="938" t="s">
        <v>2566</v>
      </c>
      <c r="M187" s="939"/>
      <c r="N187" s="939"/>
      <c r="O187" s="939"/>
      <c r="P187" s="940"/>
      <c r="Q187" s="938" t="s">
        <v>2567</v>
      </c>
      <c r="R187" s="940"/>
      <c r="S187" s="938" t="s">
        <v>2568</v>
      </c>
      <c r="T187" s="939"/>
      <c r="U187" s="940"/>
      <c r="V187" s="938" t="s">
        <v>2569</v>
      </c>
      <c r="W187" s="939"/>
      <c r="X187" s="939"/>
      <c r="Y187" s="939"/>
      <c r="Z187" s="940"/>
      <c r="AA187" s="938" t="s">
        <v>2570</v>
      </c>
      <c r="AB187" s="939"/>
      <c r="AC187" s="939"/>
      <c r="AD187" s="940"/>
      <c r="AE187" s="938" t="s">
        <v>2571</v>
      </c>
      <c r="AF187" s="939"/>
      <c r="AG187" s="939"/>
      <c r="AH187" s="940"/>
      <c r="AI187" s="938" t="s">
        <v>2572</v>
      </c>
      <c r="AJ187" s="939"/>
      <c r="AK187" s="940"/>
    </row>
    <row r="188" spans="1:37" ht="17.850000000000001" customHeight="1" x14ac:dyDescent="0.25">
      <c r="A188" s="925" t="s">
        <v>2573</v>
      </c>
      <c r="B188" s="926"/>
      <c r="C188" s="926"/>
      <c r="D188" s="926"/>
      <c r="E188" s="927"/>
      <c r="F188" s="928" t="s">
        <v>2574</v>
      </c>
      <c r="G188" s="929"/>
      <c r="H188" s="928" t="s">
        <v>2575</v>
      </c>
      <c r="I188" s="930"/>
      <c r="J188" s="930"/>
      <c r="K188" s="929"/>
      <c r="L188" s="918" t="s">
        <v>2576</v>
      </c>
      <c r="M188" s="919"/>
      <c r="N188" s="919"/>
      <c r="O188" s="919"/>
      <c r="P188" s="920"/>
      <c r="Q188" s="918" t="s">
        <v>2577</v>
      </c>
      <c r="R188" s="920"/>
      <c r="S188" s="918" t="s">
        <v>2578</v>
      </c>
      <c r="T188" s="919"/>
      <c r="U188" s="920"/>
      <c r="V188" s="918" t="s">
        <v>2579</v>
      </c>
      <c r="W188" s="919"/>
      <c r="X188" s="919"/>
      <c r="Y188" s="919"/>
      <c r="Z188" s="920"/>
      <c r="AA188" s="918" t="s">
        <v>2580</v>
      </c>
      <c r="AB188" s="919"/>
      <c r="AC188" s="919"/>
      <c r="AD188" s="920"/>
      <c r="AE188" s="918" t="s">
        <v>2581</v>
      </c>
      <c r="AF188" s="919"/>
      <c r="AG188" s="919"/>
      <c r="AH188" s="920"/>
      <c r="AI188" s="918" t="s">
        <v>2582</v>
      </c>
      <c r="AJ188" s="919"/>
      <c r="AK188" s="920"/>
    </row>
    <row r="189" spans="1:37" ht="17.100000000000001" customHeight="1" x14ac:dyDescent="0.25">
      <c r="A189" s="932" t="s">
        <v>2583</v>
      </c>
      <c r="B189" s="933"/>
      <c r="C189" s="933"/>
      <c r="D189" s="933"/>
      <c r="E189" s="934"/>
      <c r="F189" s="935" t="s">
        <v>2584</v>
      </c>
      <c r="G189" s="936"/>
      <c r="H189" s="935" t="s">
        <v>2585</v>
      </c>
      <c r="I189" s="937"/>
      <c r="J189" s="937"/>
      <c r="K189" s="936"/>
      <c r="L189" s="922" t="s">
        <v>2513</v>
      </c>
      <c r="M189" s="923"/>
      <c r="N189" s="923"/>
      <c r="O189" s="923"/>
      <c r="P189" s="924"/>
      <c r="Q189" s="922" t="s">
        <v>2514</v>
      </c>
      <c r="R189" s="924"/>
      <c r="S189" s="922" t="s">
        <v>2515</v>
      </c>
      <c r="T189" s="923"/>
      <c r="U189" s="924"/>
      <c r="V189" s="922" t="s">
        <v>2516</v>
      </c>
      <c r="W189" s="923"/>
      <c r="X189" s="923"/>
      <c r="Y189" s="923"/>
      <c r="Z189" s="924"/>
      <c r="AA189" s="922" t="s">
        <v>2517</v>
      </c>
      <c r="AB189" s="923"/>
      <c r="AC189" s="923"/>
      <c r="AD189" s="924"/>
      <c r="AE189" s="922" t="s">
        <v>2518</v>
      </c>
      <c r="AF189" s="923"/>
      <c r="AG189" s="923"/>
      <c r="AH189" s="924"/>
      <c r="AI189" s="922" t="s">
        <v>2519</v>
      </c>
      <c r="AJ189" s="923"/>
      <c r="AK189" s="924"/>
    </row>
    <row r="190" spans="1:37" ht="17.850000000000001" customHeight="1" x14ac:dyDescent="0.25">
      <c r="A190" s="925" t="s">
        <v>2586</v>
      </c>
      <c r="B190" s="926"/>
      <c r="C190" s="926"/>
      <c r="D190" s="926"/>
      <c r="E190" s="927"/>
      <c r="F190" s="928" t="s">
        <v>2587</v>
      </c>
      <c r="G190" s="929"/>
      <c r="H190" s="928" t="s">
        <v>2587</v>
      </c>
      <c r="I190" s="930"/>
      <c r="J190" s="930"/>
      <c r="K190" s="929"/>
      <c r="L190" s="918" t="s">
        <v>1114</v>
      </c>
      <c r="M190" s="919"/>
      <c r="N190" s="919"/>
      <c r="O190" s="919"/>
      <c r="P190" s="920"/>
      <c r="Q190" s="918" t="s">
        <v>2308</v>
      </c>
      <c r="R190" s="920"/>
      <c r="S190" s="918" t="s">
        <v>1326</v>
      </c>
      <c r="T190" s="919"/>
      <c r="U190" s="920"/>
      <c r="V190" s="918" t="s">
        <v>2304</v>
      </c>
      <c r="W190" s="919"/>
      <c r="X190" s="919"/>
      <c r="Y190" s="919"/>
      <c r="Z190" s="920"/>
      <c r="AA190" s="918" t="s">
        <v>1387</v>
      </c>
      <c r="AB190" s="919"/>
      <c r="AC190" s="919"/>
      <c r="AD190" s="920"/>
      <c r="AE190" s="918" t="s">
        <v>2309</v>
      </c>
      <c r="AF190" s="919"/>
      <c r="AG190" s="919"/>
      <c r="AH190" s="920"/>
      <c r="AI190" s="918" t="s">
        <v>2310</v>
      </c>
      <c r="AJ190" s="919"/>
      <c r="AK190" s="920"/>
    </row>
    <row r="191" spans="1:37" ht="11.85" customHeight="1" x14ac:dyDescent="0.25">
      <c r="A191" s="921"/>
      <c r="B191" s="819"/>
      <c r="C191" s="819"/>
      <c r="D191" s="819"/>
      <c r="E191" s="819"/>
      <c r="F191" s="819"/>
      <c r="G191" s="819"/>
      <c r="H191" s="819"/>
      <c r="I191" s="819"/>
      <c r="J191" s="819"/>
      <c r="K191" s="819"/>
      <c r="L191" s="819"/>
      <c r="M191" s="819"/>
      <c r="N191" s="819"/>
      <c r="O191" s="819"/>
      <c r="P191" s="819"/>
      <c r="Q191" s="819"/>
      <c r="R191" s="819"/>
      <c r="S191" s="819"/>
      <c r="T191" s="819"/>
      <c r="U191" s="819"/>
      <c r="V191" s="819"/>
      <c r="W191" s="819"/>
      <c r="X191" s="819"/>
      <c r="Y191" s="819"/>
      <c r="Z191" s="819"/>
      <c r="AA191" s="819"/>
      <c r="AB191" s="819"/>
      <c r="AC191" s="819"/>
      <c r="AD191" s="819"/>
      <c r="AE191" s="819"/>
      <c r="AF191" s="819"/>
      <c r="AG191" s="819"/>
      <c r="AH191" s="819"/>
      <c r="AI191" s="819"/>
      <c r="AJ191" s="819"/>
      <c r="AK191" s="921"/>
    </row>
    <row r="192" spans="1:37" ht="11.1" customHeight="1" x14ac:dyDescent="0.25">
      <c r="A192" s="564"/>
      <c r="B192" s="564"/>
      <c r="C192" s="564"/>
      <c r="D192" s="564"/>
      <c r="E192" s="564"/>
      <c r="F192" s="564"/>
      <c r="G192" s="564"/>
      <c r="H192" s="564"/>
      <c r="I192" s="564"/>
      <c r="J192" s="564"/>
      <c r="K192" s="564"/>
      <c r="L192" s="564"/>
      <c r="M192" s="564"/>
      <c r="N192" s="564"/>
      <c r="O192" s="564"/>
      <c r="P192" s="564"/>
      <c r="Q192" s="564"/>
      <c r="R192" s="564"/>
      <c r="S192" s="564"/>
      <c r="T192" s="564"/>
      <c r="U192" s="564"/>
      <c r="V192" s="564"/>
      <c r="W192" s="564"/>
      <c r="X192" s="564"/>
      <c r="Y192" s="564"/>
      <c r="Z192" s="564"/>
      <c r="AA192" s="564"/>
      <c r="AB192" s="564"/>
      <c r="AC192" s="564"/>
      <c r="AD192" s="564"/>
      <c r="AE192" s="564"/>
      <c r="AF192" s="564"/>
      <c r="AG192" s="564"/>
      <c r="AH192" s="564"/>
      <c r="AI192" s="564"/>
      <c r="AJ192" s="564"/>
    </row>
    <row r="193" spans="1:36" ht="11.85" customHeight="1" x14ac:dyDescent="0.25">
      <c r="A193" s="591" t="s">
        <v>2588</v>
      </c>
    </row>
    <row r="194" spans="1:36" ht="11.85" customHeight="1" x14ac:dyDescent="0.25">
      <c r="A194" s="803" t="s">
        <v>2589</v>
      </c>
      <c r="B194" s="803"/>
      <c r="C194" s="803"/>
      <c r="D194" s="803"/>
      <c r="E194" s="803"/>
      <c r="F194" s="803"/>
      <c r="G194" s="803"/>
      <c r="H194" s="803"/>
      <c r="I194" s="803"/>
      <c r="J194" s="803"/>
      <c r="K194" s="803"/>
      <c r="L194" s="803"/>
      <c r="M194" s="803"/>
      <c r="N194" s="803"/>
      <c r="O194" s="803"/>
      <c r="P194" s="803"/>
      <c r="Q194" s="803"/>
      <c r="R194" s="803"/>
      <c r="S194" s="803"/>
      <c r="T194" s="803"/>
      <c r="U194" s="803"/>
      <c r="V194" s="803"/>
      <c r="W194" s="803"/>
      <c r="X194" s="803"/>
    </row>
    <row r="195" spans="1:36" ht="22.9" customHeight="1" x14ac:dyDescent="0.25">
      <c r="A195" s="931" t="s">
        <v>2590</v>
      </c>
      <c r="B195" s="931"/>
      <c r="C195" s="931"/>
      <c r="D195" s="931"/>
      <c r="E195" s="931"/>
      <c r="F195" s="931"/>
      <c r="G195" s="931"/>
      <c r="H195" s="931"/>
      <c r="I195" s="931"/>
      <c r="J195" s="931"/>
      <c r="K195" s="931"/>
      <c r="L195" s="931"/>
      <c r="M195" s="931"/>
      <c r="N195" s="931"/>
      <c r="O195" s="931"/>
      <c r="P195" s="931"/>
      <c r="Q195" s="931"/>
      <c r="R195" s="931"/>
      <c r="S195" s="931"/>
      <c r="T195" s="931"/>
      <c r="U195" s="931"/>
      <c r="V195" s="931"/>
      <c r="W195" s="931"/>
      <c r="X195" s="931"/>
      <c r="Y195" s="931"/>
      <c r="Z195" s="931"/>
      <c r="AA195" s="931"/>
      <c r="AB195" s="931"/>
    </row>
    <row r="196" spans="1:36" ht="11.85" customHeight="1" x14ac:dyDescent="0.25">
      <c r="A196" s="803" t="s">
        <v>2591</v>
      </c>
      <c r="B196" s="803"/>
      <c r="C196" s="803"/>
      <c r="D196" s="803"/>
      <c r="E196" s="803"/>
      <c r="F196" s="803"/>
      <c r="G196" s="803"/>
      <c r="H196" s="803"/>
      <c r="I196" s="803"/>
      <c r="J196" s="803"/>
      <c r="K196" s="803"/>
      <c r="L196" s="803"/>
      <c r="M196" s="803"/>
      <c r="N196" s="803"/>
      <c r="O196" s="803"/>
      <c r="P196" s="803"/>
      <c r="Q196" s="803"/>
      <c r="R196" s="803"/>
      <c r="S196" s="803"/>
      <c r="T196" s="803"/>
      <c r="U196" s="803"/>
      <c r="V196" s="803"/>
      <c r="W196" s="803"/>
      <c r="X196" s="803"/>
    </row>
    <row r="197" spans="1:36" ht="5.85" customHeight="1" x14ac:dyDescent="0.25"/>
    <row r="198" spans="1:36" ht="5.85" customHeight="1" x14ac:dyDescent="0.25"/>
    <row r="199" spans="1:36" ht="11.85" customHeight="1" x14ac:dyDescent="0.25"/>
    <row r="200" spans="1:36" ht="17.100000000000001" customHeight="1" x14ac:dyDescent="0.25"/>
    <row r="201" spans="1:36" ht="11.85" customHeight="1" x14ac:dyDescent="0.25"/>
    <row r="202" spans="1:36" ht="60.6" customHeight="1" x14ac:dyDescent="0.25"/>
    <row r="203" spans="1:36" ht="61.35" customHeight="1" x14ac:dyDescent="0.25"/>
    <row r="204" spans="1:36" ht="11.85" customHeight="1" x14ac:dyDescent="0.25">
      <c r="A204" s="803" t="s">
        <v>2274</v>
      </c>
      <c r="B204" s="803"/>
      <c r="C204" s="803"/>
      <c r="D204" s="803"/>
      <c r="E204" s="803"/>
      <c r="F204" s="803"/>
      <c r="G204" s="803"/>
      <c r="H204" s="803"/>
      <c r="I204" s="803"/>
      <c r="J204" s="803"/>
      <c r="K204" s="803"/>
      <c r="L204" s="803"/>
      <c r="M204" s="803"/>
      <c r="N204" s="803"/>
      <c r="O204" s="803"/>
      <c r="P204" s="803"/>
      <c r="Q204" s="803"/>
      <c r="R204" s="803"/>
      <c r="S204" s="803"/>
      <c r="T204" s="803"/>
      <c r="U204" s="803"/>
      <c r="V204" s="803"/>
      <c r="W204" s="803"/>
      <c r="X204" s="803"/>
      <c r="Y204" s="803"/>
      <c r="Z204" s="803"/>
      <c r="AA204" s="803"/>
      <c r="AB204" s="803"/>
      <c r="AC204" s="803"/>
      <c r="AD204" s="803"/>
      <c r="AE204" s="803"/>
      <c r="AF204" s="803"/>
      <c r="AG204" s="803"/>
      <c r="AH204" s="803"/>
      <c r="AI204" s="803"/>
      <c r="AJ204" s="803"/>
    </row>
    <row r="205" spans="1:36" ht="5.85" customHeight="1" x14ac:dyDescent="0.25"/>
  </sheetData>
  <mergeCells count="994">
    <mergeCell ref="A8:J9"/>
    <mergeCell ref="K8:Q9"/>
    <mergeCell ref="R8:Y9"/>
    <mergeCell ref="Z8:AK8"/>
    <mergeCell ref="Z9:AF9"/>
    <mergeCell ref="AG9:AK9"/>
    <mergeCell ref="A1:H1"/>
    <mergeCell ref="A2:H2"/>
    <mergeCell ref="A3:H3"/>
    <mergeCell ref="A4:H4"/>
    <mergeCell ref="A5:H5"/>
    <mergeCell ref="A7:H7"/>
    <mergeCell ref="A10:J10"/>
    <mergeCell ref="K10:Q10"/>
    <mergeCell ref="R10:Y10"/>
    <mergeCell ref="Z10:AF10"/>
    <mergeCell ref="AG10:AK10"/>
    <mergeCell ref="A11:J11"/>
    <mergeCell ref="K11:Q11"/>
    <mergeCell ref="R11:Y11"/>
    <mergeCell ref="Z11:AF11"/>
    <mergeCell ref="AG11:AK11"/>
    <mergeCell ref="A12:J12"/>
    <mergeCell ref="K12:Q12"/>
    <mergeCell ref="R12:Y12"/>
    <mergeCell ref="Z12:AF12"/>
    <mergeCell ref="AG12:AK12"/>
    <mergeCell ref="A13:J13"/>
    <mergeCell ref="K13:Q13"/>
    <mergeCell ref="R13:Y13"/>
    <mergeCell ref="Z13:AF13"/>
    <mergeCell ref="AG13:AK13"/>
    <mergeCell ref="A14:J14"/>
    <mergeCell ref="K14:Q14"/>
    <mergeCell ref="R14:Y14"/>
    <mergeCell ref="Z14:AF14"/>
    <mergeCell ref="AG14:AK14"/>
    <mergeCell ref="A15:J15"/>
    <mergeCell ref="K15:Q15"/>
    <mergeCell ref="R15:Y15"/>
    <mergeCell ref="Z15:AF15"/>
    <mergeCell ref="AG15:AK15"/>
    <mergeCell ref="A16:J16"/>
    <mergeCell ref="K16:Q16"/>
    <mergeCell ref="R16:Y16"/>
    <mergeCell ref="Z16:AF16"/>
    <mergeCell ref="AG16:AK16"/>
    <mergeCell ref="A17:J17"/>
    <mergeCell ref="K17:Q17"/>
    <mergeCell ref="R17:Y17"/>
    <mergeCell ref="Z17:AF17"/>
    <mergeCell ref="AG17:AK17"/>
    <mergeCell ref="A18:J18"/>
    <mergeCell ref="K18:Q18"/>
    <mergeCell ref="R18:Y18"/>
    <mergeCell ref="Z18:AF18"/>
    <mergeCell ref="AG18:AK18"/>
    <mergeCell ref="A19:J19"/>
    <mergeCell ref="K19:Q19"/>
    <mergeCell ref="R19:Y19"/>
    <mergeCell ref="Z19:AF19"/>
    <mergeCell ref="AG19:AK19"/>
    <mergeCell ref="A20:J20"/>
    <mergeCell ref="K20:Q20"/>
    <mergeCell ref="R20:Y20"/>
    <mergeCell ref="Z20:AF20"/>
    <mergeCell ref="AG20:AK20"/>
    <mergeCell ref="A21:J21"/>
    <mergeCell ref="K21:Q21"/>
    <mergeCell ref="R21:Y21"/>
    <mergeCell ref="Z21:AF21"/>
    <mergeCell ref="AG21:AK21"/>
    <mergeCell ref="A22:J22"/>
    <mergeCell ref="K22:Q22"/>
    <mergeCell ref="R22:Y22"/>
    <mergeCell ref="Z22:AF22"/>
    <mergeCell ref="AG22:AK22"/>
    <mergeCell ref="A23:J23"/>
    <mergeCell ref="K23:Q23"/>
    <mergeCell ref="R23:Y23"/>
    <mergeCell ref="Z23:AF23"/>
    <mergeCell ref="AG23:AK23"/>
    <mergeCell ref="A24:J24"/>
    <mergeCell ref="K24:Q24"/>
    <mergeCell ref="R24:Y24"/>
    <mergeCell ref="Z24:AF24"/>
    <mergeCell ref="AG24:AK24"/>
    <mergeCell ref="A25:J25"/>
    <mergeCell ref="K25:Q25"/>
    <mergeCell ref="R25:Y25"/>
    <mergeCell ref="Z25:AF25"/>
    <mergeCell ref="AG25:AK25"/>
    <mergeCell ref="A26:J26"/>
    <mergeCell ref="K26:Q26"/>
    <mergeCell ref="R26:Y26"/>
    <mergeCell ref="Z26:AF26"/>
    <mergeCell ref="AG26:AK26"/>
    <mergeCell ref="A27:J27"/>
    <mergeCell ref="K27:Q27"/>
    <mergeCell ref="R27:Y27"/>
    <mergeCell ref="Z27:AF27"/>
    <mergeCell ref="AG27:AK27"/>
    <mergeCell ref="A30:J30"/>
    <mergeCell ref="K30:Q30"/>
    <mergeCell ref="R30:Y30"/>
    <mergeCell ref="Z30:AF30"/>
    <mergeCell ref="AG30:AK30"/>
    <mergeCell ref="A31:AK31"/>
    <mergeCell ref="A28:J28"/>
    <mergeCell ref="K28:Q28"/>
    <mergeCell ref="R28:Y28"/>
    <mergeCell ref="Z28:AF28"/>
    <mergeCell ref="AG28:AK28"/>
    <mergeCell ref="A29:J29"/>
    <mergeCell ref="K29:Q29"/>
    <mergeCell ref="R29:Y29"/>
    <mergeCell ref="Z29:AF29"/>
    <mergeCell ref="AG29:AK29"/>
    <mergeCell ref="AI32:AK33"/>
    <mergeCell ref="L33:P33"/>
    <mergeCell ref="Q33:R33"/>
    <mergeCell ref="S33:U33"/>
    <mergeCell ref="V33:Z33"/>
    <mergeCell ref="AA33:AD33"/>
    <mergeCell ref="AE33:AH33"/>
    <mergeCell ref="A32:E33"/>
    <mergeCell ref="F32:G33"/>
    <mergeCell ref="H32:K33"/>
    <mergeCell ref="L32:R32"/>
    <mergeCell ref="S32:Z32"/>
    <mergeCell ref="AA32:AH32"/>
    <mergeCell ref="V34:Z34"/>
    <mergeCell ref="AA34:AD34"/>
    <mergeCell ref="AE34:AH34"/>
    <mergeCell ref="AI34:AK34"/>
    <mergeCell ref="A35:E35"/>
    <mergeCell ref="F35:G35"/>
    <mergeCell ref="H35:K35"/>
    <mergeCell ref="L35:P35"/>
    <mergeCell ref="Q35:R35"/>
    <mergeCell ref="S35:U35"/>
    <mergeCell ref="A34:E34"/>
    <mergeCell ref="F34:G34"/>
    <mergeCell ref="H34:K34"/>
    <mergeCell ref="L34:P34"/>
    <mergeCell ref="Q34:R34"/>
    <mergeCell ref="S34:U34"/>
    <mergeCell ref="V35:Z35"/>
    <mergeCell ref="AA35:AD35"/>
    <mergeCell ref="AE35:AH35"/>
    <mergeCell ref="AI35:AK35"/>
    <mergeCell ref="AI36:AK36"/>
    <mergeCell ref="A37:E37"/>
    <mergeCell ref="F37:G37"/>
    <mergeCell ref="H37:K37"/>
    <mergeCell ref="L37:P37"/>
    <mergeCell ref="Q37:R37"/>
    <mergeCell ref="S37:U37"/>
    <mergeCell ref="V37:Z37"/>
    <mergeCell ref="AA37:AD37"/>
    <mergeCell ref="AE37:AH37"/>
    <mergeCell ref="AI37:AK37"/>
    <mergeCell ref="A36:E36"/>
    <mergeCell ref="F36:G36"/>
    <mergeCell ref="H36:K36"/>
    <mergeCell ref="L36:P36"/>
    <mergeCell ref="Q36:R36"/>
    <mergeCell ref="S36:U36"/>
    <mergeCell ref="V36:Z36"/>
    <mergeCell ref="AA36:AD36"/>
    <mergeCell ref="AE36:AH36"/>
    <mergeCell ref="AI38:AK38"/>
    <mergeCell ref="A39:E39"/>
    <mergeCell ref="F39:G39"/>
    <mergeCell ref="H39:K39"/>
    <mergeCell ref="L39:P39"/>
    <mergeCell ref="Q39:R39"/>
    <mergeCell ref="S39:U39"/>
    <mergeCell ref="V39:Z39"/>
    <mergeCell ref="AA39:AD39"/>
    <mergeCell ref="AE39:AH39"/>
    <mergeCell ref="AI39:AK39"/>
    <mergeCell ref="A38:E38"/>
    <mergeCell ref="F38:G38"/>
    <mergeCell ref="H38:K38"/>
    <mergeCell ref="L38:P38"/>
    <mergeCell ref="Q38:R38"/>
    <mergeCell ref="S38:U38"/>
    <mergeCell ref="V38:Z38"/>
    <mergeCell ref="AA38:AD38"/>
    <mergeCell ref="AE38:AH38"/>
    <mergeCell ref="AI40:AK40"/>
    <mergeCell ref="A41:E41"/>
    <mergeCell ref="F41:G41"/>
    <mergeCell ref="H41:K41"/>
    <mergeCell ref="L41:P41"/>
    <mergeCell ref="Q41:R41"/>
    <mergeCell ref="S41:U41"/>
    <mergeCell ref="V41:Z41"/>
    <mergeCell ref="AA41:AD41"/>
    <mergeCell ref="AE41:AH41"/>
    <mergeCell ref="AI41:AK41"/>
    <mergeCell ref="A40:E40"/>
    <mergeCell ref="F40:G40"/>
    <mergeCell ref="H40:K40"/>
    <mergeCell ref="L40:P40"/>
    <mergeCell ref="Q40:R40"/>
    <mergeCell ref="S40:U40"/>
    <mergeCell ref="V40:Z40"/>
    <mergeCell ref="AA40:AD40"/>
    <mergeCell ref="AE40:AH40"/>
    <mergeCell ref="AI42:AK42"/>
    <mergeCell ref="A43:E43"/>
    <mergeCell ref="F43:G43"/>
    <mergeCell ref="H43:K43"/>
    <mergeCell ref="L43:P43"/>
    <mergeCell ref="Q43:R43"/>
    <mergeCell ref="S43:U43"/>
    <mergeCell ref="V43:Z43"/>
    <mergeCell ref="AA43:AD43"/>
    <mergeCell ref="AE43:AH43"/>
    <mergeCell ref="AI43:AK43"/>
    <mergeCell ref="A42:E42"/>
    <mergeCell ref="F42:G42"/>
    <mergeCell ref="H42:K42"/>
    <mergeCell ref="L42:P42"/>
    <mergeCell ref="Q42:R42"/>
    <mergeCell ref="S42:U42"/>
    <mergeCell ref="V42:Z42"/>
    <mergeCell ref="AA42:AD42"/>
    <mergeCell ref="AE42:AH42"/>
    <mergeCell ref="V44:Z44"/>
    <mergeCell ref="AA44:AD44"/>
    <mergeCell ref="AE44:AH44"/>
    <mergeCell ref="AI44:AK44"/>
    <mergeCell ref="A45:E45"/>
    <mergeCell ref="F45:G45"/>
    <mergeCell ref="H45:K45"/>
    <mergeCell ref="L45:P45"/>
    <mergeCell ref="Q45:R45"/>
    <mergeCell ref="S45:U45"/>
    <mergeCell ref="A44:E44"/>
    <mergeCell ref="F44:G44"/>
    <mergeCell ref="H44:K44"/>
    <mergeCell ref="L44:P44"/>
    <mergeCell ref="Q44:R44"/>
    <mergeCell ref="S44:U44"/>
    <mergeCell ref="AA45:AD45"/>
    <mergeCell ref="AE45:AH45"/>
    <mergeCell ref="AI45:AK45"/>
    <mergeCell ref="A50:H50"/>
    <mergeCell ref="A51:H51"/>
    <mergeCell ref="A52:H52"/>
    <mergeCell ref="A53:H53"/>
    <mergeCell ref="A55:H55"/>
    <mergeCell ref="A56:E57"/>
    <mergeCell ref="F56:G57"/>
    <mergeCell ref="H56:K57"/>
    <mergeCell ref="V45:Z45"/>
    <mergeCell ref="L56:R56"/>
    <mergeCell ref="S56:Z56"/>
    <mergeCell ref="A47:AJ47"/>
    <mergeCell ref="A49:H49"/>
    <mergeCell ref="A58:E58"/>
    <mergeCell ref="F58:G58"/>
    <mergeCell ref="H58:K58"/>
    <mergeCell ref="L58:P58"/>
    <mergeCell ref="Q58:R58"/>
    <mergeCell ref="S58:U58"/>
    <mergeCell ref="AA56:AH56"/>
    <mergeCell ref="AI56:AK57"/>
    <mergeCell ref="L57:P57"/>
    <mergeCell ref="Q57:R57"/>
    <mergeCell ref="S57:U57"/>
    <mergeCell ref="V57:Z57"/>
    <mergeCell ref="AA57:AD57"/>
    <mergeCell ref="AE57:AH57"/>
    <mergeCell ref="V58:Z58"/>
    <mergeCell ref="AA58:AD58"/>
    <mergeCell ref="AE58:AH58"/>
    <mergeCell ref="AI58:AK58"/>
    <mergeCell ref="V59:Z59"/>
    <mergeCell ref="AA59:AD59"/>
    <mergeCell ref="AE59:AH59"/>
    <mergeCell ref="AI59:AK59"/>
    <mergeCell ref="A60:E60"/>
    <mergeCell ref="F60:G60"/>
    <mergeCell ref="H60:K60"/>
    <mergeCell ref="L60:P60"/>
    <mergeCell ref="Q60:R60"/>
    <mergeCell ref="S60:U60"/>
    <mergeCell ref="V60:Z60"/>
    <mergeCell ref="AA60:AD60"/>
    <mergeCell ref="AE60:AH60"/>
    <mergeCell ref="AI60:AK60"/>
    <mergeCell ref="A59:E59"/>
    <mergeCell ref="F59:G59"/>
    <mergeCell ref="H59:K59"/>
    <mergeCell ref="L59:P59"/>
    <mergeCell ref="Q59:R59"/>
    <mergeCell ref="S59:U59"/>
    <mergeCell ref="AI61:AK61"/>
    <mergeCell ref="A62:E62"/>
    <mergeCell ref="F62:G62"/>
    <mergeCell ref="H62:K62"/>
    <mergeCell ref="L62:P62"/>
    <mergeCell ref="Q62:R62"/>
    <mergeCell ref="S62:U62"/>
    <mergeCell ref="V62:Z62"/>
    <mergeCell ref="AA62:AD62"/>
    <mergeCell ref="AE62:AH62"/>
    <mergeCell ref="AI62:AK62"/>
    <mergeCell ref="A61:E61"/>
    <mergeCell ref="F61:G61"/>
    <mergeCell ref="H61:K61"/>
    <mergeCell ref="L61:P61"/>
    <mergeCell ref="Q61:R61"/>
    <mergeCell ref="S61:U61"/>
    <mergeCell ref="V61:Z61"/>
    <mergeCell ref="AA61:AD61"/>
    <mergeCell ref="AE61:AH61"/>
    <mergeCell ref="AI63:AK63"/>
    <mergeCell ref="A64:E64"/>
    <mergeCell ref="F64:G64"/>
    <mergeCell ref="H64:K64"/>
    <mergeCell ref="L64:P64"/>
    <mergeCell ref="Q64:R64"/>
    <mergeCell ref="S64:U64"/>
    <mergeCell ref="V64:Z64"/>
    <mergeCell ref="AA64:AD64"/>
    <mergeCell ref="AE64:AH64"/>
    <mergeCell ref="AI64:AK64"/>
    <mergeCell ref="A63:E63"/>
    <mergeCell ref="F63:G63"/>
    <mergeCell ref="H63:K63"/>
    <mergeCell ref="L63:P63"/>
    <mergeCell ref="Q63:R63"/>
    <mergeCell ref="S63:U63"/>
    <mergeCell ref="V63:Z63"/>
    <mergeCell ref="AA63:AD63"/>
    <mergeCell ref="AE63:AH63"/>
    <mergeCell ref="AI65:AK65"/>
    <mergeCell ref="A66:E66"/>
    <mergeCell ref="F66:G66"/>
    <mergeCell ref="H66:K66"/>
    <mergeCell ref="L66:P66"/>
    <mergeCell ref="Q66:R66"/>
    <mergeCell ref="S66:U66"/>
    <mergeCell ref="V66:Z66"/>
    <mergeCell ref="AA66:AD66"/>
    <mergeCell ref="AE66:AH66"/>
    <mergeCell ref="AI66:AK66"/>
    <mergeCell ref="A65:E65"/>
    <mergeCell ref="F65:G65"/>
    <mergeCell ref="H65:K65"/>
    <mergeCell ref="L65:P65"/>
    <mergeCell ref="Q65:R65"/>
    <mergeCell ref="S65:U65"/>
    <mergeCell ref="V65:Z65"/>
    <mergeCell ref="AA65:AD65"/>
    <mergeCell ref="AE65:AH65"/>
    <mergeCell ref="AF70:AK70"/>
    <mergeCell ref="A71:O71"/>
    <mergeCell ref="P71:V71"/>
    <mergeCell ref="W71:AE71"/>
    <mergeCell ref="AF71:AK71"/>
    <mergeCell ref="V67:Z67"/>
    <mergeCell ref="AA67:AD67"/>
    <mergeCell ref="AE67:AH67"/>
    <mergeCell ref="AI67:AK67"/>
    <mergeCell ref="A68:AK68"/>
    <mergeCell ref="A69:O69"/>
    <mergeCell ref="P69:V69"/>
    <mergeCell ref="W69:AE69"/>
    <mergeCell ref="AF69:AK69"/>
    <mergeCell ref="A67:E67"/>
    <mergeCell ref="F67:G67"/>
    <mergeCell ref="H67:K67"/>
    <mergeCell ref="L67:P67"/>
    <mergeCell ref="Q67:R67"/>
    <mergeCell ref="S67:U67"/>
    <mergeCell ref="A70:O70"/>
    <mergeCell ref="P70:V70"/>
    <mergeCell ref="W70:AE70"/>
    <mergeCell ref="A74:O74"/>
    <mergeCell ref="P74:V74"/>
    <mergeCell ref="W74:AE74"/>
    <mergeCell ref="AF74:AK74"/>
    <mergeCell ref="A75:O75"/>
    <mergeCell ref="P75:AK75"/>
    <mergeCell ref="A72:O72"/>
    <mergeCell ref="P72:V72"/>
    <mergeCell ref="W72:AE72"/>
    <mergeCell ref="AF72:AK72"/>
    <mergeCell ref="A73:O73"/>
    <mergeCell ref="P73:V73"/>
    <mergeCell ref="W73:AE73"/>
    <mergeCell ref="AF73:AK73"/>
    <mergeCell ref="A78:O78"/>
    <mergeCell ref="P78:V78"/>
    <mergeCell ref="W78:AE78"/>
    <mergeCell ref="AF78:AK78"/>
    <mergeCell ref="A79:O79"/>
    <mergeCell ref="P79:V79"/>
    <mergeCell ref="W79:AE79"/>
    <mergeCell ref="AF79:AK79"/>
    <mergeCell ref="A76:O76"/>
    <mergeCell ref="P76:AK76"/>
    <mergeCell ref="A77:O77"/>
    <mergeCell ref="P77:V77"/>
    <mergeCell ref="W77:AE77"/>
    <mergeCell ref="AF77:AK77"/>
    <mergeCell ref="A84:M84"/>
    <mergeCell ref="N84:T84"/>
    <mergeCell ref="U84:W84"/>
    <mergeCell ref="X84:AA84"/>
    <mergeCell ref="AB84:AE84"/>
    <mergeCell ref="AF84:AK84"/>
    <mergeCell ref="A80:AK80"/>
    <mergeCell ref="A81:M83"/>
    <mergeCell ref="N81:AK81"/>
    <mergeCell ref="N82:T83"/>
    <mergeCell ref="U82:AE82"/>
    <mergeCell ref="AF82:AK83"/>
    <mergeCell ref="U83:W83"/>
    <mergeCell ref="X83:AA83"/>
    <mergeCell ref="AB83:AE83"/>
    <mergeCell ref="A86:M86"/>
    <mergeCell ref="N86:T86"/>
    <mergeCell ref="U86:W86"/>
    <mergeCell ref="X86:AA86"/>
    <mergeCell ref="AB86:AE86"/>
    <mergeCell ref="AF86:AK86"/>
    <mergeCell ref="A85:M85"/>
    <mergeCell ref="N85:T85"/>
    <mergeCell ref="U85:W85"/>
    <mergeCell ref="X85:AA85"/>
    <mergeCell ref="AB85:AE85"/>
    <mergeCell ref="AF85:AK85"/>
    <mergeCell ref="A88:AK88"/>
    <mergeCell ref="A90:AJ90"/>
    <mergeCell ref="A92:H92"/>
    <mergeCell ref="A93:H93"/>
    <mergeCell ref="A94:H94"/>
    <mergeCell ref="A95:H95"/>
    <mergeCell ref="A87:M87"/>
    <mergeCell ref="N87:T87"/>
    <mergeCell ref="U87:W87"/>
    <mergeCell ref="X87:AA87"/>
    <mergeCell ref="AB87:AE87"/>
    <mergeCell ref="AF87:AK87"/>
    <mergeCell ref="A96:H96"/>
    <mergeCell ref="A98:H98"/>
    <mergeCell ref="A99:AK99"/>
    <mergeCell ref="A100:B100"/>
    <mergeCell ref="E100:F100"/>
    <mergeCell ref="G100:I100"/>
    <mergeCell ref="J100:N100"/>
    <mergeCell ref="O100:S100"/>
    <mergeCell ref="T100:W100"/>
    <mergeCell ref="X100:AC100"/>
    <mergeCell ref="AD100:AG100"/>
    <mergeCell ref="AH100:AK100"/>
    <mergeCell ref="A101:B101"/>
    <mergeCell ref="E101:F101"/>
    <mergeCell ref="G101:I101"/>
    <mergeCell ref="J101:N101"/>
    <mergeCell ref="O101:S101"/>
    <mergeCell ref="T101:W101"/>
    <mergeCell ref="X101:AC101"/>
    <mergeCell ref="AD101:AG101"/>
    <mergeCell ref="AH101:AK101"/>
    <mergeCell ref="A102:B102"/>
    <mergeCell ref="E102:F102"/>
    <mergeCell ref="G102:I102"/>
    <mergeCell ref="J102:N102"/>
    <mergeCell ref="O102:S102"/>
    <mergeCell ref="T102:W102"/>
    <mergeCell ref="X102:AC102"/>
    <mergeCell ref="AD102:AG102"/>
    <mergeCell ref="AH102:AK102"/>
    <mergeCell ref="X103:AC103"/>
    <mergeCell ref="AD103:AG103"/>
    <mergeCell ref="AH103:AK103"/>
    <mergeCell ref="A104:B104"/>
    <mergeCell ref="E104:F104"/>
    <mergeCell ref="G104:I104"/>
    <mergeCell ref="J104:N104"/>
    <mergeCell ref="O104:S104"/>
    <mergeCell ref="T104:W104"/>
    <mergeCell ref="X104:AC104"/>
    <mergeCell ref="A103:B103"/>
    <mergeCell ref="E103:F103"/>
    <mergeCell ref="G103:I103"/>
    <mergeCell ref="J103:N103"/>
    <mergeCell ref="O103:S103"/>
    <mergeCell ref="T103:W103"/>
    <mergeCell ref="AD104:AG104"/>
    <mergeCell ref="AH104:AK104"/>
    <mergeCell ref="A105:B105"/>
    <mergeCell ref="E105:F105"/>
    <mergeCell ref="G105:I105"/>
    <mergeCell ref="J105:N105"/>
    <mergeCell ref="O105:S105"/>
    <mergeCell ref="T105:W105"/>
    <mergeCell ref="X105:AC105"/>
    <mergeCell ref="AD105:AG105"/>
    <mergeCell ref="AH105:AK105"/>
    <mergeCell ref="A106:B106"/>
    <mergeCell ref="E106:F106"/>
    <mergeCell ref="G106:I106"/>
    <mergeCell ref="J106:N106"/>
    <mergeCell ref="O106:S106"/>
    <mergeCell ref="T106:W106"/>
    <mergeCell ref="X106:AC106"/>
    <mergeCell ref="AD106:AG106"/>
    <mergeCell ref="AH106:AK106"/>
    <mergeCell ref="X107:AC107"/>
    <mergeCell ref="AD107:AG107"/>
    <mergeCell ref="AH107:AK107"/>
    <mergeCell ref="A108:B108"/>
    <mergeCell ref="E108:F108"/>
    <mergeCell ref="G108:I108"/>
    <mergeCell ref="J108:N108"/>
    <mergeCell ref="O108:S108"/>
    <mergeCell ref="T108:W108"/>
    <mergeCell ref="X108:AC108"/>
    <mergeCell ref="A107:B107"/>
    <mergeCell ref="E107:F107"/>
    <mergeCell ref="G107:I107"/>
    <mergeCell ref="J107:N107"/>
    <mergeCell ref="O107:S107"/>
    <mergeCell ref="T107:W107"/>
    <mergeCell ref="AH109:AK109"/>
    <mergeCell ref="A110:AK110"/>
    <mergeCell ref="A111:AG111"/>
    <mergeCell ref="AH111:AK111"/>
    <mergeCell ref="A112:AG112"/>
    <mergeCell ref="AH112:AK112"/>
    <mergeCell ref="AD108:AG108"/>
    <mergeCell ref="AH108:AK108"/>
    <mergeCell ref="A109:B109"/>
    <mergeCell ref="E109:F109"/>
    <mergeCell ref="G109:I109"/>
    <mergeCell ref="J109:N109"/>
    <mergeCell ref="O109:S109"/>
    <mergeCell ref="T109:W109"/>
    <mergeCell ref="X109:AC109"/>
    <mergeCell ref="AD109:AG109"/>
    <mergeCell ref="AB117:AE117"/>
    <mergeCell ref="A118:L118"/>
    <mergeCell ref="M118:T118"/>
    <mergeCell ref="U118:W118"/>
    <mergeCell ref="X118:AA118"/>
    <mergeCell ref="AB118:AE118"/>
    <mergeCell ref="A113:AG113"/>
    <mergeCell ref="AH113:AK113"/>
    <mergeCell ref="A114:AK114"/>
    <mergeCell ref="A115:L117"/>
    <mergeCell ref="M115:AK115"/>
    <mergeCell ref="M116:T117"/>
    <mergeCell ref="U116:AE116"/>
    <mergeCell ref="AF116:AK117"/>
    <mergeCell ref="U117:W117"/>
    <mergeCell ref="X117:AA117"/>
    <mergeCell ref="A120:L120"/>
    <mergeCell ref="M120:T120"/>
    <mergeCell ref="U120:W120"/>
    <mergeCell ref="X120:AA120"/>
    <mergeCell ref="AB120:AE120"/>
    <mergeCell ref="AF120:AK120"/>
    <mergeCell ref="AF118:AK118"/>
    <mergeCell ref="A119:L119"/>
    <mergeCell ref="M119:T119"/>
    <mergeCell ref="U119:W119"/>
    <mergeCell ref="X119:AA119"/>
    <mergeCell ref="AB119:AE119"/>
    <mergeCell ref="AF119:AK119"/>
    <mergeCell ref="A122:AK122"/>
    <mergeCell ref="A123:J124"/>
    <mergeCell ref="K123:Q124"/>
    <mergeCell ref="R123:Y124"/>
    <mergeCell ref="Z123:AK123"/>
    <mergeCell ref="Z124:AF124"/>
    <mergeCell ref="AG124:AK124"/>
    <mergeCell ref="A121:L121"/>
    <mergeCell ref="M121:T121"/>
    <mergeCell ref="U121:W121"/>
    <mergeCell ref="X121:AA121"/>
    <mergeCell ref="AB121:AE121"/>
    <mergeCell ref="AF121:AK121"/>
    <mergeCell ref="A125:J125"/>
    <mergeCell ref="K125:Q125"/>
    <mergeCell ref="R125:Y125"/>
    <mergeCell ref="Z125:AF125"/>
    <mergeCell ref="AG125:AK125"/>
    <mergeCell ref="A126:J126"/>
    <mergeCell ref="K126:Q126"/>
    <mergeCell ref="R126:Y126"/>
    <mergeCell ref="Z126:AF126"/>
    <mergeCell ref="AG126:AK126"/>
    <mergeCell ref="A127:J127"/>
    <mergeCell ref="K127:Q127"/>
    <mergeCell ref="R127:Y127"/>
    <mergeCell ref="Z127:AF127"/>
    <mergeCell ref="AG127:AK127"/>
    <mergeCell ref="A128:J128"/>
    <mergeCell ref="K128:Q128"/>
    <mergeCell ref="R128:Y128"/>
    <mergeCell ref="Z128:AF128"/>
    <mergeCell ref="AG128:AK128"/>
    <mergeCell ref="A129:J129"/>
    <mergeCell ref="K129:Q129"/>
    <mergeCell ref="R129:Y129"/>
    <mergeCell ref="Z129:AF129"/>
    <mergeCell ref="AG129:AK129"/>
    <mergeCell ref="A130:J130"/>
    <mergeCell ref="K130:Q130"/>
    <mergeCell ref="R130:Y130"/>
    <mergeCell ref="Z130:AF130"/>
    <mergeCell ref="AG130:AK130"/>
    <mergeCell ref="A134:AJ134"/>
    <mergeCell ref="A136:H136"/>
    <mergeCell ref="A137:H137"/>
    <mergeCell ref="A138:H138"/>
    <mergeCell ref="A139:H139"/>
    <mergeCell ref="A140:H140"/>
    <mergeCell ref="A131:J131"/>
    <mergeCell ref="K131:Q131"/>
    <mergeCell ref="R131:Y131"/>
    <mergeCell ref="Z131:AF131"/>
    <mergeCell ref="AG131:AK131"/>
    <mergeCell ref="A132:AK132"/>
    <mergeCell ref="A142:H142"/>
    <mergeCell ref="A143:AK143"/>
    <mergeCell ref="A144:E145"/>
    <mergeCell ref="F144:G145"/>
    <mergeCell ref="H144:K145"/>
    <mergeCell ref="L144:R144"/>
    <mergeCell ref="S144:Z144"/>
    <mergeCell ref="AA144:AH144"/>
    <mergeCell ref="AI144:AK145"/>
    <mergeCell ref="L145:P145"/>
    <mergeCell ref="Q145:R145"/>
    <mergeCell ref="S145:U145"/>
    <mergeCell ref="V145:Z145"/>
    <mergeCell ref="AA145:AD145"/>
    <mergeCell ref="AE145:AH145"/>
    <mergeCell ref="AI146:AK146"/>
    <mergeCell ref="A147:E147"/>
    <mergeCell ref="F147:G147"/>
    <mergeCell ref="H147:K147"/>
    <mergeCell ref="L147:P147"/>
    <mergeCell ref="Q147:R147"/>
    <mergeCell ref="S147:U147"/>
    <mergeCell ref="V147:Z147"/>
    <mergeCell ref="AA147:AD147"/>
    <mergeCell ref="AE147:AH147"/>
    <mergeCell ref="AI147:AK147"/>
    <mergeCell ref="A146:E146"/>
    <mergeCell ref="F146:G146"/>
    <mergeCell ref="H146:K146"/>
    <mergeCell ref="L146:P146"/>
    <mergeCell ref="Q146:R146"/>
    <mergeCell ref="S146:U146"/>
    <mergeCell ref="V146:Z146"/>
    <mergeCell ref="AA146:AD146"/>
    <mergeCell ref="AE146:AH146"/>
    <mergeCell ref="AI148:AK148"/>
    <mergeCell ref="A149:E149"/>
    <mergeCell ref="F149:G149"/>
    <mergeCell ref="H149:K149"/>
    <mergeCell ref="L149:P149"/>
    <mergeCell ref="Q149:R149"/>
    <mergeCell ref="S149:U149"/>
    <mergeCell ref="V149:Z149"/>
    <mergeCell ref="AA149:AD149"/>
    <mergeCell ref="AE149:AH149"/>
    <mergeCell ref="AI149:AK149"/>
    <mergeCell ref="A148:E148"/>
    <mergeCell ref="F148:G148"/>
    <mergeCell ref="H148:K148"/>
    <mergeCell ref="L148:P148"/>
    <mergeCell ref="Q148:R148"/>
    <mergeCell ref="S148:U148"/>
    <mergeCell ref="V148:Z148"/>
    <mergeCell ref="AA148:AD148"/>
    <mergeCell ref="AE148:AH148"/>
    <mergeCell ref="AI150:AK150"/>
    <mergeCell ref="A151:E151"/>
    <mergeCell ref="F151:G151"/>
    <mergeCell ref="H151:K151"/>
    <mergeCell ref="L151:P151"/>
    <mergeCell ref="Q151:R151"/>
    <mergeCell ref="S151:U151"/>
    <mergeCell ref="V151:Z151"/>
    <mergeCell ref="AA151:AD151"/>
    <mergeCell ref="AE151:AH151"/>
    <mergeCell ref="AI151:AK151"/>
    <mergeCell ref="A150:E150"/>
    <mergeCell ref="F150:G150"/>
    <mergeCell ref="H150:K150"/>
    <mergeCell ref="L150:P150"/>
    <mergeCell ref="Q150:R150"/>
    <mergeCell ref="S150:U150"/>
    <mergeCell ref="V150:Z150"/>
    <mergeCell ref="AA150:AD150"/>
    <mergeCell ref="AE150:AH150"/>
    <mergeCell ref="AI152:AK152"/>
    <mergeCell ref="A153:E153"/>
    <mergeCell ref="F153:G153"/>
    <mergeCell ref="H153:K153"/>
    <mergeCell ref="L153:P153"/>
    <mergeCell ref="Q153:R153"/>
    <mergeCell ref="S153:U153"/>
    <mergeCell ref="V153:Z153"/>
    <mergeCell ref="AA153:AD153"/>
    <mergeCell ref="AE153:AH153"/>
    <mergeCell ref="AI153:AK153"/>
    <mergeCell ref="A152:E152"/>
    <mergeCell ref="F152:G152"/>
    <mergeCell ref="H152:K152"/>
    <mergeCell ref="L152:P152"/>
    <mergeCell ref="Q152:R152"/>
    <mergeCell ref="S152:U152"/>
    <mergeCell ref="V152:Z152"/>
    <mergeCell ref="AA152:AD152"/>
    <mergeCell ref="AE152:AH152"/>
    <mergeCell ref="AI154:AK154"/>
    <mergeCell ref="A155:E155"/>
    <mergeCell ref="F155:G155"/>
    <mergeCell ref="H155:K155"/>
    <mergeCell ref="L155:P155"/>
    <mergeCell ref="Q155:R155"/>
    <mergeCell ref="S155:U155"/>
    <mergeCell ref="V155:Z155"/>
    <mergeCell ref="AA155:AD155"/>
    <mergeCell ref="AE155:AH155"/>
    <mergeCell ref="AI155:AK155"/>
    <mergeCell ref="A154:E154"/>
    <mergeCell ref="F154:G154"/>
    <mergeCell ref="H154:K154"/>
    <mergeCell ref="L154:P154"/>
    <mergeCell ref="Q154:R154"/>
    <mergeCell ref="S154:U154"/>
    <mergeCell ref="V154:Z154"/>
    <mergeCell ref="AA154:AD154"/>
    <mergeCell ref="AE154:AH154"/>
    <mergeCell ref="AI156:AK156"/>
    <mergeCell ref="A157:E157"/>
    <mergeCell ref="F157:G157"/>
    <mergeCell ref="H157:K157"/>
    <mergeCell ref="L157:P157"/>
    <mergeCell ref="Q157:R157"/>
    <mergeCell ref="S157:U157"/>
    <mergeCell ref="V157:Z157"/>
    <mergeCell ref="AA157:AD157"/>
    <mergeCell ref="AE157:AH157"/>
    <mergeCell ref="AI157:AK157"/>
    <mergeCell ref="A156:E156"/>
    <mergeCell ref="F156:G156"/>
    <mergeCell ref="H156:K156"/>
    <mergeCell ref="L156:P156"/>
    <mergeCell ref="Q156:R156"/>
    <mergeCell ref="S156:U156"/>
    <mergeCell ref="V156:Z156"/>
    <mergeCell ref="AA156:AD156"/>
    <mergeCell ref="AE156:AH156"/>
    <mergeCell ref="AI158:AK158"/>
    <mergeCell ref="A159:E159"/>
    <mergeCell ref="F159:G159"/>
    <mergeCell ref="H159:K159"/>
    <mergeCell ref="L159:P159"/>
    <mergeCell ref="Q159:R159"/>
    <mergeCell ref="S159:U159"/>
    <mergeCell ref="V159:Z159"/>
    <mergeCell ref="AA159:AD159"/>
    <mergeCell ref="AE159:AH159"/>
    <mergeCell ref="AI159:AK159"/>
    <mergeCell ref="A158:E158"/>
    <mergeCell ref="F158:G158"/>
    <mergeCell ref="H158:K158"/>
    <mergeCell ref="L158:P158"/>
    <mergeCell ref="Q158:R158"/>
    <mergeCell ref="S158:U158"/>
    <mergeCell ref="V158:Z158"/>
    <mergeCell ref="AA158:AD158"/>
    <mergeCell ref="AE158:AH158"/>
    <mergeCell ref="AI160:AK160"/>
    <mergeCell ref="A161:E161"/>
    <mergeCell ref="F161:G161"/>
    <mergeCell ref="H161:K161"/>
    <mergeCell ref="L161:P161"/>
    <mergeCell ref="Q161:R161"/>
    <mergeCell ref="S161:U161"/>
    <mergeCell ref="V161:Z161"/>
    <mergeCell ref="AA161:AD161"/>
    <mergeCell ref="AE161:AH161"/>
    <mergeCell ref="AI161:AK161"/>
    <mergeCell ref="A160:E160"/>
    <mergeCell ref="F160:G160"/>
    <mergeCell ref="H160:K160"/>
    <mergeCell ref="L160:P160"/>
    <mergeCell ref="Q160:R160"/>
    <mergeCell ref="S160:U160"/>
    <mergeCell ref="V160:Z160"/>
    <mergeCell ref="AA160:AD160"/>
    <mergeCell ref="AE160:AH160"/>
    <mergeCell ref="AI162:AK162"/>
    <mergeCell ref="A163:E163"/>
    <mergeCell ref="F163:G163"/>
    <mergeCell ref="H163:K163"/>
    <mergeCell ref="L163:P163"/>
    <mergeCell ref="Q163:R163"/>
    <mergeCell ref="S163:U163"/>
    <mergeCell ref="V163:Z163"/>
    <mergeCell ref="AA163:AD163"/>
    <mergeCell ref="AE163:AH163"/>
    <mergeCell ref="AI163:AK163"/>
    <mergeCell ref="A162:E162"/>
    <mergeCell ref="F162:G162"/>
    <mergeCell ref="H162:K162"/>
    <mergeCell ref="L162:P162"/>
    <mergeCell ref="Q162:R162"/>
    <mergeCell ref="S162:U162"/>
    <mergeCell ref="V162:Z162"/>
    <mergeCell ref="AA162:AD162"/>
    <mergeCell ref="AE162:AH162"/>
    <mergeCell ref="AI164:AK164"/>
    <mergeCell ref="A165:E165"/>
    <mergeCell ref="F165:G165"/>
    <mergeCell ref="H165:K165"/>
    <mergeCell ref="L165:P165"/>
    <mergeCell ref="Q165:R165"/>
    <mergeCell ref="S165:U165"/>
    <mergeCell ref="V165:Z165"/>
    <mergeCell ref="AA165:AD165"/>
    <mergeCell ref="AE165:AH165"/>
    <mergeCell ref="AI165:AK165"/>
    <mergeCell ref="A164:E164"/>
    <mergeCell ref="F164:G164"/>
    <mergeCell ref="H164:K164"/>
    <mergeCell ref="L164:P164"/>
    <mergeCell ref="Q164:R164"/>
    <mergeCell ref="S164:U164"/>
    <mergeCell ref="V164:Z164"/>
    <mergeCell ref="AA164:AD164"/>
    <mergeCell ref="AE164:AH164"/>
    <mergeCell ref="AI166:AK166"/>
    <mergeCell ref="A167:E167"/>
    <mergeCell ref="F167:G167"/>
    <mergeCell ref="H167:K167"/>
    <mergeCell ref="L167:P167"/>
    <mergeCell ref="Q167:R167"/>
    <mergeCell ref="A170:AJ170"/>
    <mergeCell ref="A172:H172"/>
    <mergeCell ref="A173:H173"/>
    <mergeCell ref="A166:E166"/>
    <mergeCell ref="F166:G166"/>
    <mergeCell ref="H166:K166"/>
    <mergeCell ref="L166:P166"/>
    <mergeCell ref="Q166:R166"/>
    <mergeCell ref="S166:U166"/>
    <mergeCell ref="V166:Z166"/>
    <mergeCell ref="AA166:AD166"/>
    <mergeCell ref="AE166:AH166"/>
    <mergeCell ref="A174:H174"/>
    <mergeCell ref="A175:H175"/>
    <mergeCell ref="A176:H176"/>
    <mergeCell ref="S167:U167"/>
    <mergeCell ref="V167:Z167"/>
    <mergeCell ref="AA167:AD167"/>
    <mergeCell ref="AE167:AH167"/>
    <mergeCell ref="AI167:AK167"/>
    <mergeCell ref="A168:AK168"/>
    <mergeCell ref="AA179:AH179"/>
    <mergeCell ref="AI179:AK180"/>
    <mergeCell ref="L180:P180"/>
    <mergeCell ref="Q180:R180"/>
    <mergeCell ref="S180:U180"/>
    <mergeCell ref="V180:Z180"/>
    <mergeCell ref="AA180:AD180"/>
    <mergeCell ref="AE180:AH180"/>
    <mergeCell ref="A178:H178"/>
    <mergeCell ref="A179:E180"/>
    <mergeCell ref="F179:G180"/>
    <mergeCell ref="H179:K180"/>
    <mergeCell ref="L179:R179"/>
    <mergeCell ref="S179:Z179"/>
    <mergeCell ref="V181:Z181"/>
    <mergeCell ref="AA181:AD181"/>
    <mergeCell ref="AE181:AH181"/>
    <mergeCell ref="AI181:AK181"/>
    <mergeCell ref="A182:E182"/>
    <mergeCell ref="F182:G182"/>
    <mergeCell ref="H182:K182"/>
    <mergeCell ref="L182:P182"/>
    <mergeCell ref="Q182:R182"/>
    <mergeCell ref="S182:U182"/>
    <mergeCell ref="A181:E181"/>
    <mergeCell ref="F181:G181"/>
    <mergeCell ref="H181:K181"/>
    <mergeCell ref="L181:P181"/>
    <mergeCell ref="Q181:R181"/>
    <mergeCell ref="S181:U181"/>
    <mergeCell ref="V182:Z182"/>
    <mergeCell ref="AA182:AD182"/>
    <mergeCell ref="AE182:AH182"/>
    <mergeCell ref="AI182:AK182"/>
    <mergeCell ref="AI183:AK183"/>
    <mergeCell ref="A184:E184"/>
    <mergeCell ref="F184:G184"/>
    <mergeCell ref="H184:K184"/>
    <mergeCell ref="L184:P184"/>
    <mergeCell ref="Q184:R184"/>
    <mergeCell ref="S184:U184"/>
    <mergeCell ref="V184:Z184"/>
    <mergeCell ref="AA184:AD184"/>
    <mergeCell ref="AE184:AH184"/>
    <mergeCell ref="AI184:AK184"/>
    <mergeCell ref="A183:E183"/>
    <mergeCell ref="F183:G183"/>
    <mergeCell ref="H183:K183"/>
    <mergeCell ref="L183:P183"/>
    <mergeCell ref="Q183:R183"/>
    <mergeCell ref="S183:U183"/>
    <mergeCell ref="V183:Z183"/>
    <mergeCell ref="AA183:AD183"/>
    <mergeCell ref="AE183:AH183"/>
    <mergeCell ref="AI185:AK185"/>
    <mergeCell ref="A186:E186"/>
    <mergeCell ref="F186:G186"/>
    <mergeCell ref="H186:K186"/>
    <mergeCell ref="L186:P186"/>
    <mergeCell ref="Q186:R186"/>
    <mergeCell ref="S186:U186"/>
    <mergeCell ref="V186:Z186"/>
    <mergeCell ref="AA186:AD186"/>
    <mergeCell ref="AE186:AH186"/>
    <mergeCell ref="AI186:AK186"/>
    <mergeCell ref="A185:E185"/>
    <mergeCell ref="F185:G185"/>
    <mergeCell ref="H185:K185"/>
    <mergeCell ref="L185:P185"/>
    <mergeCell ref="Q185:R185"/>
    <mergeCell ref="S185:U185"/>
    <mergeCell ref="V185:Z185"/>
    <mergeCell ref="AA185:AD185"/>
    <mergeCell ref="AE185:AH185"/>
    <mergeCell ref="AE189:AH189"/>
    <mergeCell ref="AI187:AK187"/>
    <mergeCell ref="A188:E188"/>
    <mergeCell ref="F188:G188"/>
    <mergeCell ref="H188:K188"/>
    <mergeCell ref="L188:P188"/>
    <mergeCell ref="Q188:R188"/>
    <mergeCell ref="S188:U188"/>
    <mergeCell ref="V188:Z188"/>
    <mergeCell ref="AA188:AD188"/>
    <mergeCell ref="AE188:AH188"/>
    <mergeCell ref="AI188:AK188"/>
    <mergeCell ref="A187:E187"/>
    <mergeCell ref="F187:G187"/>
    <mergeCell ref="H187:K187"/>
    <mergeCell ref="L187:P187"/>
    <mergeCell ref="Q187:R187"/>
    <mergeCell ref="S187:U187"/>
    <mergeCell ref="V187:Z187"/>
    <mergeCell ref="AA187:AD187"/>
    <mergeCell ref="AE187:AH187"/>
    <mergeCell ref="A204:AJ204"/>
    <mergeCell ref="V190:Z190"/>
    <mergeCell ref="AA190:AD190"/>
    <mergeCell ref="AE190:AH190"/>
    <mergeCell ref="AI190:AK190"/>
    <mergeCell ref="A191:AK191"/>
    <mergeCell ref="A194:X194"/>
    <mergeCell ref="AI189:AK189"/>
    <mergeCell ref="A190:E190"/>
    <mergeCell ref="F190:G190"/>
    <mergeCell ref="H190:K190"/>
    <mergeCell ref="L190:P190"/>
    <mergeCell ref="Q190:R190"/>
    <mergeCell ref="S190:U190"/>
    <mergeCell ref="A195:AB195"/>
    <mergeCell ref="A196:X196"/>
    <mergeCell ref="A189:E189"/>
    <mergeCell ref="F189:G189"/>
    <mergeCell ref="H189:K189"/>
    <mergeCell ref="L189:P189"/>
    <mergeCell ref="Q189:R189"/>
    <mergeCell ref="S189:U189"/>
    <mergeCell ref="V189:Z189"/>
    <mergeCell ref="AA189:AD189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V65536"/>
  <sheetViews>
    <sheetView topLeftCell="A37" workbookViewId="0">
      <selection activeCell="A38" sqref="A38"/>
    </sheetView>
  </sheetViews>
  <sheetFormatPr defaultRowHeight="15" x14ac:dyDescent="0.25"/>
  <cols>
    <col min="1" max="1" width="1.7109375" customWidth="1"/>
    <col min="2" max="2" width="17.7109375" customWidth="1"/>
    <col min="3" max="6" width="13.7109375" customWidth="1"/>
    <col min="7" max="7" width="4.28515625" bestFit="1" customWidth="1"/>
    <col min="8" max="8" width="13.7109375" customWidth="1"/>
    <col min="9" max="10" width="4.28515625" bestFit="1" customWidth="1"/>
    <col min="11" max="11" width="13.7109375" customWidth="1"/>
    <col min="12" max="14" width="4.28515625" bestFit="1" customWidth="1"/>
    <col min="15" max="15" width="6.140625" bestFit="1" customWidth="1"/>
    <col min="256" max="256" width="104" customWidth="1"/>
  </cols>
  <sheetData>
    <row r="1" spans="1:15" x14ac:dyDescent="0.25">
      <c r="A1" s="657" t="s">
        <v>833</v>
      </c>
      <c r="B1" s="657"/>
      <c r="C1" s="657"/>
      <c r="D1" s="657"/>
      <c r="E1" s="657"/>
      <c r="F1" s="657"/>
      <c r="G1" s="657"/>
      <c r="H1" s="657"/>
      <c r="I1" s="657"/>
      <c r="J1" s="657"/>
      <c r="K1" s="657"/>
      <c r="L1" s="657"/>
      <c r="M1" s="657"/>
      <c r="N1" s="657"/>
      <c r="O1" s="657"/>
    </row>
    <row r="2" spans="1:15" x14ac:dyDescent="0.25">
      <c r="A2" s="657" t="s">
        <v>1840</v>
      </c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  <c r="N2" s="657"/>
      <c r="O2" s="657"/>
    </row>
    <row r="3" spans="1:15" x14ac:dyDescent="0.25">
      <c r="A3" s="658" t="s">
        <v>2592</v>
      </c>
      <c r="B3" s="658"/>
      <c r="C3" s="658"/>
      <c r="D3" s="658"/>
      <c r="E3" s="658"/>
      <c r="F3" s="658"/>
      <c r="G3" s="658"/>
      <c r="H3" s="658"/>
      <c r="I3" s="658"/>
      <c r="J3" s="658"/>
      <c r="K3" s="658"/>
      <c r="L3" s="658"/>
      <c r="M3" s="658"/>
      <c r="N3" s="658"/>
      <c r="O3" s="658"/>
    </row>
    <row r="4" spans="1:15" x14ac:dyDescent="0.25">
      <c r="A4" s="657" t="s">
        <v>1053</v>
      </c>
      <c r="B4" s="657"/>
      <c r="C4" s="657"/>
      <c r="D4" s="657"/>
      <c r="E4" s="657"/>
      <c r="F4" s="657"/>
      <c r="G4" s="657"/>
      <c r="H4" s="657"/>
      <c r="I4" s="657"/>
      <c r="J4" s="657"/>
      <c r="K4" s="657"/>
      <c r="L4" s="657"/>
      <c r="M4" s="657"/>
      <c r="N4" s="657"/>
      <c r="O4" s="657"/>
    </row>
    <row r="5" spans="1:15" x14ac:dyDescent="0.25">
      <c r="A5" s="657" t="s">
        <v>2593</v>
      </c>
      <c r="B5" s="657"/>
      <c r="C5" s="657"/>
      <c r="D5" s="657"/>
      <c r="E5" s="657"/>
      <c r="F5" s="657"/>
      <c r="G5" s="657"/>
      <c r="H5" s="657"/>
      <c r="I5" s="657"/>
      <c r="J5" s="657"/>
      <c r="K5" s="657"/>
      <c r="L5" s="657"/>
      <c r="M5" s="657"/>
      <c r="N5" s="657"/>
      <c r="O5" s="657"/>
    </row>
    <row r="7" spans="1:15" ht="15.75" thickBot="1" x14ac:dyDescent="0.3">
      <c r="A7" s="660" t="s">
        <v>2594</v>
      </c>
      <c r="B7" s="660"/>
      <c r="C7" s="660"/>
      <c r="D7" s="660"/>
      <c r="E7" s="660"/>
      <c r="F7" s="660"/>
      <c r="G7" s="660"/>
      <c r="H7" s="660"/>
      <c r="I7" s="660"/>
      <c r="J7" s="660"/>
      <c r="K7" s="660"/>
      <c r="L7" s="660"/>
      <c r="O7" s="592" t="s">
        <v>2595</v>
      </c>
    </row>
    <row r="8" spans="1:15" x14ac:dyDescent="0.25">
      <c r="A8" s="1037" t="s">
        <v>2596</v>
      </c>
      <c r="B8" s="1037"/>
      <c r="C8" s="1037"/>
      <c r="D8" s="1037"/>
      <c r="E8" s="1040" t="s">
        <v>2597</v>
      </c>
      <c r="F8" s="1040"/>
      <c r="G8" s="1040"/>
      <c r="H8" s="1040" t="s">
        <v>2598</v>
      </c>
      <c r="I8" s="1040"/>
      <c r="J8" s="1040"/>
      <c r="K8" s="1040"/>
      <c r="L8" s="1040"/>
      <c r="M8" s="1040"/>
      <c r="N8" s="1040"/>
      <c r="O8" s="1040"/>
    </row>
    <row r="9" spans="1:15" ht="15.75" thickBot="1" x14ac:dyDescent="0.3">
      <c r="A9" s="1038"/>
      <c r="B9" s="1038"/>
      <c r="C9" s="1038"/>
      <c r="D9" s="1038"/>
      <c r="E9" s="1041" t="s">
        <v>2599</v>
      </c>
      <c r="F9" s="1041"/>
      <c r="G9" s="1041"/>
      <c r="H9" s="1042">
        <v>2021</v>
      </c>
      <c r="I9" s="1042"/>
      <c r="J9" s="1042"/>
      <c r="K9" s="1042"/>
      <c r="L9" s="1042"/>
      <c r="M9" s="1042"/>
      <c r="N9" s="1042"/>
      <c r="O9" s="1042"/>
    </row>
    <row r="10" spans="1:15" ht="15.75" thickBot="1" x14ac:dyDescent="0.3">
      <c r="A10" s="1039"/>
      <c r="B10" s="1039"/>
      <c r="C10" s="1039"/>
      <c r="D10" s="1039"/>
      <c r="E10" s="1043" t="s">
        <v>2600</v>
      </c>
      <c r="F10" s="1043"/>
      <c r="G10" s="1043"/>
      <c r="H10" s="1044" t="s">
        <v>2601</v>
      </c>
      <c r="I10" s="1044"/>
      <c r="J10" s="1044"/>
      <c r="K10" s="1044"/>
      <c r="L10" s="1044" t="s">
        <v>954</v>
      </c>
      <c r="M10" s="1044"/>
      <c r="N10" s="1044"/>
      <c r="O10" s="1044"/>
    </row>
    <row r="11" spans="1:15" x14ac:dyDescent="0.25">
      <c r="A11" s="1028" t="s">
        <v>2602</v>
      </c>
      <c r="B11" s="1028"/>
      <c r="C11" s="1028"/>
      <c r="D11" s="1028"/>
      <c r="E11" s="653"/>
      <c r="F11" s="653"/>
      <c r="G11" s="653"/>
      <c r="H11" s="653"/>
      <c r="I11" s="653"/>
      <c r="J11" s="653"/>
      <c r="K11" s="653"/>
      <c r="L11" s="653"/>
      <c r="M11" s="653"/>
      <c r="N11" s="653"/>
      <c r="O11" s="653"/>
    </row>
    <row r="12" spans="1:15" x14ac:dyDescent="0.25">
      <c r="A12" s="1034" t="s">
        <v>2603</v>
      </c>
      <c r="B12" s="1034"/>
      <c r="C12" s="1034"/>
      <c r="D12" s="1034"/>
      <c r="E12" s="651"/>
      <c r="F12" s="651"/>
      <c r="G12" s="651"/>
      <c r="H12" s="651"/>
      <c r="I12" s="651"/>
      <c r="J12" s="651"/>
      <c r="K12" s="651"/>
      <c r="L12" s="651"/>
      <c r="M12" s="651"/>
      <c r="N12" s="651"/>
      <c r="O12" s="651"/>
    </row>
    <row r="13" spans="1:15" x14ac:dyDescent="0.25">
      <c r="A13" s="1034" t="s">
        <v>2604</v>
      </c>
      <c r="B13" s="1034"/>
      <c r="C13" s="1034"/>
      <c r="D13" s="1034"/>
      <c r="E13" s="651"/>
      <c r="F13" s="651"/>
      <c r="G13" s="651"/>
      <c r="H13" s="651"/>
      <c r="I13" s="651"/>
      <c r="J13" s="651"/>
      <c r="K13" s="651"/>
      <c r="L13" s="651"/>
      <c r="M13" s="651"/>
      <c r="N13" s="651"/>
      <c r="O13" s="651"/>
    </row>
    <row r="14" spans="1:15" x14ac:dyDescent="0.25">
      <c r="A14" s="1034" t="s">
        <v>2605</v>
      </c>
      <c r="B14" s="1034"/>
      <c r="C14" s="1034"/>
      <c r="D14" s="1034"/>
      <c r="E14" s="651"/>
      <c r="F14" s="651"/>
      <c r="G14" s="651"/>
      <c r="H14" s="651"/>
      <c r="I14" s="651"/>
      <c r="J14" s="651"/>
      <c r="K14" s="651"/>
      <c r="L14" s="651"/>
      <c r="M14" s="651"/>
      <c r="N14" s="651"/>
      <c r="O14" s="651"/>
    </row>
    <row r="15" spans="1:15" x14ac:dyDescent="0.25">
      <c r="A15" s="1034" t="s">
        <v>2606</v>
      </c>
      <c r="B15" s="1034"/>
      <c r="C15" s="1034"/>
      <c r="D15" s="1034"/>
      <c r="E15" s="651"/>
      <c r="F15" s="651"/>
      <c r="G15" s="651"/>
      <c r="H15" s="651"/>
      <c r="I15" s="651"/>
      <c r="J15" s="651"/>
      <c r="K15" s="651"/>
      <c r="L15" s="651"/>
      <c r="M15" s="651"/>
      <c r="N15" s="651"/>
      <c r="O15" s="651"/>
    </row>
    <row r="16" spans="1:15" x14ac:dyDescent="0.25">
      <c r="A16" s="1034" t="s">
        <v>2607</v>
      </c>
      <c r="B16" s="1034"/>
      <c r="C16" s="1034"/>
      <c r="D16" s="1034"/>
      <c r="E16" s="651"/>
      <c r="F16" s="651"/>
      <c r="G16" s="651"/>
      <c r="H16" s="651"/>
      <c r="I16" s="651"/>
      <c r="J16" s="651"/>
      <c r="K16" s="651"/>
      <c r="L16" s="651"/>
      <c r="M16" s="651"/>
      <c r="N16" s="651"/>
      <c r="O16" s="651"/>
    </row>
    <row r="17" spans="1:15" x14ac:dyDescent="0.25">
      <c r="A17" s="1034" t="s">
        <v>2608</v>
      </c>
      <c r="B17" s="1034"/>
      <c r="C17" s="1034"/>
      <c r="D17" s="1034"/>
      <c r="E17" s="651"/>
      <c r="F17" s="651"/>
      <c r="G17" s="651"/>
      <c r="H17" s="651"/>
      <c r="I17" s="651"/>
      <c r="J17" s="651"/>
      <c r="K17" s="651"/>
      <c r="L17" s="651"/>
      <c r="M17" s="651"/>
      <c r="N17" s="651"/>
      <c r="O17" s="651"/>
    </row>
    <row r="18" spans="1:15" x14ac:dyDescent="0.25">
      <c r="A18" s="1034" t="s">
        <v>2609</v>
      </c>
      <c r="B18" s="1034"/>
      <c r="C18" s="1034"/>
      <c r="D18" s="1034"/>
      <c r="E18" s="651"/>
      <c r="F18" s="651"/>
      <c r="G18" s="651"/>
      <c r="H18" s="651"/>
      <c r="I18" s="651"/>
      <c r="J18" s="651"/>
      <c r="K18" s="651"/>
      <c r="L18" s="651"/>
      <c r="M18" s="651"/>
      <c r="N18" s="651"/>
      <c r="O18" s="651"/>
    </row>
    <row r="19" spans="1:15" x14ac:dyDescent="0.25">
      <c r="A19" s="1034" t="s">
        <v>2610</v>
      </c>
      <c r="B19" s="1034"/>
      <c r="C19" s="1034"/>
      <c r="D19" s="1034"/>
      <c r="E19" s="651"/>
      <c r="F19" s="651"/>
      <c r="G19" s="651"/>
      <c r="H19" s="651"/>
      <c r="I19" s="651"/>
      <c r="J19" s="651"/>
      <c r="K19" s="651"/>
      <c r="L19" s="651"/>
      <c r="M19" s="651"/>
      <c r="N19" s="651"/>
      <c r="O19" s="651"/>
    </row>
    <row r="20" spans="1:15" x14ac:dyDescent="0.25">
      <c r="A20" s="1034" t="s">
        <v>2611</v>
      </c>
      <c r="B20" s="1034"/>
      <c r="C20" s="1034"/>
      <c r="D20" s="1034"/>
      <c r="E20" s="651"/>
      <c r="F20" s="651"/>
      <c r="G20" s="651"/>
      <c r="H20" s="651"/>
      <c r="I20" s="651"/>
      <c r="J20" s="651"/>
      <c r="K20" s="651"/>
      <c r="L20" s="651"/>
      <c r="M20" s="651"/>
      <c r="N20" s="651"/>
      <c r="O20" s="651"/>
    </row>
    <row r="21" spans="1:15" ht="15.75" thickBot="1" x14ac:dyDescent="0.3">
      <c r="A21" s="1034" t="s">
        <v>2612</v>
      </c>
      <c r="B21" s="1034"/>
      <c r="C21" s="1034"/>
      <c r="D21" s="1034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</row>
    <row r="22" spans="1:15" ht="15.75" thickBot="1" x14ac:dyDescent="0.3">
      <c r="A22" s="478"/>
      <c r="B22" s="461"/>
      <c r="C22" s="461"/>
      <c r="D22" s="461"/>
      <c r="E22" s="461"/>
      <c r="F22" s="461"/>
      <c r="G22" s="461"/>
      <c r="H22" s="461"/>
      <c r="I22" s="461"/>
      <c r="J22" s="461"/>
      <c r="K22" s="461"/>
      <c r="L22" s="461"/>
      <c r="M22" s="461"/>
      <c r="N22" s="461"/>
      <c r="O22" s="477"/>
    </row>
    <row r="23" spans="1:15" x14ac:dyDescent="0.25">
      <c r="A23" s="1037" t="s">
        <v>2613</v>
      </c>
      <c r="B23" s="1037"/>
      <c r="C23" s="1037"/>
      <c r="D23" s="1037"/>
      <c r="E23" s="593" t="s">
        <v>2614</v>
      </c>
      <c r="F23" s="593" t="s">
        <v>2614</v>
      </c>
      <c r="G23" s="593"/>
      <c r="H23" s="593"/>
      <c r="I23" s="593"/>
      <c r="J23" s="593"/>
      <c r="K23" s="593"/>
      <c r="L23" s="593"/>
      <c r="M23" s="593"/>
      <c r="N23" s="593"/>
      <c r="O23" s="593"/>
    </row>
    <row r="24" spans="1:15" x14ac:dyDescent="0.25">
      <c r="A24" s="1038"/>
      <c r="B24" s="1038"/>
      <c r="C24" s="1038"/>
      <c r="D24" s="1038"/>
      <c r="E24" s="594" t="s">
        <v>2615</v>
      </c>
      <c r="F24" s="594" t="s">
        <v>2616</v>
      </c>
      <c r="G24" s="595">
        <v>2022</v>
      </c>
      <c r="H24" s="595">
        <v>2023</v>
      </c>
      <c r="I24" s="595">
        <v>2024</v>
      </c>
      <c r="J24" s="595">
        <v>2025</v>
      </c>
      <c r="K24" s="595">
        <v>2026</v>
      </c>
      <c r="L24" s="595">
        <v>2027</v>
      </c>
      <c r="M24" s="595">
        <v>2028</v>
      </c>
      <c r="N24" s="595">
        <v>2029</v>
      </c>
      <c r="O24" s="595">
        <v>2030</v>
      </c>
    </row>
    <row r="25" spans="1:15" ht="15.75" thickBot="1" x14ac:dyDescent="0.3">
      <c r="A25" s="1039"/>
      <c r="B25" s="1038"/>
      <c r="C25" s="1038"/>
      <c r="D25" s="1038"/>
      <c r="E25" s="594"/>
      <c r="F25" s="595">
        <v>2021</v>
      </c>
      <c r="G25" s="594"/>
      <c r="H25" s="594"/>
      <c r="I25" s="594"/>
      <c r="J25" s="594"/>
      <c r="K25" s="594"/>
      <c r="L25" s="594"/>
      <c r="M25" s="594"/>
      <c r="N25" s="594"/>
      <c r="O25" s="594"/>
    </row>
    <row r="26" spans="1:15" x14ac:dyDescent="0.25">
      <c r="A26" s="1035" t="s">
        <v>2617</v>
      </c>
      <c r="B26" s="1036"/>
      <c r="C26" s="1028"/>
      <c r="D26" s="1028"/>
      <c r="E26" s="596">
        <v>0</v>
      </c>
      <c r="F26" s="596">
        <v>0</v>
      </c>
      <c r="G26" s="596">
        <v>0</v>
      </c>
      <c r="H26" s="596">
        <v>0</v>
      </c>
      <c r="I26" s="596">
        <v>0</v>
      </c>
      <c r="J26" s="596">
        <v>0</v>
      </c>
      <c r="K26" s="596">
        <v>0</v>
      </c>
      <c r="L26" s="596">
        <v>0</v>
      </c>
      <c r="M26" s="596">
        <v>0</v>
      </c>
      <c r="N26" s="596">
        <v>0</v>
      </c>
      <c r="O26" s="596">
        <v>0</v>
      </c>
    </row>
    <row r="27" spans="1:15" x14ac:dyDescent="0.25">
      <c r="A27" s="1032" t="s">
        <v>2618</v>
      </c>
      <c r="B27" s="1033"/>
      <c r="C27" s="1034"/>
      <c r="D27" s="1034"/>
      <c r="E27" s="597">
        <v>0</v>
      </c>
      <c r="F27" s="597">
        <v>0</v>
      </c>
      <c r="G27" s="597">
        <v>0</v>
      </c>
      <c r="H27" s="597">
        <v>0</v>
      </c>
      <c r="I27" s="597">
        <v>0</v>
      </c>
      <c r="J27" s="597">
        <v>0</v>
      </c>
      <c r="K27" s="597">
        <v>0</v>
      </c>
      <c r="L27" s="597">
        <v>0</v>
      </c>
      <c r="M27" s="597">
        <v>0</v>
      </c>
      <c r="N27" s="597">
        <v>0</v>
      </c>
      <c r="O27" s="597">
        <v>0</v>
      </c>
    </row>
    <row r="28" spans="1:15" x14ac:dyDescent="0.25">
      <c r="A28" s="1032" t="s">
        <v>2619</v>
      </c>
      <c r="B28" s="1033"/>
      <c r="C28" s="1034"/>
      <c r="D28" s="1034"/>
      <c r="E28" s="480"/>
      <c r="F28" s="480"/>
      <c r="G28" s="480"/>
      <c r="H28" s="480"/>
      <c r="I28" s="480"/>
      <c r="J28" s="480"/>
      <c r="K28" s="480"/>
      <c r="L28" s="480"/>
      <c r="M28" s="480"/>
      <c r="N28" s="480"/>
      <c r="O28" s="480"/>
    </row>
    <row r="29" spans="1:15" x14ac:dyDescent="0.25">
      <c r="A29" s="1032" t="s">
        <v>2620</v>
      </c>
      <c r="B29" s="1033"/>
      <c r="C29" s="1034"/>
      <c r="D29" s="1034"/>
      <c r="E29" s="480"/>
      <c r="F29" s="480"/>
      <c r="G29" s="480"/>
      <c r="H29" s="480"/>
      <c r="I29" s="480"/>
      <c r="J29" s="480"/>
      <c r="K29" s="480"/>
      <c r="L29" s="480"/>
      <c r="M29" s="480"/>
      <c r="N29" s="480"/>
      <c r="O29" s="480"/>
    </row>
    <row r="30" spans="1:15" x14ac:dyDescent="0.25">
      <c r="A30" s="1032" t="s">
        <v>2621</v>
      </c>
      <c r="B30" s="1033"/>
      <c r="C30" s="1034"/>
      <c r="D30" s="1034"/>
      <c r="E30" s="480"/>
      <c r="F30" s="480"/>
      <c r="G30" s="480"/>
      <c r="H30" s="480"/>
      <c r="I30" s="480"/>
      <c r="J30" s="480"/>
      <c r="K30" s="480"/>
      <c r="L30" s="480"/>
      <c r="M30" s="480"/>
      <c r="N30" s="480"/>
      <c r="O30" s="480"/>
    </row>
    <row r="31" spans="1:15" ht="15.75" thickBot="1" x14ac:dyDescent="0.3">
      <c r="A31" s="1032" t="s">
        <v>2622</v>
      </c>
      <c r="B31" s="1033"/>
      <c r="C31" s="1034"/>
      <c r="D31" s="1034"/>
      <c r="E31" s="480"/>
      <c r="F31" s="480"/>
      <c r="G31" s="480"/>
      <c r="H31" s="480"/>
      <c r="I31" s="480"/>
      <c r="J31" s="480"/>
      <c r="K31" s="480"/>
      <c r="L31" s="480"/>
      <c r="M31" s="480"/>
      <c r="N31" s="480"/>
      <c r="O31" s="480"/>
    </row>
    <row r="32" spans="1:15" ht="15.75" thickBot="1" x14ac:dyDescent="0.3">
      <c r="A32" s="1029" t="s">
        <v>2623</v>
      </c>
      <c r="B32" s="1029"/>
      <c r="C32" s="1029"/>
      <c r="D32" s="1029"/>
      <c r="E32" s="598">
        <v>0</v>
      </c>
      <c r="F32" s="598">
        <v>0</v>
      </c>
      <c r="G32" s="598">
        <v>0</v>
      </c>
      <c r="H32" s="598">
        <v>0</v>
      </c>
      <c r="I32" s="598">
        <v>0</v>
      </c>
      <c r="J32" s="598">
        <v>0</v>
      </c>
      <c r="K32" s="598">
        <v>0</v>
      </c>
      <c r="L32" s="598">
        <v>0</v>
      </c>
      <c r="M32" s="598">
        <v>0</v>
      </c>
      <c r="N32" s="598">
        <v>0</v>
      </c>
      <c r="O32" s="598">
        <v>0</v>
      </c>
    </row>
    <row r="33" spans="1:15" ht="15.75" thickBot="1" x14ac:dyDescent="0.3">
      <c r="A33" s="1028" t="s">
        <v>2624</v>
      </c>
      <c r="B33" s="1028"/>
      <c r="C33" s="1028"/>
      <c r="D33" s="1028"/>
      <c r="E33" s="599">
        <v>0</v>
      </c>
      <c r="F33" s="599">
        <v>0</v>
      </c>
      <c r="G33" s="599">
        <v>0</v>
      </c>
      <c r="H33" s="599">
        <v>0</v>
      </c>
      <c r="I33" s="599">
        <v>0</v>
      </c>
      <c r="J33" s="599">
        <v>0</v>
      </c>
      <c r="K33" s="599">
        <v>0</v>
      </c>
      <c r="L33" s="599">
        <v>0</v>
      </c>
      <c r="M33" s="599">
        <v>0</v>
      </c>
      <c r="N33" s="599">
        <v>0</v>
      </c>
      <c r="O33" s="599">
        <v>0</v>
      </c>
    </row>
    <row r="34" spans="1:15" ht="15.75" thickBot="1" x14ac:dyDescent="0.3">
      <c r="A34" s="1029" t="s">
        <v>2625</v>
      </c>
      <c r="B34" s="1029"/>
      <c r="C34" s="1029"/>
      <c r="D34" s="1029"/>
      <c r="E34" s="593"/>
      <c r="F34" s="593"/>
      <c r="G34" s="593"/>
      <c r="H34" s="593"/>
      <c r="I34" s="593"/>
      <c r="J34" s="593"/>
      <c r="K34" s="593"/>
      <c r="L34" s="593"/>
      <c r="M34" s="593"/>
      <c r="N34" s="593"/>
      <c r="O34" s="593"/>
    </row>
    <row r="35" spans="1:15" ht="15.75" thickBot="1" x14ac:dyDescent="0.3">
      <c r="A35" s="1030" t="s">
        <v>2626</v>
      </c>
      <c r="B35" s="1030"/>
      <c r="C35" s="1030"/>
      <c r="D35" s="1030"/>
      <c r="E35" s="600"/>
      <c r="F35" s="600"/>
      <c r="G35" s="600"/>
      <c r="H35" s="600"/>
      <c r="I35" s="600"/>
      <c r="J35" s="600"/>
      <c r="K35" s="600"/>
      <c r="L35" s="600"/>
      <c r="M35" s="600"/>
      <c r="N35" s="600"/>
      <c r="O35" s="600"/>
    </row>
    <row r="37" spans="1:15" x14ac:dyDescent="0.25">
      <c r="A37" s="1031"/>
      <c r="B37" s="1031"/>
      <c r="C37" s="1031"/>
      <c r="D37" s="1031"/>
      <c r="E37" s="1031"/>
      <c r="F37" s="1031"/>
      <c r="G37" s="1031"/>
      <c r="H37" s="1031"/>
      <c r="I37" s="1031"/>
      <c r="J37" s="1031"/>
      <c r="K37" s="1031"/>
    </row>
    <row r="65536" spans="256:256" ht="15" customHeight="1" x14ac:dyDescent="0.25">
      <c r="IV65536" s="601"/>
    </row>
  </sheetData>
  <mergeCells count="70">
    <mergeCell ref="A7:L7"/>
    <mergeCell ref="A1:O1"/>
    <mergeCell ref="A2:O2"/>
    <mergeCell ref="A3:O3"/>
    <mergeCell ref="A4:O4"/>
    <mergeCell ref="A5:O5"/>
    <mergeCell ref="A8:D10"/>
    <mergeCell ref="E8:G8"/>
    <mergeCell ref="H8:O8"/>
    <mergeCell ref="E9:G9"/>
    <mergeCell ref="H9:O9"/>
    <mergeCell ref="E10:G10"/>
    <mergeCell ref="H10:K10"/>
    <mergeCell ref="L10:O10"/>
    <mergeCell ref="A11:D11"/>
    <mergeCell ref="E11:G11"/>
    <mergeCell ref="H11:K11"/>
    <mergeCell ref="L11:O11"/>
    <mergeCell ref="A12:D12"/>
    <mergeCell ref="E12:G12"/>
    <mergeCell ref="H12:K12"/>
    <mergeCell ref="L12:O12"/>
    <mergeCell ref="A13:D13"/>
    <mergeCell ref="E13:G13"/>
    <mergeCell ref="H13:K13"/>
    <mergeCell ref="L13:O13"/>
    <mergeCell ref="A14:D14"/>
    <mergeCell ref="E14:G14"/>
    <mergeCell ref="H14:K14"/>
    <mergeCell ref="L14:O14"/>
    <mergeCell ref="A15:D15"/>
    <mergeCell ref="E15:G15"/>
    <mergeCell ref="H15:K15"/>
    <mergeCell ref="L15:O15"/>
    <mergeCell ref="A16:D16"/>
    <mergeCell ref="E16:G16"/>
    <mergeCell ref="H16:K16"/>
    <mergeCell ref="L16:O16"/>
    <mergeCell ref="A17:D17"/>
    <mergeCell ref="E17:G17"/>
    <mergeCell ref="H17:K17"/>
    <mergeCell ref="L17:O17"/>
    <mergeCell ref="A18:D18"/>
    <mergeCell ref="E18:G18"/>
    <mergeCell ref="H18:K18"/>
    <mergeCell ref="L18:O18"/>
    <mergeCell ref="A26:D26"/>
    <mergeCell ref="A19:D19"/>
    <mergeCell ref="E19:G19"/>
    <mergeCell ref="H19:K19"/>
    <mergeCell ref="L19:O19"/>
    <mergeCell ref="A20:D20"/>
    <mergeCell ref="E20:G20"/>
    <mergeCell ref="H20:K20"/>
    <mergeCell ref="L20:O20"/>
    <mergeCell ref="A21:D21"/>
    <mergeCell ref="E21:G21"/>
    <mergeCell ref="H21:K21"/>
    <mergeCell ref="L21:O21"/>
    <mergeCell ref="A23:D25"/>
    <mergeCell ref="A33:D33"/>
    <mergeCell ref="A34:D34"/>
    <mergeCell ref="A35:D35"/>
    <mergeCell ref="A37:K37"/>
    <mergeCell ref="A27:D27"/>
    <mergeCell ref="A28:D28"/>
    <mergeCell ref="A29:D29"/>
    <mergeCell ref="A30:D30"/>
    <mergeCell ref="A31:D31"/>
    <mergeCell ref="A32:D3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V65536"/>
  <sheetViews>
    <sheetView workbookViewId="0">
      <selection sqref="A1:XFD1048576"/>
    </sheetView>
  </sheetViews>
  <sheetFormatPr defaultRowHeight="15" x14ac:dyDescent="0.25"/>
  <cols>
    <col min="1" max="2" width="1.7109375" customWidth="1"/>
    <col min="3" max="3" width="32.7109375" customWidth="1"/>
    <col min="4" max="4" width="15.7109375" bestFit="1" customWidth="1"/>
    <col min="5" max="5" width="10" bestFit="1" customWidth="1"/>
    <col min="6" max="6" width="9" bestFit="1" customWidth="1"/>
    <col min="7" max="7" width="7.28515625" bestFit="1" customWidth="1"/>
    <col min="8" max="8" width="18.42578125" bestFit="1" customWidth="1"/>
    <col min="9" max="9" width="13.7109375" bestFit="1" customWidth="1"/>
    <col min="10" max="10" width="9.7109375" bestFit="1" customWidth="1"/>
    <col min="256" max="256" width="85" customWidth="1"/>
  </cols>
  <sheetData>
    <row r="1" spans="1:10" x14ac:dyDescent="0.25">
      <c r="A1" s="657" t="s">
        <v>2627</v>
      </c>
      <c r="B1" s="657"/>
      <c r="C1" s="657"/>
      <c r="D1" s="657"/>
      <c r="E1" s="657"/>
      <c r="F1" s="657"/>
      <c r="G1" s="657"/>
      <c r="H1" s="657"/>
      <c r="I1" s="657"/>
      <c r="J1" s="657"/>
    </row>
    <row r="2" spans="1:10" x14ac:dyDescent="0.25">
      <c r="A2" s="657" t="s">
        <v>1840</v>
      </c>
      <c r="B2" s="657"/>
      <c r="C2" s="657"/>
      <c r="D2" s="657"/>
      <c r="E2" s="657"/>
      <c r="F2" s="657"/>
      <c r="G2" s="657"/>
      <c r="H2" s="657"/>
      <c r="I2" s="657"/>
      <c r="J2" s="657"/>
    </row>
    <row r="3" spans="1:10" x14ac:dyDescent="0.25">
      <c r="A3" s="658" t="s">
        <v>2628</v>
      </c>
      <c r="B3" s="658"/>
      <c r="C3" s="658"/>
      <c r="D3" s="658"/>
      <c r="E3" s="658"/>
      <c r="F3" s="658"/>
      <c r="G3" s="658"/>
      <c r="H3" s="658"/>
      <c r="I3" s="658"/>
      <c r="J3" s="658"/>
    </row>
    <row r="4" spans="1:10" x14ac:dyDescent="0.25">
      <c r="A4" s="657" t="s">
        <v>1053</v>
      </c>
      <c r="B4" s="657"/>
      <c r="C4" s="657"/>
      <c r="D4" s="657"/>
      <c r="E4" s="657"/>
      <c r="F4" s="657"/>
      <c r="G4" s="657"/>
      <c r="H4" s="657"/>
      <c r="I4" s="657"/>
      <c r="J4" s="657"/>
    </row>
    <row r="5" spans="1:10" x14ac:dyDescent="0.25">
      <c r="A5" s="657" t="s">
        <v>2141</v>
      </c>
      <c r="B5" s="657"/>
      <c r="C5" s="657"/>
      <c r="D5" s="657"/>
      <c r="E5" s="657"/>
      <c r="F5" s="657"/>
      <c r="G5" s="657"/>
      <c r="H5" s="657"/>
      <c r="I5" s="657"/>
      <c r="J5" s="657"/>
    </row>
    <row r="6" spans="1:10" ht="15.75" thickBot="1" x14ac:dyDescent="0.3">
      <c r="A6" s="657" t="s">
        <v>2629</v>
      </c>
      <c r="B6" s="657"/>
      <c r="C6" s="657"/>
      <c r="D6" s="657"/>
      <c r="E6" s="657"/>
      <c r="F6" s="657"/>
      <c r="G6" s="657"/>
      <c r="H6" s="657"/>
      <c r="I6" s="657"/>
      <c r="J6" s="543" t="s">
        <v>922</v>
      </c>
    </row>
    <row r="7" spans="1:10" x14ac:dyDescent="0.25">
      <c r="A7" s="1050" t="s">
        <v>925</v>
      </c>
      <c r="B7" s="1051"/>
      <c r="C7" s="1051"/>
      <c r="D7" s="537" t="s">
        <v>2143</v>
      </c>
      <c r="E7" s="625" t="s">
        <v>1464</v>
      </c>
      <c r="F7" s="625"/>
      <c r="G7" s="625"/>
      <c r="H7" s="625"/>
      <c r="I7" s="625"/>
      <c r="J7" s="538" t="s">
        <v>2099</v>
      </c>
    </row>
    <row r="8" spans="1:10" ht="15.75" thickBot="1" x14ac:dyDescent="0.3">
      <c r="A8" s="1052"/>
      <c r="B8" s="1053"/>
      <c r="C8" s="1055"/>
      <c r="D8" s="535" t="s">
        <v>956</v>
      </c>
      <c r="E8" s="617" t="s">
        <v>957</v>
      </c>
      <c r="F8" s="617"/>
      <c r="G8" s="617"/>
      <c r="H8" s="617"/>
      <c r="I8" s="617"/>
      <c r="J8" s="536" t="s">
        <v>2630</v>
      </c>
    </row>
    <row r="9" spans="1:10" x14ac:dyDescent="0.25">
      <c r="A9" s="619" t="s">
        <v>2631</v>
      </c>
      <c r="B9" s="619"/>
      <c r="C9" s="620"/>
      <c r="D9" s="502">
        <v>0</v>
      </c>
      <c r="E9" s="1056">
        <v>0</v>
      </c>
      <c r="F9" s="1056"/>
      <c r="G9" s="1056"/>
      <c r="H9" s="1056"/>
      <c r="I9" s="1056"/>
      <c r="J9" s="503">
        <v>0</v>
      </c>
    </row>
    <row r="10" spans="1:10" x14ac:dyDescent="0.25">
      <c r="C10" s="539" t="s">
        <v>2632</v>
      </c>
      <c r="D10" s="505">
        <v>0</v>
      </c>
      <c r="E10" s="1057">
        <v>0</v>
      </c>
      <c r="F10" s="1057"/>
      <c r="G10" s="1057"/>
      <c r="H10" s="1057"/>
      <c r="I10" s="1057"/>
      <c r="J10" s="506">
        <v>0</v>
      </c>
    </row>
    <row r="11" spans="1:10" x14ac:dyDescent="0.25">
      <c r="C11" s="539" t="s">
        <v>2633</v>
      </c>
      <c r="D11" s="505">
        <v>0</v>
      </c>
      <c r="E11" s="1057">
        <v>0</v>
      </c>
      <c r="F11" s="1057"/>
      <c r="G11" s="1057"/>
      <c r="H11" s="1057"/>
      <c r="I11" s="1057"/>
      <c r="J11" s="506">
        <v>0</v>
      </c>
    </row>
    <row r="12" spans="1:10" x14ac:dyDescent="0.25">
      <c r="C12" s="539" t="s">
        <v>2634</v>
      </c>
      <c r="D12" s="505">
        <v>0</v>
      </c>
      <c r="E12" s="1057">
        <v>0</v>
      </c>
      <c r="F12" s="1057"/>
      <c r="G12" s="1057"/>
      <c r="H12" s="1057"/>
      <c r="I12" s="1057"/>
      <c r="J12" s="506">
        <v>0</v>
      </c>
    </row>
    <row r="13" spans="1:10" ht="15.75" thickBot="1" x14ac:dyDescent="0.3">
      <c r="A13" s="602"/>
      <c r="B13" s="602"/>
      <c r="C13" s="603" t="s">
        <v>2635</v>
      </c>
      <c r="D13" s="604">
        <v>0</v>
      </c>
      <c r="E13" s="1058">
        <v>0</v>
      </c>
      <c r="F13" s="1058"/>
      <c r="G13" s="1058"/>
      <c r="H13" s="1058"/>
      <c r="I13" s="1058"/>
      <c r="J13" s="605">
        <v>0</v>
      </c>
    </row>
    <row r="14" spans="1:10" ht="15.75" thickBot="1" x14ac:dyDescent="0.3"/>
    <row r="15" spans="1:10" x14ac:dyDescent="0.25">
      <c r="A15" s="1050" t="s">
        <v>931</v>
      </c>
      <c r="B15" s="1051"/>
      <c r="C15" s="1051"/>
      <c r="D15" s="537" t="s">
        <v>2147</v>
      </c>
      <c r="E15" s="537" t="s">
        <v>931</v>
      </c>
      <c r="F15" s="537" t="s">
        <v>931</v>
      </c>
      <c r="G15" s="537" t="s">
        <v>931</v>
      </c>
      <c r="H15" s="537" t="s">
        <v>931</v>
      </c>
      <c r="I15" s="537" t="s">
        <v>2636</v>
      </c>
      <c r="J15" s="538" t="s">
        <v>2099</v>
      </c>
    </row>
    <row r="16" spans="1:10" x14ac:dyDescent="0.25">
      <c r="A16" s="1059"/>
      <c r="B16" s="1055"/>
      <c r="C16" s="1055"/>
      <c r="D16" s="535"/>
      <c r="E16" s="535" t="s">
        <v>2149</v>
      </c>
      <c r="F16" s="535" t="s">
        <v>1059</v>
      </c>
      <c r="G16" s="535" t="s">
        <v>2637</v>
      </c>
      <c r="H16" s="535" t="s">
        <v>2638</v>
      </c>
      <c r="I16" s="535" t="s">
        <v>2639</v>
      </c>
      <c r="J16" s="536"/>
    </row>
    <row r="17" spans="1:10" x14ac:dyDescent="0.25">
      <c r="A17" s="1059"/>
      <c r="B17" s="1055"/>
      <c r="C17" s="1055"/>
      <c r="D17" s="535"/>
      <c r="E17" s="535"/>
      <c r="F17" s="535"/>
      <c r="G17" s="535"/>
      <c r="H17" s="535" t="s">
        <v>2640</v>
      </c>
      <c r="I17" s="535"/>
      <c r="J17" s="536"/>
    </row>
    <row r="18" spans="1:10" ht="15.75" thickBot="1" x14ac:dyDescent="0.3">
      <c r="A18" s="1052"/>
      <c r="B18" s="1053"/>
      <c r="C18" s="1055"/>
      <c r="D18" s="535" t="s">
        <v>1030</v>
      </c>
      <c r="E18" s="535" t="s">
        <v>2150</v>
      </c>
      <c r="F18" s="535"/>
      <c r="G18" s="535" t="s">
        <v>1032</v>
      </c>
      <c r="H18" s="535"/>
      <c r="I18" s="535" t="s">
        <v>1033</v>
      </c>
      <c r="J18" s="536" t="s">
        <v>2641</v>
      </c>
    </row>
    <row r="19" spans="1:10" x14ac:dyDescent="0.25">
      <c r="A19" s="540" t="s">
        <v>2642</v>
      </c>
      <c r="C19" s="477"/>
      <c r="D19" s="502">
        <v>0</v>
      </c>
      <c r="E19" s="502">
        <v>0</v>
      </c>
      <c r="F19" s="502">
        <v>0</v>
      </c>
      <c r="G19" s="502">
        <v>0</v>
      </c>
      <c r="H19" s="502">
        <v>0</v>
      </c>
      <c r="I19" s="502">
        <v>0</v>
      </c>
      <c r="J19" s="503">
        <v>0</v>
      </c>
    </row>
    <row r="20" spans="1:10" x14ac:dyDescent="0.25">
      <c r="A20" s="635" t="s">
        <v>2238</v>
      </c>
      <c r="B20" s="635"/>
      <c r="C20" s="627"/>
      <c r="D20" s="505">
        <v>0</v>
      </c>
      <c r="E20" s="505">
        <v>0</v>
      </c>
      <c r="F20" s="505">
        <v>0</v>
      </c>
      <c r="G20" s="505">
        <v>0</v>
      </c>
      <c r="H20" s="505">
        <v>0</v>
      </c>
      <c r="I20" s="505">
        <v>0</v>
      </c>
      <c r="J20" s="506">
        <v>0</v>
      </c>
    </row>
    <row r="21" spans="1:10" x14ac:dyDescent="0.25">
      <c r="B21" s="635" t="s">
        <v>329</v>
      </c>
      <c r="C21" s="627"/>
      <c r="D21" s="505">
        <v>0</v>
      </c>
      <c r="E21" s="505">
        <v>0</v>
      </c>
      <c r="F21" s="505">
        <v>0</v>
      </c>
      <c r="G21" s="505">
        <v>0</v>
      </c>
      <c r="H21" s="505">
        <v>0</v>
      </c>
      <c r="I21" s="505">
        <v>0</v>
      </c>
      <c r="J21" s="506">
        <v>0</v>
      </c>
    </row>
    <row r="22" spans="1:10" x14ac:dyDescent="0.25">
      <c r="B22" s="635" t="s">
        <v>891</v>
      </c>
      <c r="C22" s="627"/>
      <c r="D22" s="505">
        <v>0</v>
      </c>
      <c r="E22" s="505">
        <v>0</v>
      </c>
      <c r="F22" s="505">
        <v>0</v>
      </c>
      <c r="G22" s="505">
        <v>0</v>
      </c>
      <c r="H22" s="505">
        <v>0</v>
      </c>
      <c r="I22" s="505">
        <v>0</v>
      </c>
      <c r="J22" s="506">
        <v>0</v>
      </c>
    </row>
    <row r="23" spans="1:10" x14ac:dyDescent="0.25">
      <c r="B23" s="635" t="s">
        <v>333</v>
      </c>
      <c r="C23" s="627"/>
      <c r="D23" s="505">
        <v>0</v>
      </c>
      <c r="E23" s="505">
        <v>0</v>
      </c>
      <c r="F23" s="505">
        <v>0</v>
      </c>
      <c r="G23" s="505">
        <v>0</v>
      </c>
      <c r="H23" s="505">
        <v>0</v>
      </c>
      <c r="I23" s="505">
        <v>0</v>
      </c>
      <c r="J23" s="506">
        <v>0</v>
      </c>
    </row>
    <row r="24" spans="1:10" x14ac:dyDescent="0.25">
      <c r="A24" s="635" t="s">
        <v>2643</v>
      </c>
      <c r="B24" s="635"/>
      <c r="C24" s="627"/>
      <c r="D24" s="505">
        <v>0</v>
      </c>
      <c r="E24" s="505">
        <v>0</v>
      </c>
      <c r="F24" s="505">
        <v>0</v>
      </c>
      <c r="G24" s="505">
        <v>0</v>
      </c>
      <c r="H24" s="505">
        <v>0</v>
      </c>
      <c r="I24" s="505">
        <v>0</v>
      </c>
      <c r="J24" s="506">
        <v>0</v>
      </c>
    </row>
    <row r="25" spans="1:10" ht="15.75" thickBot="1" x14ac:dyDescent="0.3">
      <c r="A25" s="602"/>
      <c r="B25" s="1049" t="s">
        <v>2644</v>
      </c>
      <c r="C25" s="1045"/>
      <c r="D25" s="604">
        <v>0</v>
      </c>
      <c r="E25" s="604">
        <v>0</v>
      </c>
      <c r="F25" s="604">
        <v>0</v>
      </c>
      <c r="G25" s="604">
        <v>0</v>
      </c>
      <c r="H25" s="604">
        <v>0</v>
      </c>
      <c r="I25" s="604">
        <v>0</v>
      </c>
      <c r="J25" s="605">
        <v>0</v>
      </c>
    </row>
    <row r="26" spans="1:10" ht="15.75" thickBot="1" x14ac:dyDescent="0.3"/>
    <row r="27" spans="1:10" x14ac:dyDescent="0.25">
      <c r="A27" s="1050" t="s">
        <v>2645</v>
      </c>
      <c r="B27" s="1051"/>
      <c r="C27" s="1051"/>
      <c r="D27" s="606">
        <v>2020</v>
      </c>
      <c r="E27" s="1054">
        <v>2021</v>
      </c>
      <c r="F27" s="1054"/>
      <c r="G27" s="1054"/>
      <c r="H27" s="1054"/>
      <c r="I27" s="1054"/>
      <c r="J27" s="538" t="s">
        <v>1924</v>
      </c>
    </row>
    <row r="28" spans="1:10" ht="15.75" thickBot="1" x14ac:dyDescent="0.3">
      <c r="A28" s="1052"/>
      <c r="B28" s="1053"/>
      <c r="C28" s="1053"/>
      <c r="D28" s="541" t="s">
        <v>1035</v>
      </c>
      <c r="E28" s="642" t="s">
        <v>2646</v>
      </c>
      <c r="F28" s="642"/>
      <c r="G28" s="642"/>
      <c r="H28" s="642"/>
      <c r="I28" s="642"/>
      <c r="J28" s="542" t="s">
        <v>2647</v>
      </c>
    </row>
    <row r="29" spans="1:10" ht="15.75" thickBot="1" x14ac:dyDescent="0.3">
      <c r="A29" s="1045" t="s">
        <v>2648</v>
      </c>
      <c r="B29" s="1046"/>
      <c r="C29" s="1046"/>
      <c r="D29" s="607"/>
      <c r="E29" s="1047">
        <v>0</v>
      </c>
      <c r="F29" s="1047"/>
      <c r="G29" s="1047"/>
      <c r="H29" s="1047"/>
      <c r="I29" s="1047"/>
      <c r="J29" s="605">
        <v>0</v>
      </c>
    </row>
    <row r="30" spans="1:10" x14ac:dyDescent="0.25">
      <c r="A30" s="1048"/>
      <c r="B30" s="1048"/>
      <c r="C30" s="1048"/>
      <c r="D30" s="1048"/>
      <c r="E30" s="1048"/>
      <c r="F30" s="1048"/>
      <c r="G30" s="1048"/>
      <c r="H30" s="1048"/>
      <c r="I30" s="1048"/>
      <c r="J30" s="1048"/>
    </row>
    <row r="65536" spans="256:256" ht="15" customHeight="1" x14ac:dyDescent="0.25">
      <c r="IV65536" s="601"/>
    </row>
  </sheetData>
  <mergeCells count="28">
    <mergeCell ref="A6:I6"/>
    <mergeCell ref="A1:J1"/>
    <mergeCell ref="A2:J2"/>
    <mergeCell ref="A3:J3"/>
    <mergeCell ref="A4:J4"/>
    <mergeCell ref="A5:J5"/>
    <mergeCell ref="B21:C21"/>
    <mergeCell ref="A7:C8"/>
    <mergeCell ref="E7:I7"/>
    <mergeCell ref="E8:I8"/>
    <mergeCell ref="A9:C9"/>
    <mergeCell ref="E9:I9"/>
    <mergeCell ref="E10:I10"/>
    <mergeCell ref="E11:I11"/>
    <mergeCell ref="E12:I12"/>
    <mergeCell ref="E13:I13"/>
    <mergeCell ref="A15:C18"/>
    <mergeCell ref="A20:C20"/>
    <mergeCell ref="A29:C29"/>
    <mergeCell ref="E29:I29"/>
    <mergeCell ref="A30:J30"/>
    <mergeCell ref="B22:C22"/>
    <mergeCell ref="B23:C23"/>
    <mergeCell ref="A24:C24"/>
    <mergeCell ref="B25:C25"/>
    <mergeCell ref="A27:C28"/>
    <mergeCell ref="E27:I27"/>
    <mergeCell ref="E28:I28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RREO</vt:lpstr>
      <vt:lpstr>LRF</vt:lpstr>
      <vt:lpstr>Restos</vt:lpstr>
      <vt:lpstr>RCL</vt:lpstr>
      <vt:lpstr>DCLP</vt:lpstr>
      <vt:lpstr>DCLP_RCL</vt:lpstr>
      <vt:lpstr>AcompFAPS</vt:lpstr>
      <vt:lpstr>Cronogra</vt:lpstr>
      <vt:lpstr>Cruz</vt:lpstr>
      <vt:lpstr>Exec_Orç</vt:lpstr>
      <vt:lpstr>Míni</vt:lpstr>
      <vt:lpstr>DespSEDUC</vt:lpstr>
      <vt:lpstr>Emp</vt:lpstr>
      <vt:lpstr>Liquid</vt:lpstr>
      <vt:lpstr>Pgtos</vt:lpstr>
      <vt:lpstr>Bal_Orç</vt:lpstr>
      <vt:lpstr>RPPS</vt:lpstr>
      <vt:lpstr>Result</vt:lpstr>
      <vt:lpstr>Regra_Ouro</vt:lpstr>
      <vt:lpstr>ASPS</vt:lpstr>
      <vt:lpstr>DPPP</vt:lpstr>
      <vt:lpstr>Alien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cp:lastPrinted>2022-01-27T17:49:41Z</cp:lastPrinted>
  <dcterms:created xsi:type="dcterms:W3CDTF">2021-06-02T17:39:55Z</dcterms:created>
  <dcterms:modified xsi:type="dcterms:W3CDTF">2022-01-28T16:22:01Z</dcterms:modified>
</cp:coreProperties>
</file>